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ustomProperty9.bin" ContentType="application/vnd.openxmlformats-officedocument.spreadsheetml.customProperty"/>
  <Override PartName="/xl/customProperty10.bin" ContentType="application/vnd.openxmlformats-officedocument.spreadsheetml.customProperty"/>
  <Override PartName="/xl/customProperty11.bin" ContentType="application/vnd.openxmlformats-officedocument.spreadsheetml.customProperty"/>
  <Override PartName="/xl/customProperty12.bin" ContentType="application/vnd.openxmlformats-officedocument.spreadsheetml.customProperty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Jpx-fs\kabudata\月報\geppou\月報1\・HP用データ\HP用相場表-データ\ETF相場表作成\"/>
    </mc:Choice>
  </mc:AlternateContent>
  <xr:revisionPtr revIDLastSave="0" documentId="13_ncr:1_{E579B754-EBBA-495A-84DD-05D9F91F7311}" xr6:coauthVersionLast="47" xr6:coauthVersionMax="47" xr10:uidLastSave="{00000000-0000-0000-0000-000000000000}"/>
  <bookViews>
    <workbookView xWindow="-120" yWindow="-120" windowWidth="29040" windowHeight="15840" xr2:uid="{83A47E7C-9A24-47D3-BB6F-FB29FB92B0E2}"/>
  </bookViews>
  <sheets>
    <sheet name="2023.12" sheetId="36" r:id="rId1"/>
    <sheet name="2023.11" sheetId="35" r:id="rId2"/>
    <sheet name="2023.10" sheetId="34" r:id="rId3"/>
    <sheet name="2023.09" sheetId="32" r:id="rId4"/>
    <sheet name="2023.08" sheetId="31" r:id="rId5"/>
    <sheet name="2023.07" sheetId="30" r:id="rId6"/>
    <sheet name="2023.06" sheetId="29" r:id="rId7"/>
    <sheet name="2023.05" sheetId="28" r:id="rId8"/>
    <sheet name="2023.04" sheetId="27" r:id="rId9"/>
    <sheet name="2023.03" sheetId="26" r:id="rId10"/>
    <sheet name="2023.02" sheetId="25" r:id="rId11"/>
    <sheet name="2023.01" sheetId="24" r:id="rId12"/>
  </sheets>
  <definedNames>
    <definedName name="_xlnm.Print_Titles" localSheetId="11">'2023.01'!$1:$6</definedName>
    <definedName name="_xlnm.Print_Titles" localSheetId="10">'2023.02'!$1:$6</definedName>
    <definedName name="_xlnm.Print_Titles" localSheetId="9">'2023.03'!$1:$6</definedName>
    <definedName name="_xlnm.Print_Titles" localSheetId="8">'2023.04'!$1:$6</definedName>
    <definedName name="_xlnm.Print_Titles" localSheetId="7">'2023.05'!$1:$6</definedName>
    <definedName name="_xlnm.Print_Titles" localSheetId="6">'2023.06'!$1:$6</definedName>
    <definedName name="_xlnm.Print_Titles" localSheetId="5">'2023.07'!$1:$6</definedName>
    <definedName name="_xlnm.Print_Titles" localSheetId="4">'2023.08'!$1:$6</definedName>
    <definedName name="_xlnm.Print_Titles" localSheetId="3">'2023.09'!$1:$6</definedName>
    <definedName name="_xlnm.Print_Titles" localSheetId="2">'2023.10'!$1:$6</definedName>
    <definedName name="_xlnm.Print_Titles" localSheetId="1">'2023.11'!$1:$6</definedName>
    <definedName name="_xlnm.Print_Titles" localSheetId="0">'2023.12'!$1:$6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343" i="36" l="1"/>
  <c r="W343" i="36"/>
  <c r="V343" i="36"/>
  <c r="U343" i="36"/>
  <c r="T343" i="36"/>
  <c r="S343" i="36"/>
  <c r="Q343" i="36"/>
  <c r="O343" i="36"/>
  <c r="M343" i="36"/>
  <c r="K343" i="36"/>
  <c r="X342" i="36"/>
  <c r="W342" i="36"/>
  <c r="V342" i="36"/>
  <c r="U342" i="36"/>
  <c r="T342" i="36"/>
  <c r="S342" i="36"/>
  <c r="Q342" i="36"/>
  <c r="O342" i="36"/>
  <c r="M342" i="36"/>
  <c r="K342" i="36"/>
  <c r="X341" i="36"/>
  <c r="W341" i="36"/>
  <c r="V341" i="36"/>
  <c r="U341" i="36"/>
  <c r="T341" i="36"/>
  <c r="S341" i="36"/>
  <c r="Q341" i="36"/>
  <c r="O341" i="36"/>
  <c r="M341" i="36"/>
  <c r="K341" i="36"/>
  <c r="X340" i="36"/>
  <c r="W340" i="36"/>
  <c r="V340" i="36"/>
  <c r="U340" i="36"/>
  <c r="T340" i="36"/>
  <c r="S340" i="36"/>
  <c r="Q340" i="36"/>
  <c r="O340" i="36"/>
  <c r="M340" i="36"/>
  <c r="K340" i="36"/>
  <c r="X339" i="36"/>
  <c r="W339" i="36"/>
  <c r="V339" i="36"/>
  <c r="U339" i="36"/>
  <c r="T339" i="36"/>
  <c r="S339" i="36"/>
  <c r="Q339" i="36"/>
  <c r="O339" i="36"/>
  <c r="M339" i="36"/>
  <c r="K339" i="36"/>
  <c r="X338" i="36"/>
  <c r="W338" i="36"/>
  <c r="V338" i="36"/>
  <c r="U338" i="36"/>
  <c r="T338" i="36"/>
  <c r="S338" i="36"/>
  <c r="Q338" i="36"/>
  <c r="O338" i="36"/>
  <c r="M338" i="36"/>
  <c r="K338" i="36"/>
  <c r="X337" i="36"/>
  <c r="W337" i="36"/>
  <c r="V337" i="36"/>
  <c r="U337" i="36"/>
  <c r="T337" i="36"/>
  <c r="S337" i="36"/>
  <c r="Q337" i="36"/>
  <c r="O337" i="36"/>
  <c r="M337" i="36"/>
  <c r="K337" i="36"/>
  <c r="X336" i="36"/>
  <c r="W336" i="36"/>
  <c r="V336" i="36"/>
  <c r="U336" i="36"/>
  <c r="T336" i="36"/>
  <c r="S336" i="36"/>
  <c r="Q336" i="36"/>
  <c r="O336" i="36"/>
  <c r="M336" i="36"/>
  <c r="K336" i="36"/>
  <c r="X335" i="36"/>
  <c r="W335" i="36"/>
  <c r="V335" i="36"/>
  <c r="U335" i="36"/>
  <c r="T335" i="36"/>
  <c r="S335" i="36"/>
  <c r="Q335" i="36"/>
  <c r="O335" i="36"/>
  <c r="M335" i="36"/>
  <c r="K335" i="36"/>
  <c r="X334" i="36"/>
  <c r="W334" i="36"/>
  <c r="V334" i="36"/>
  <c r="U334" i="36"/>
  <c r="T334" i="36"/>
  <c r="S334" i="36"/>
  <c r="Q334" i="36"/>
  <c r="O334" i="36"/>
  <c r="M334" i="36"/>
  <c r="K334" i="36"/>
  <c r="X333" i="36"/>
  <c r="W333" i="36"/>
  <c r="V333" i="36"/>
  <c r="U333" i="36"/>
  <c r="T333" i="36"/>
  <c r="S333" i="36"/>
  <c r="Q333" i="36"/>
  <c r="O333" i="36"/>
  <c r="M333" i="36"/>
  <c r="K333" i="36"/>
  <c r="X332" i="36"/>
  <c r="W332" i="36"/>
  <c r="V332" i="36"/>
  <c r="U332" i="36"/>
  <c r="T332" i="36"/>
  <c r="S332" i="36"/>
  <c r="Q332" i="36"/>
  <c r="O332" i="36"/>
  <c r="M332" i="36"/>
  <c r="K332" i="36"/>
  <c r="X331" i="36"/>
  <c r="W331" i="36"/>
  <c r="V331" i="36"/>
  <c r="U331" i="36"/>
  <c r="T331" i="36"/>
  <c r="S331" i="36"/>
  <c r="Q331" i="36"/>
  <c r="O331" i="36"/>
  <c r="M331" i="36"/>
  <c r="K331" i="36"/>
  <c r="X330" i="36"/>
  <c r="W330" i="36"/>
  <c r="V330" i="36"/>
  <c r="U330" i="36"/>
  <c r="T330" i="36"/>
  <c r="S330" i="36"/>
  <c r="Q330" i="36"/>
  <c r="O330" i="36"/>
  <c r="M330" i="36"/>
  <c r="K330" i="36"/>
  <c r="X329" i="36"/>
  <c r="W329" i="36"/>
  <c r="V329" i="36"/>
  <c r="U329" i="36"/>
  <c r="T329" i="36"/>
  <c r="S329" i="36"/>
  <c r="Q329" i="36"/>
  <c r="O329" i="36"/>
  <c r="M329" i="36"/>
  <c r="K329" i="36"/>
  <c r="X328" i="36"/>
  <c r="W328" i="36"/>
  <c r="V328" i="36"/>
  <c r="U328" i="36"/>
  <c r="T328" i="36"/>
  <c r="S328" i="36"/>
  <c r="Q328" i="36"/>
  <c r="O328" i="36"/>
  <c r="M328" i="36"/>
  <c r="K328" i="36"/>
  <c r="X327" i="36"/>
  <c r="W327" i="36"/>
  <c r="V327" i="36"/>
  <c r="U327" i="36"/>
  <c r="T327" i="36"/>
  <c r="S327" i="36"/>
  <c r="Q327" i="36"/>
  <c r="O327" i="36"/>
  <c r="M327" i="36"/>
  <c r="K327" i="36"/>
  <c r="X326" i="36"/>
  <c r="W326" i="36"/>
  <c r="V326" i="36"/>
  <c r="U326" i="36"/>
  <c r="T326" i="36"/>
  <c r="S326" i="36"/>
  <c r="Q326" i="36"/>
  <c r="O326" i="36"/>
  <c r="M326" i="36"/>
  <c r="K326" i="36"/>
  <c r="X325" i="36"/>
  <c r="W325" i="36"/>
  <c r="V325" i="36"/>
  <c r="U325" i="36"/>
  <c r="T325" i="36"/>
  <c r="S325" i="36"/>
  <c r="Q325" i="36"/>
  <c r="O325" i="36"/>
  <c r="M325" i="36"/>
  <c r="K325" i="36"/>
  <c r="X324" i="36"/>
  <c r="W324" i="36"/>
  <c r="V324" i="36"/>
  <c r="U324" i="36"/>
  <c r="T324" i="36"/>
  <c r="S324" i="36"/>
  <c r="Q324" i="36"/>
  <c r="O324" i="36"/>
  <c r="M324" i="36"/>
  <c r="K324" i="36"/>
  <c r="X323" i="36"/>
  <c r="W323" i="36"/>
  <c r="V323" i="36"/>
  <c r="U323" i="36"/>
  <c r="T323" i="36"/>
  <c r="S323" i="36"/>
  <c r="Q323" i="36"/>
  <c r="O323" i="36"/>
  <c r="M323" i="36"/>
  <c r="K323" i="36"/>
  <c r="X322" i="36"/>
  <c r="W322" i="36"/>
  <c r="V322" i="36"/>
  <c r="U322" i="36"/>
  <c r="T322" i="36"/>
  <c r="S322" i="36"/>
  <c r="Q322" i="36"/>
  <c r="O322" i="36"/>
  <c r="M322" i="36"/>
  <c r="K322" i="36"/>
  <c r="X321" i="36"/>
  <c r="W321" i="36"/>
  <c r="V321" i="36"/>
  <c r="U321" i="36"/>
  <c r="T321" i="36"/>
  <c r="S321" i="36"/>
  <c r="Q321" i="36"/>
  <c r="O321" i="36"/>
  <c r="M321" i="36"/>
  <c r="K321" i="36"/>
  <c r="X320" i="36"/>
  <c r="W320" i="36"/>
  <c r="V320" i="36"/>
  <c r="U320" i="36"/>
  <c r="T320" i="36"/>
  <c r="S320" i="36"/>
  <c r="Q320" i="36"/>
  <c r="O320" i="36"/>
  <c r="M320" i="36"/>
  <c r="K320" i="36"/>
  <c r="X319" i="36"/>
  <c r="W319" i="36"/>
  <c r="V319" i="36"/>
  <c r="U319" i="36"/>
  <c r="T319" i="36"/>
  <c r="S319" i="36"/>
  <c r="Q319" i="36"/>
  <c r="O319" i="36"/>
  <c r="M319" i="36"/>
  <c r="K319" i="36"/>
  <c r="X318" i="36"/>
  <c r="W318" i="36"/>
  <c r="V318" i="36"/>
  <c r="U318" i="36"/>
  <c r="T318" i="36"/>
  <c r="S318" i="36"/>
  <c r="Q318" i="36"/>
  <c r="O318" i="36"/>
  <c r="M318" i="36"/>
  <c r="K318" i="36"/>
  <c r="X317" i="36"/>
  <c r="W317" i="36"/>
  <c r="V317" i="36"/>
  <c r="U317" i="36"/>
  <c r="T317" i="36"/>
  <c r="S317" i="36"/>
  <c r="Q317" i="36"/>
  <c r="O317" i="36"/>
  <c r="M317" i="36"/>
  <c r="K317" i="36"/>
  <c r="X316" i="36"/>
  <c r="W316" i="36"/>
  <c r="V316" i="36"/>
  <c r="U316" i="36"/>
  <c r="T316" i="36"/>
  <c r="S316" i="36"/>
  <c r="Q316" i="36"/>
  <c r="O316" i="36"/>
  <c r="M316" i="36"/>
  <c r="K316" i="36"/>
  <c r="X315" i="36"/>
  <c r="W315" i="36"/>
  <c r="V315" i="36"/>
  <c r="U315" i="36"/>
  <c r="T315" i="36"/>
  <c r="S315" i="36"/>
  <c r="Q315" i="36"/>
  <c r="O315" i="36"/>
  <c r="M315" i="36"/>
  <c r="K315" i="36"/>
  <c r="X314" i="36"/>
  <c r="W314" i="36"/>
  <c r="V314" i="36"/>
  <c r="U314" i="36"/>
  <c r="T314" i="36"/>
  <c r="S314" i="36"/>
  <c r="Q314" i="36"/>
  <c r="O314" i="36"/>
  <c r="M314" i="36"/>
  <c r="K314" i="36"/>
  <c r="X313" i="36"/>
  <c r="W313" i="36"/>
  <c r="V313" i="36"/>
  <c r="U313" i="36"/>
  <c r="T313" i="36"/>
  <c r="S313" i="36"/>
  <c r="Q313" i="36"/>
  <c r="O313" i="36"/>
  <c r="M313" i="36"/>
  <c r="K313" i="36"/>
  <c r="X312" i="36"/>
  <c r="W312" i="36"/>
  <c r="V312" i="36"/>
  <c r="U312" i="36"/>
  <c r="T312" i="36"/>
  <c r="S312" i="36"/>
  <c r="Q312" i="36"/>
  <c r="O312" i="36"/>
  <c r="M312" i="36"/>
  <c r="K312" i="36"/>
  <c r="X311" i="36"/>
  <c r="W311" i="36"/>
  <c r="V311" i="36"/>
  <c r="U311" i="36"/>
  <c r="T311" i="36"/>
  <c r="S311" i="36"/>
  <c r="Q311" i="36"/>
  <c r="O311" i="36"/>
  <c r="M311" i="36"/>
  <c r="K311" i="36"/>
  <c r="X310" i="36"/>
  <c r="W310" i="36"/>
  <c r="V310" i="36"/>
  <c r="U310" i="36"/>
  <c r="T310" i="36"/>
  <c r="S310" i="36"/>
  <c r="Q310" i="36"/>
  <c r="O310" i="36"/>
  <c r="M310" i="36"/>
  <c r="K310" i="36"/>
  <c r="X309" i="36"/>
  <c r="W309" i="36"/>
  <c r="V309" i="36"/>
  <c r="U309" i="36"/>
  <c r="T309" i="36"/>
  <c r="S309" i="36"/>
  <c r="Q309" i="36"/>
  <c r="O309" i="36"/>
  <c r="M309" i="36"/>
  <c r="K309" i="36"/>
  <c r="X308" i="36"/>
  <c r="W308" i="36"/>
  <c r="V308" i="36"/>
  <c r="U308" i="36"/>
  <c r="T308" i="36"/>
  <c r="S308" i="36"/>
  <c r="Q308" i="36"/>
  <c r="O308" i="36"/>
  <c r="M308" i="36"/>
  <c r="K308" i="36"/>
  <c r="X307" i="36"/>
  <c r="W307" i="36"/>
  <c r="V307" i="36"/>
  <c r="U307" i="36"/>
  <c r="T307" i="36"/>
  <c r="S307" i="36"/>
  <c r="Q307" i="36"/>
  <c r="O307" i="36"/>
  <c r="M307" i="36"/>
  <c r="K307" i="36"/>
  <c r="X306" i="36"/>
  <c r="W306" i="36"/>
  <c r="V306" i="36"/>
  <c r="U306" i="36"/>
  <c r="T306" i="36"/>
  <c r="S306" i="36"/>
  <c r="Q306" i="36"/>
  <c r="O306" i="36"/>
  <c r="M306" i="36"/>
  <c r="K306" i="36"/>
  <c r="X305" i="36"/>
  <c r="W305" i="36"/>
  <c r="V305" i="36"/>
  <c r="U305" i="36"/>
  <c r="T305" i="36"/>
  <c r="S305" i="36"/>
  <c r="Q305" i="36"/>
  <c r="O305" i="36"/>
  <c r="M305" i="36"/>
  <c r="K305" i="36"/>
  <c r="X304" i="36"/>
  <c r="W304" i="36"/>
  <c r="V304" i="36"/>
  <c r="U304" i="36"/>
  <c r="T304" i="36"/>
  <c r="S304" i="36"/>
  <c r="Q304" i="36"/>
  <c r="O304" i="36"/>
  <c r="M304" i="36"/>
  <c r="K304" i="36"/>
  <c r="X303" i="36"/>
  <c r="W303" i="36"/>
  <c r="V303" i="36"/>
  <c r="U303" i="36"/>
  <c r="T303" i="36"/>
  <c r="S303" i="36"/>
  <c r="Q303" i="36"/>
  <c r="O303" i="36"/>
  <c r="M303" i="36"/>
  <c r="K303" i="36"/>
  <c r="X302" i="36"/>
  <c r="W302" i="36"/>
  <c r="V302" i="36"/>
  <c r="U302" i="36"/>
  <c r="T302" i="36"/>
  <c r="S302" i="36"/>
  <c r="Q302" i="36"/>
  <c r="O302" i="36"/>
  <c r="M302" i="36"/>
  <c r="K302" i="36"/>
  <c r="X301" i="36"/>
  <c r="W301" i="36"/>
  <c r="V301" i="36"/>
  <c r="U301" i="36"/>
  <c r="T301" i="36"/>
  <c r="S301" i="36"/>
  <c r="Q301" i="36"/>
  <c r="O301" i="36"/>
  <c r="M301" i="36"/>
  <c r="K301" i="36"/>
  <c r="X300" i="36"/>
  <c r="W300" i="36"/>
  <c r="V300" i="36"/>
  <c r="U300" i="36"/>
  <c r="T300" i="36"/>
  <c r="S300" i="36"/>
  <c r="Q300" i="36"/>
  <c r="O300" i="36"/>
  <c r="M300" i="36"/>
  <c r="K300" i="36"/>
  <c r="X299" i="36"/>
  <c r="W299" i="36"/>
  <c r="V299" i="36"/>
  <c r="U299" i="36"/>
  <c r="T299" i="36"/>
  <c r="S299" i="36"/>
  <c r="Q299" i="36"/>
  <c r="O299" i="36"/>
  <c r="M299" i="36"/>
  <c r="K299" i="36"/>
  <c r="X298" i="36"/>
  <c r="W298" i="36"/>
  <c r="V298" i="36"/>
  <c r="U298" i="36"/>
  <c r="T298" i="36"/>
  <c r="S298" i="36"/>
  <c r="Q298" i="36"/>
  <c r="O298" i="36"/>
  <c r="M298" i="36"/>
  <c r="K298" i="36"/>
  <c r="X297" i="36"/>
  <c r="W297" i="36"/>
  <c r="V297" i="36"/>
  <c r="U297" i="36"/>
  <c r="T297" i="36"/>
  <c r="S297" i="36"/>
  <c r="Q297" i="36"/>
  <c r="O297" i="36"/>
  <c r="M297" i="36"/>
  <c r="K297" i="36"/>
  <c r="X296" i="36"/>
  <c r="W296" i="36"/>
  <c r="V296" i="36"/>
  <c r="U296" i="36"/>
  <c r="T296" i="36"/>
  <c r="S296" i="36"/>
  <c r="Q296" i="36"/>
  <c r="O296" i="36"/>
  <c r="M296" i="36"/>
  <c r="K296" i="36"/>
  <c r="X295" i="36"/>
  <c r="W295" i="36"/>
  <c r="V295" i="36"/>
  <c r="U295" i="36"/>
  <c r="T295" i="36"/>
  <c r="S295" i="36"/>
  <c r="Q295" i="36"/>
  <c r="O295" i="36"/>
  <c r="M295" i="36"/>
  <c r="K295" i="36"/>
  <c r="X294" i="36"/>
  <c r="W294" i="36"/>
  <c r="V294" i="36"/>
  <c r="U294" i="36"/>
  <c r="T294" i="36"/>
  <c r="S294" i="36"/>
  <c r="Q294" i="36"/>
  <c r="O294" i="36"/>
  <c r="M294" i="36"/>
  <c r="K294" i="36"/>
  <c r="X293" i="36"/>
  <c r="W293" i="36"/>
  <c r="V293" i="36"/>
  <c r="U293" i="36"/>
  <c r="T293" i="36"/>
  <c r="S293" i="36"/>
  <c r="Q293" i="36"/>
  <c r="O293" i="36"/>
  <c r="M293" i="36"/>
  <c r="K293" i="36"/>
  <c r="X292" i="36"/>
  <c r="W292" i="36"/>
  <c r="V292" i="36"/>
  <c r="U292" i="36"/>
  <c r="T292" i="36"/>
  <c r="S292" i="36"/>
  <c r="Q292" i="36"/>
  <c r="O292" i="36"/>
  <c r="M292" i="36"/>
  <c r="K292" i="36"/>
  <c r="X291" i="36"/>
  <c r="W291" i="36"/>
  <c r="V291" i="36"/>
  <c r="U291" i="36"/>
  <c r="T291" i="36"/>
  <c r="S291" i="36"/>
  <c r="Q291" i="36"/>
  <c r="O291" i="36"/>
  <c r="M291" i="36"/>
  <c r="K291" i="36"/>
  <c r="X290" i="36"/>
  <c r="W290" i="36"/>
  <c r="V290" i="36"/>
  <c r="U290" i="36"/>
  <c r="T290" i="36"/>
  <c r="S290" i="36"/>
  <c r="Q290" i="36"/>
  <c r="O290" i="36"/>
  <c r="M290" i="36"/>
  <c r="K290" i="36"/>
  <c r="X289" i="36"/>
  <c r="W289" i="36"/>
  <c r="V289" i="36"/>
  <c r="U289" i="36"/>
  <c r="T289" i="36"/>
  <c r="S289" i="36"/>
  <c r="Q289" i="36"/>
  <c r="O289" i="36"/>
  <c r="M289" i="36"/>
  <c r="K289" i="36"/>
  <c r="X288" i="36"/>
  <c r="W288" i="36"/>
  <c r="V288" i="36"/>
  <c r="U288" i="36"/>
  <c r="T288" i="36"/>
  <c r="S288" i="36"/>
  <c r="Q288" i="36"/>
  <c r="O288" i="36"/>
  <c r="M288" i="36"/>
  <c r="K288" i="36"/>
  <c r="X287" i="36"/>
  <c r="W287" i="36"/>
  <c r="V287" i="36"/>
  <c r="U287" i="36"/>
  <c r="T287" i="36"/>
  <c r="S287" i="36"/>
  <c r="Q287" i="36"/>
  <c r="O287" i="36"/>
  <c r="M287" i="36"/>
  <c r="K287" i="36"/>
  <c r="X286" i="36"/>
  <c r="W286" i="36"/>
  <c r="V286" i="36"/>
  <c r="U286" i="36"/>
  <c r="T286" i="36"/>
  <c r="S286" i="36"/>
  <c r="Q286" i="36"/>
  <c r="O286" i="36"/>
  <c r="M286" i="36"/>
  <c r="K286" i="36"/>
  <c r="X285" i="36"/>
  <c r="W285" i="36"/>
  <c r="V285" i="36"/>
  <c r="U285" i="36"/>
  <c r="T285" i="36"/>
  <c r="S285" i="36"/>
  <c r="Q285" i="36"/>
  <c r="O285" i="36"/>
  <c r="M285" i="36"/>
  <c r="K285" i="36"/>
  <c r="X284" i="36"/>
  <c r="W284" i="36"/>
  <c r="V284" i="36"/>
  <c r="U284" i="36"/>
  <c r="T284" i="36"/>
  <c r="S284" i="36"/>
  <c r="Q284" i="36"/>
  <c r="O284" i="36"/>
  <c r="M284" i="36"/>
  <c r="K284" i="36"/>
  <c r="X283" i="36"/>
  <c r="W283" i="36"/>
  <c r="V283" i="36"/>
  <c r="U283" i="36"/>
  <c r="T283" i="36"/>
  <c r="S283" i="36"/>
  <c r="Q283" i="36"/>
  <c r="O283" i="36"/>
  <c r="M283" i="36"/>
  <c r="K283" i="36"/>
  <c r="X282" i="36"/>
  <c r="W282" i="36"/>
  <c r="V282" i="36"/>
  <c r="U282" i="36"/>
  <c r="T282" i="36"/>
  <c r="S282" i="36"/>
  <c r="Q282" i="36"/>
  <c r="O282" i="36"/>
  <c r="M282" i="36"/>
  <c r="K282" i="36"/>
  <c r="X281" i="36"/>
  <c r="W281" i="36"/>
  <c r="V281" i="36"/>
  <c r="U281" i="36"/>
  <c r="T281" i="36"/>
  <c r="S281" i="36"/>
  <c r="Q281" i="36"/>
  <c r="O281" i="36"/>
  <c r="M281" i="36"/>
  <c r="K281" i="36"/>
  <c r="X280" i="36"/>
  <c r="W280" i="36"/>
  <c r="V280" i="36"/>
  <c r="U280" i="36"/>
  <c r="T280" i="36"/>
  <c r="S280" i="36"/>
  <c r="Q280" i="36"/>
  <c r="O280" i="36"/>
  <c r="M280" i="36"/>
  <c r="K280" i="36"/>
  <c r="X279" i="36"/>
  <c r="W279" i="36"/>
  <c r="V279" i="36"/>
  <c r="U279" i="36"/>
  <c r="T279" i="36"/>
  <c r="S279" i="36"/>
  <c r="Q279" i="36"/>
  <c r="O279" i="36"/>
  <c r="M279" i="36"/>
  <c r="K279" i="36"/>
  <c r="X278" i="36"/>
  <c r="W278" i="36"/>
  <c r="V278" i="36"/>
  <c r="U278" i="36"/>
  <c r="T278" i="36"/>
  <c r="S278" i="36"/>
  <c r="Q278" i="36"/>
  <c r="O278" i="36"/>
  <c r="M278" i="36"/>
  <c r="K278" i="36"/>
  <c r="X277" i="36"/>
  <c r="W277" i="36"/>
  <c r="V277" i="36"/>
  <c r="U277" i="36"/>
  <c r="T277" i="36"/>
  <c r="S277" i="36"/>
  <c r="Q277" i="36"/>
  <c r="O277" i="36"/>
  <c r="M277" i="36"/>
  <c r="K277" i="36"/>
  <c r="X276" i="36"/>
  <c r="W276" i="36"/>
  <c r="V276" i="36"/>
  <c r="U276" i="36"/>
  <c r="T276" i="36"/>
  <c r="S276" i="36"/>
  <c r="Q276" i="36"/>
  <c r="O276" i="36"/>
  <c r="M276" i="36"/>
  <c r="K276" i="36"/>
  <c r="X275" i="36"/>
  <c r="W275" i="36"/>
  <c r="V275" i="36"/>
  <c r="U275" i="36"/>
  <c r="T275" i="36"/>
  <c r="S275" i="36"/>
  <c r="Q275" i="36"/>
  <c r="O275" i="36"/>
  <c r="M275" i="36"/>
  <c r="K275" i="36"/>
  <c r="X274" i="36"/>
  <c r="W274" i="36"/>
  <c r="V274" i="36"/>
  <c r="U274" i="36"/>
  <c r="T274" i="36"/>
  <c r="S274" i="36"/>
  <c r="Q274" i="36"/>
  <c r="O274" i="36"/>
  <c r="M274" i="36"/>
  <c r="K274" i="36"/>
  <c r="X273" i="36"/>
  <c r="W273" i="36"/>
  <c r="V273" i="36"/>
  <c r="U273" i="36"/>
  <c r="T273" i="36"/>
  <c r="S273" i="36"/>
  <c r="Q273" i="36"/>
  <c r="O273" i="36"/>
  <c r="M273" i="36"/>
  <c r="K273" i="36"/>
  <c r="X272" i="36"/>
  <c r="W272" i="36"/>
  <c r="V272" i="36"/>
  <c r="U272" i="36"/>
  <c r="T272" i="36"/>
  <c r="S272" i="36"/>
  <c r="Q272" i="36"/>
  <c r="O272" i="36"/>
  <c r="M272" i="36"/>
  <c r="K272" i="36"/>
  <c r="X271" i="36"/>
  <c r="W271" i="36"/>
  <c r="V271" i="36"/>
  <c r="U271" i="36"/>
  <c r="T271" i="36"/>
  <c r="S271" i="36"/>
  <c r="Q271" i="36"/>
  <c r="O271" i="36"/>
  <c r="M271" i="36"/>
  <c r="K271" i="36"/>
  <c r="X270" i="36"/>
  <c r="W270" i="36"/>
  <c r="V270" i="36"/>
  <c r="U270" i="36"/>
  <c r="T270" i="36"/>
  <c r="S270" i="36"/>
  <c r="Q270" i="36"/>
  <c r="O270" i="36"/>
  <c r="M270" i="36"/>
  <c r="K270" i="36"/>
  <c r="X269" i="36"/>
  <c r="W269" i="36"/>
  <c r="V269" i="36"/>
  <c r="U269" i="36"/>
  <c r="T269" i="36"/>
  <c r="S269" i="36"/>
  <c r="Q269" i="36"/>
  <c r="O269" i="36"/>
  <c r="M269" i="36"/>
  <c r="K269" i="36"/>
  <c r="X268" i="36"/>
  <c r="W268" i="36"/>
  <c r="V268" i="36"/>
  <c r="U268" i="36"/>
  <c r="T268" i="36"/>
  <c r="S268" i="36"/>
  <c r="Q268" i="36"/>
  <c r="O268" i="36"/>
  <c r="M268" i="36"/>
  <c r="K268" i="36"/>
  <c r="X267" i="36"/>
  <c r="W267" i="36"/>
  <c r="V267" i="36"/>
  <c r="U267" i="36"/>
  <c r="T267" i="36"/>
  <c r="S267" i="36"/>
  <c r="Q267" i="36"/>
  <c r="O267" i="36"/>
  <c r="M267" i="36"/>
  <c r="K267" i="36"/>
  <c r="X266" i="36"/>
  <c r="W266" i="36"/>
  <c r="V266" i="36"/>
  <c r="U266" i="36"/>
  <c r="T266" i="36"/>
  <c r="S266" i="36"/>
  <c r="Q266" i="36"/>
  <c r="O266" i="36"/>
  <c r="M266" i="36"/>
  <c r="K266" i="36"/>
  <c r="X265" i="36"/>
  <c r="W265" i="36"/>
  <c r="V265" i="36"/>
  <c r="U265" i="36"/>
  <c r="T265" i="36"/>
  <c r="S265" i="36"/>
  <c r="Q265" i="36"/>
  <c r="O265" i="36"/>
  <c r="M265" i="36"/>
  <c r="K265" i="36"/>
  <c r="X264" i="36"/>
  <c r="W264" i="36"/>
  <c r="V264" i="36"/>
  <c r="U264" i="36"/>
  <c r="T264" i="36"/>
  <c r="S264" i="36"/>
  <c r="Q264" i="36"/>
  <c r="O264" i="36"/>
  <c r="M264" i="36"/>
  <c r="K264" i="36"/>
  <c r="X263" i="36"/>
  <c r="W263" i="36"/>
  <c r="V263" i="36"/>
  <c r="U263" i="36"/>
  <c r="T263" i="36"/>
  <c r="S263" i="36"/>
  <c r="Q263" i="36"/>
  <c r="O263" i="36"/>
  <c r="M263" i="36"/>
  <c r="K263" i="36"/>
  <c r="X262" i="36"/>
  <c r="W262" i="36"/>
  <c r="V262" i="36"/>
  <c r="U262" i="36"/>
  <c r="T262" i="36"/>
  <c r="S262" i="36"/>
  <c r="Q262" i="36"/>
  <c r="O262" i="36"/>
  <c r="M262" i="36"/>
  <c r="K262" i="36"/>
  <c r="X261" i="36"/>
  <c r="W261" i="36"/>
  <c r="V261" i="36"/>
  <c r="U261" i="36"/>
  <c r="T261" i="36"/>
  <c r="S261" i="36"/>
  <c r="Q261" i="36"/>
  <c r="O261" i="36"/>
  <c r="M261" i="36"/>
  <c r="K261" i="36"/>
  <c r="X260" i="36"/>
  <c r="W260" i="36"/>
  <c r="V260" i="36"/>
  <c r="U260" i="36"/>
  <c r="T260" i="36"/>
  <c r="S260" i="36"/>
  <c r="Q260" i="36"/>
  <c r="O260" i="36"/>
  <c r="M260" i="36"/>
  <c r="K260" i="36"/>
  <c r="X259" i="36"/>
  <c r="W259" i="36"/>
  <c r="V259" i="36"/>
  <c r="U259" i="36"/>
  <c r="T259" i="36"/>
  <c r="S259" i="36"/>
  <c r="Q259" i="36"/>
  <c r="O259" i="36"/>
  <c r="M259" i="36"/>
  <c r="K259" i="36"/>
  <c r="X258" i="36"/>
  <c r="W258" i="36"/>
  <c r="V258" i="36"/>
  <c r="U258" i="36"/>
  <c r="T258" i="36"/>
  <c r="S258" i="36"/>
  <c r="Q258" i="36"/>
  <c r="O258" i="36"/>
  <c r="M258" i="36"/>
  <c r="K258" i="36"/>
  <c r="X257" i="36"/>
  <c r="W257" i="36"/>
  <c r="V257" i="36"/>
  <c r="U257" i="36"/>
  <c r="T257" i="36"/>
  <c r="S257" i="36"/>
  <c r="Q257" i="36"/>
  <c r="O257" i="36"/>
  <c r="M257" i="36"/>
  <c r="K257" i="36"/>
  <c r="X256" i="36"/>
  <c r="W256" i="36"/>
  <c r="V256" i="36"/>
  <c r="U256" i="36"/>
  <c r="T256" i="36"/>
  <c r="S256" i="36"/>
  <c r="Q256" i="36"/>
  <c r="O256" i="36"/>
  <c r="M256" i="36"/>
  <c r="K256" i="36"/>
  <c r="X255" i="36"/>
  <c r="W255" i="36"/>
  <c r="V255" i="36"/>
  <c r="U255" i="36"/>
  <c r="T255" i="36"/>
  <c r="S255" i="36"/>
  <c r="Q255" i="36"/>
  <c r="O255" i="36"/>
  <c r="M255" i="36"/>
  <c r="K255" i="36"/>
  <c r="X254" i="36"/>
  <c r="W254" i="36"/>
  <c r="V254" i="36"/>
  <c r="U254" i="36"/>
  <c r="T254" i="36"/>
  <c r="S254" i="36"/>
  <c r="Q254" i="36"/>
  <c r="O254" i="36"/>
  <c r="M254" i="36"/>
  <c r="K254" i="36"/>
  <c r="X253" i="36"/>
  <c r="W253" i="36"/>
  <c r="V253" i="36"/>
  <c r="U253" i="36"/>
  <c r="T253" i="36"/>
  <c r="S253" i="36"/>
  <c r="Q253" i="36"/>
  <c r="O253" i="36"/>
  <c r="M253" i="36"/>
  <c r="K253" i="36"/>
  <c r="X252" i="36"/>
  <c r="W252" i="36"/>
  <c r="V252" i="36"/>
  <c r="U252" i="36"/>
  <c r="T252" i="36"/>
  <c r="S252" i="36"/>
  <c r="Q252" i="36"/>
  <c r="O252" i="36"/>
  <c r="M252" i="36"/>
  <c r="K252" i="36"/>
  <c r="X251" i="36"/>
  <c r="W251" i="36"/>
  <c r="V251" i="36"/>
  <c r="U251" i="36"/>
  <c r="T251" i="36"/>
  <c r="S251" i="36"/>
  <c r="Q251" i="36"/>
  <c r="O251" i="36"/>
  <c r="M251" i="36"/>
  <c r="K251" i="36"/>
  <c r="X250" i="36"/>
  <c r="W250" i="36"/>
  <c r="V250" i="36"/>
  <c r="U250" i="36"/>
  <c r="T250" i="36"/>
  <c r="S250" i="36"/>
  <c r="Q250" i="36"/>
  <c r="O250" i="36"/>
  <c r="M250" i="36"/>
  <c r="K250" i="36"/>
  <c r="X249" i="36"/>
  <c r="W249" i="36"/>
  <c r="V249" i="36"/>
  <c r="U249" i="36"/>
  <c r="T249" i="36"/>
  <c r="S249" i="36"/>
  <c r="Q249" i="36"/>
  <c r="O249" i="36"/>
  <c r="M249" i="36"/>
  <c r="K249" i="36"/>
  <c r="X248" i="36"/>
  <c r="W248" i="36"/>
  <c r="V248" i="36"/>
  <c r="U248" i="36"/>
  <c r="T248" i="36"/>
  <c r="S248" i="36"/>
  <c r="Q248" i="36"/>
  <c r="O248" i="36"/>
  <c r="M248" i="36"/>
  <c r="K248" i="36"/>
  <c r="X247" i="36"/>
  <c r="W247" i="36"/>
  <c r="V247" i="36"/>
  <c r="U247" i="36"/>
  <c r="T247" i="36"/>
  <c r="S247" i="36"/>
  <c r="Q247" i="36"/>
  <c r="O247" i="36"/>
  <c r="M247" i="36"/>
  <c r="K247" i="36"/>
  <c r="X246" i="36"/>
  <c r="W246" i="36"/>
  <c r="V246" i="36"/>
  <c r="U246" i="36"/>
  <c r="T246" i="36"/>
  <c r="S246" i="36"/>
  <c r="Q246" i="36"/>
  <c r="O246" i="36"/>
  <c r="M246" i="36"/>
  <c r="K246" i="36"/>
  <c r="X245" i="36"/>
  <c r="W245" i="36"/>
  <c r="V245" i="36"/>
  <c r="U245" i="36"/>
  <c r="T245" i="36"/>
  <c r="S245" i="36"/>
  <c r="Q245" i="36"/>
  <c r="O245" i="36"/>
  <c r="M245" i="36"/>
  <c r="K245" i="36"/>
  <c r="X244" i="36"/>
  <c r="W244" i="36"/>
  <c r="V244" i="36"/>
  <c r="U244" i="36"/>
  <c r="T244" i="36"/>
  <c r="S244" i="36"/>
  <c r="Q244" i="36"/>
  <c r="O244" i="36"/>
  <c r="M244" i="36"/>
  <c r="K244" i="36"/>
  <c r="X243" i="36"/>
  <c r="W243" i="36"/>
  <c r="V243" i="36"/>
  <c r="U243" i="36"/>
  <c r="T243" i="36"/>
  <c r="S243" i="36"/>
  <c r="Q243" i="36"/>
  <c r="O243" i="36"/>
  <c r="M243" i="36"/>
  <c r="K243" i="36"/>
  <c r="X242" i="36"/>
  <c r="W242" i="36"/>
  <c r="V242" i="36"/>
  <c r="U242" i="36"/>
  <c r="T242" i="36"/>
  <c r="S242" i="36"/>
  <c r="Q242" i="36"/>
  <c r="O242" i="36"/>
  <c r="M242" i="36"/>
  <c r="K242" i="36"/>
  <c r="X241" i="36"/>
  <c r="W241" i="36"/>
  <c r="V241" i="36"/>
  <c r="U241" i="36"/>
  <c r="T241" i="36"/>
  <c r="S241" i="36"/>
  <c r="Q241" i="36"/>
  <c r="O241" i="36"/>
  <c r="M241" i="36"/>
  <c r="K241" i="36"/>
  <c r="X240" i="36"/>
  <c r="W240" i="36"/>
  <c r="V240" i="36"/>
  <c r="U240" i="36"/>
  <c r="T240" i="36"/>
  <c r="S240" i="36"/>
  <c r="Q240" i="36"/>
  <c r="O240" i="36"/>
  <c r="M240" i="36"/>
  <c r="K240" i="36"/>
  <c r="X239" i="36"/>
  <c r="W239" i="36"/>
  <c r="V239" i="36"/>
  <c r="U239" i="36"/>
  <c r="T239" i="36"/>
  <c r="S239" i="36"/>
  <c r="Q239" i="36"/>
  <c r="O239" i="36"/>
  <c r="M239" i="36"/>
  <c r="K239" i="36"/>
  <c r="X238" i="36"/>
  <c r="W238" i="36"/>
  <c r="V238" i="36"/>
  <c r="U238" i="36"/>
  <c r="T238" i="36"/>
  <c r="S238" i="36"/>
  <c r="Q238" i="36"/>
  <c r="O238" i="36"/>
  <c r="M238" i="36"/>
  <c r="K238" i="36"/>
  <c r="X237" i="36"/>
  <c r="W237" i="36"/>
  <c r="V237" i="36"/>
  <c r="U237" i="36"/>
  <c r="T237" i="36"/>
  <c r="S237" i="36"/>
  <c r="Q237" i="36"/>
  <c r="O237" i="36"/>
  <c r="M237" i="36"/>
  <c r="K237" i="36"/>
  <c r="X236" i="36"/>
  <c r="W236" i="36"/>
  <c r="V236" i="36"/>
  <c r="U236" i="36"/>
  <c r="T236" i="36"/>
  <c r="S236" i="36"/>
  <c r="Q236" i="36"/>
  <c r="O236" i="36"/>
  <c r="M236" i="36"/>
  <c r="K236" i="36"/>
  <c r="X235" i="36"/>
  <c r="W235" i="36"/>
  <c r="V235" i="36"/>
  <c r="U235" i="36"/>
  <c r="T235" i="36"/>
  <c r="S235" i="36"/>
  <c r="Q235" i="36"/>
  <c r="O235" i="36"/>
  <c r="M235" i="36"/>
  <c r="K235" i="36"/>
  <c r="X234" i="36"/>
  <c r="W234" i="36"/>
  <c r="V234" i="36"/>
  <c r="U234" i="36"/>
  <c r="T234" i="36"/>
  <c r="S234" i="36"/>
  <c r="Q234" i="36"/>
  <c r="O234" i="36"/>
  <c r="M234" i="36"/>
  <c r="K234" i="36"/>
  <c r="X233" i="36"/>
  <c r="W233" i="36"/>
  <c r="V233" i="36"/>
  <c r="U233" i="36"/>
  <c r="T233" i="36"/>
  <c r="S233" i="36"/>
  <c r="Q233" i="36"/>
  <c r="O233" i="36"/>
  <c r="M233" i="36"/>
  <c r="K233" i="36"/>
  <c r="X232" i="36"/>
  <c r="W232" i="36"/>
  <c r="V232" i="36"/>
  <c r="U232" i="36"/>
  <c r="T232" i="36"/>
  <c r="S232" i="36"/>
  <c r="Q232" i="36"/>
  <c r="O232" i="36"/>
  <c r="M232" i="36"/>
  <c r="K232" i="36"/>
  <c r="X231" i="36"/>
  <c r="W231" i="36"/>
  <c r="V231" i="36"/>
  <c r="U231" i="36"/>
  <c r="T231" i="36"/>
  <c r="S231" i="36"/>
  <c r="Q231" i="36"/>
  <c r="O231" i="36"/>
  <c r="M231" i="36"/>
  <c r="K231" i="36"/>
  <c r="X230" i="36"/>
  <c r="W230" i="36"/>
  <c r="V230" i="36"/>
  <c r="U230" i="36"/>
  <c r="T230" i="36"/>
  <c r="S230" i="36"/>
  <c r="Q230" i="36"/>
  <c r="O230" i="36"/>
  <c r="M230" i="36"/>
  <c r="K230" i="36"/>
  <c r="X229" i="36"/>
  <c r="W229" i="36"/>
  <c r="V229" i="36"/>
  <c r="U229" i="36"/>
  <c r="T229" i="36"/>
  <c r="S229" i="36"/>
  <c r="Q229" i="36"/>
  <c r="O229" i="36"/>
  <c r="M229" i="36"/>
  <c r="K229" i="36"/>
  <c r="X228" i="36"/>
  <c r="W228" i="36"/>
  <c r="V228" i="36"/>
  <c r="U228" i="36"/>
  <c r="T228" i="36"/>
  <c r="S228" i="36"/>
  <c r="Q228" i="36"/>
  <c r="O228" i="36"/>
  <c r="M228" i="36"/>
  <c r="K228" i="36"/>
  <c r="X227" i="36"/>
  <c r="W227" i="36"/>
  <c r="V227" i="36"/>
  <c r="U227" i="36"/>
  <c r="T227" i="36"/>
  <c r="S227" i="36"/>
  <c r="Q227" i="36"/>
  <c r="O227" i="36"/>
  <c r="M227" i="36"/>
  <c r="K227" i="36"/>
  <c r="X226" i="36"/>
  <c r="W226" i="36"/>
  <c r="V226" i="36"/>
  <c r="U226" i="36"/>
  <c r="T226" i="36"/>
  <c r="S226" i="36"/>
  <c r="Q226" i="36"/>
  <c r="O226" i="36"/>
  <c r="M226" i="36"/>
  <c r="K226" i="36"/>
  <c r="X225" i="36"/>
  <c r="W225" i="36"/>
  <c r="V225" i="36"/>
  <c r="U225" i="36"/>
  <c r="T225" i="36"/>
  <c r="S225" i="36"/>
  <c r="Q225" i="36"/>
  <c r="O225" i="36"/>
  <c r="M225" i="36"/>
  <c r="K225" i="36"/>
  <c r="X224" i="36"/>
  <c r="W224" i="36"/>
  <c r="V224" i="36"/>
  <c r="U224" i="36"/>
  <c r="T224" i="36"/>
  <c r="S224" i="36"/>
  <c r="Q224" i="36"/>
  <c r="O224" i="36"/>
  <c r="M224" i="36"/>
  <c r="K224" i="36"/>
  <c r="X223" i="36"/>
  <c r="W223" i="36"/>
  <c r="V223" i="36"/>
  <c r="U223" i="36"/>
  <c r="T223" i="36"/>
  <c r="S223" i="36"/>
  <c r="Q223" i="36"/>
  <c r="O223" i="36"/>
  <c r="M223" i="36"/>
  <c r="K223" i="36"/>
  <c r="X222" i="36"/>
  <c r="W222" i="36"/>
  <c r="V222" i="36"/>
  <c r="U222" i="36"/>
  <c r="T222" i="36"/>
  <c r="S222" i="36"/>
  <c r="Q222" i="36"/>
  <c r="O222" i="36"/>
  <c r="M222" i="36"/>
  <c r="K222" i="36"/>
  <c r="X221" i="36"/>
  <c r="W221" i="36"/>
  <c r="V221" i="36"/>
  <c r="U221" i="36"/>
  <c r="T221" i="36"/>
  <c r="S221" i="36"/>
  <c r="Q221" i="36"/>
  <c r="O221" i="36"/>
  <c r="M221" i="36"/>
  <c r="K221" i="36"/>
  <c r="X220" i="36"/>
  <c r="W220" i="36"/>
  <c r="V220" i="36"/>
  <c r="U220" i="36"/>
  <c r="T220" i="36"/>
  <c r="S220" i="36"/>
  <c r="Q220" i="36"/>
  <c r="O220" i="36"/>
  <c r="M220" i="36"/>
  <c r="K220" i="36"/>
  <c r="X219" i="36"/>
  <c r="W219" i="36"/>
  <c r="V219" i="36"/>
  <c r="U219" i="36"/>
  <c r="T219" i="36"/>
  <c r="S219" i="36"/>
  <c r="Q219" i="36"/>
  <c r="O219" i="36"/>
  <c r="M219" i="36"/>
  <c r="K219" i="36"/>
  <c r="X218" i="36"/>
  <c r="W218" i="36"/>
  <c r="V218" i="36"/>
  <c r="U218" i="36"/>
  <c r="T218" i="36"/>
  <c r="S218" i="36"/>
  <c r="Q218" i="36"/>
  <c r="O218" i="36"/>
  <c r="M218" i="36"/>
  <c r="K218" i="36"/>
  <c r="X217" i="36"/>
  <c r="W217" i="36"/>
  <c r="V217" i="36"/>
  <c r="U217" i="36"/>
  <c r="T217" i="36"/>
  <c r="S217" i="36"/>
  <c r="Q217" i="36"/>
  <c r="O217" i="36"/>
  <c r="M217" i="36"/>
  <c r="K217" i="36"/>
  <c r="X216" i="36"/>
  <c r="W216" i="36"/>
  <c r="V216" i="36"/>
  <c r="U216" i="36"/>
  <c r="T216" i="36"/>
  <c r="S216" i="36"/>
  <c r="Q216" i="36"/>
  <c r="O216" i="36"/>
  <c r="M216" i="36"/>
  <c r="K216" i="36"/>
  <c r="X215" i="36"/>
  <c r="W215" i="36"/>
  <c r="V215" i="36"/>
  <c r="U215" i="36"/>
  <c r="T215" i="36"/>
  <c r="S215" i="36"/>
  <c r="Q215" i="36"/>
  <c r="O215" i="36"/>
  <c r="M215" i="36"/>
  <c r="K215" i="36"/>
  <c r="X214" i="36"/>
  <c r="W214" i="36"/>
  <c r="V214" i="36"/>
  <c r="U214" i="36"/>
  <c r="T214" i="36"/>
  <c r="S214" i="36"/>
  <c r="Q214" i="36"/>
  <c r="O214" i="36"/>
  <c r="M214" i="36"/>
  <c r="K214" i="36"/>
  <c r="X213" i="36"/>
  <c r="W213" i="36"/>
  <c r="V213" i="36"/>
  <c r="U213" i="36"/>
  <c r="T213" i="36"/>
  <c r="S213" i="36"/>
  <c r="Q213" i="36"/>
  <c r="O213" i="36"/>
  <c r="M213" i="36"/>
  <c r="K213" i="36"/>
  <c r="X212" i="36"/>
  <c r="W212" i="36"/>
  <c r="V212" i="36"/>
  <c r="U212" i="36"/>
  <c r="T212" i="36"/>
  <c r="S212" i="36"/>
  <c r="Q212" i="36"/>
  <c r="O212" i="36"/>
  <c r="M212" i="36"/>
  <c r="K212" i="36"/>
  <c r="X211" i="36"/>
  <c r="W211" i="36"/>
  <c r="V211" i="36"/>
  <c r="U211" i="36"/>
  <c r="T211" i="36"/>
  <c r="S211" i="36"/>
  <c r="Q211" i="36"/>
  <c r="O211" i="36"/>
  <c r="M211" i="36"/>
  <c r="K211" i="36"/>
  <c r="X210" i="36"/>
  <c r="W210" i="36"/>
  <c r="V210" i="36"/>
  <c r="U210" i="36"/>
  <c r="T210" i="36"/>
  <c r="S210" i="36"/>
  <c r="Q210" i="36"/>
  <c r="O210" i="36"/>
  <c r="M210" i="36"/>
  <c r="K210" i="36"/>
  <c r="X209" i="36"/>
  <c r="W209" i="36"/>
  <c r="V209" i="36"/>
  <c r="U209" i="36"/>
  <c r="T209" i="36"/>
  <c r="S209" i="36"/>
  <c r="Q209" i="36"/>
  <c r="O209" i="36"/>
  <c r="M209" i="36"/>
  <c r="K209" i="36"/>
  <c r="X208" i="36"/>
  <c r="W208" i="36"/>
  <c r="V208" i="36"/>
  <c r="U208" i="36"/>
  <c r="T208" i="36"/>
  <c r="S208" i="36"/>
  <c r="Q208" i="36"/>
  <c r="O208" i="36"/>
  <c r="M208" i="36"/>
  <c r="K208" i="36"/>
  <c r="X207" i="36"/>
  <c r="W207" i="36"/>
  <c r="V207" i="36"/>
  <c r="U207" i="36"/>
  <c r="T207" i="36"/>
  <c r="S207" i="36"/>
  <c r="Q207" i="36"/>
  <c r="O207" i="36"/>
  <c r="M207" i="36"/>
  <c r="K207" i="36"/>
  <c r="X206" i="36"/>
  <c r="W206" i="36"/>
  <c r="V206" i="36"/>
  <c r="U206" i="36"/>
  <c r="T206" i="36"/>
  <c r="S206" i="36"/>
  <c r="Q206" i="36"/>
  <c r="O206" i="36"/>
  <c r="M206" i="36"/>
  <c r="K206" i="36"/>
  <c r="X205" i="36"/>
  <c r="W205" i="36"/>
  <c r="V205" i="36"/>
  <c r="U205" i="36"/>
  <c r="T205" i="36"/>
  <c r="S205" i="36"/>
  <c r="Q205" i="36"/>
  <c r="O205" i="36"/>
  <c r="M205" i="36"/>
  <c r="K205" i="36"/>
  <c r="X204" i="36"/>
  <c r="W204" i="36"/>
  <c r="V204" i="36"/>
  <c r="U204" i="36"/>
  <c r="T204" i="36"/>
  <c r="S204" i="36"/>
  <c r="Q204" i="36"/>
  <c r="O204" i="36"/>
  <c r="M204" i="36"/>
  <c r="K204" i="36"/>
  <c r="X203" i="36"/>
  <c r="W203" i="36"/>
  <c r="V203" i="36"/>
  <c r="U203" i="36"/>
  <c r="T203" i="36"/>
  <c r="S203" i="36"/>
  <c r="Q203" i="36"/>
  <c r="O203" i="36"/>
  <c r="M203" i="36"/>
  <c r="K203" i="36"/>
  <c r="X202" i="36"/>
  <c r="W202" i="36"/>
  <c r="V202" i="36"/>
  <c r="U202" i="36"/>
  <c r="T202" i="36"/>
  <c r="S202" i="36"/>
  <c r="Q202" i="36"/>
  <c r="O202" i="36"/>
  <c r="M202" i="36"/>
  <c r="K202" i="36"/>
  <c r="X201" i="36"/>
  <c r="W201" i="36"/>
  <c r="V201" i="36"/>
  <c r="U201" i="36"/>
  <c r="T201" i="36"/>
  <c r="S201" i="36"/>
  <c r="Q201" i="36"/>
  <c r="O201" i="36"/>
  <c r="M201" i="36"/>
  <c r="K201" i="36"/>
  <c r="X200" i="36"/>
  <c r="W200" i="36"/>
  <c r="V200" i="36"/>
  <c r="U200" i="36"/>
  <c r="T200" i="36"/>
  <c r="S200" i="36"/>
  <c r="Q200" i="36"/>
  <c r="O200" i="36"/>
  <c r="M200" i="36"/>
  <c r="K200" i="36"/>
  <c r="X199" i="36"/>
  <c r="W199" i="36"/>
  <c r="V199" i="36"/>
  <c r="U199" i="36"/>
  <c r="T199" i="36"/>
  <c r="S199" i="36"/>
  <c r="Q199" i="36"/>
  <c r="O199" i="36"/>
  <c r="M199" i="36"/>
  <c r="K199" i="36"/>
  <c r="X198" i="36"/>
  <c r="W198" i="36"/>
  <c r="V198" i="36"/>
  <c r="U198" i="36"/>
  <c r="T198" i="36"/>
  <c r="S198" i="36"/>
  <c r="Q198" i="36"/>
  <c r="O198" i="36"/>
  <c r="M198" i="36"/>
  <c r="K198" i="36"/>
  <c r="X197" i="36"/>
  <c r="W197" i="36"/>
  <c r="V197" i="36"/>
  <c r="U197" i="36"/>
  <c r="T197" i="36"/>
  <c r="S197" i="36"/>
  <c r="Q197" i="36"/>
  <c r="O197" i="36"/>
  <c r="M197" i="36"/>
  <c r="K197" i="36"/>
  <c r="X196" i="36"/>
  <c r="W196" i="36"/>
  <c r="V196" i="36"/>
  <c r="U196" i="36"/>
  <c r="T196" i="36"/>
  <c r="S196" i="36"/>
  <c r="Q196" i="36"/>
  <c r="O196" i="36"/>
  <c r="M196" i="36"/>
  <c r="K196" i="36"/>
  <c r="X195" i="36"/>
  <c r="W195" i="36"/>
  <c r="V195" i="36"/>
  <c r="U195" i="36"/>
  <c r="T195" i="36"/>
  <c r="S195" i="36"/>
  <c r="Q195" i="36"/>
  <c r="O195" i="36"/>
  <c r="M195" i="36"/>
  <c r="K195" i="36"/>
  <c r="X194" i="36"/>
  <c r="W194" i="36"/>
  <c r="V194" i="36"/>
  <c r="U194" i="36"/>
  <c r="T194" i="36"/>
  <c r="S194" i="36"/>
  <c r="Q194" i="36"/>
  <c r="O194" i="36"/>
  <c r="M194" i="36"/>
  <c r="K194" i="36"/>
  <c r="X193" i="36"/>
  <c r="W193" i="36"/>
  <c r="V193" i="36"/>
  <c r="U193" i="36"/>
  <c r="T193" i="36"/>
  <c r="S193" i="36"/>
  <c r="Q193" i="36"/>
  <c r="O193" i="36"/>
  <c r="M193" i="36"/>
  <c r="K193" i="36"/>
  <c r="X192" i="36"/>
  <c r="W192" i="36"/>
  <c r="V192" i="36"/>
  <c r="U192" i="36"/>
  <c r="T192" i="36"/>
  <c r="S192" i="36"/>
  <c r="Q192" i="36"/>
  <c r="O192" i="36"/>
  <c r="M192" i="36"/>
  <c r="K192" i="36"/>
  <c r="X191" i="36"/>
  <c r="W191" i="36"/>
  <c r="V191" i="36"/>
  <c r="U191" i="36"/>
  <c r="T191" i="36"/>
  <c r="S191" i="36"/>
  <c r="Q191" i="36"/>
  <c r="O191" i="36"/>
  <c r="M191" i="36"/>
  <c r="K191" i="36"/>
  <c r="X190" i="36"/>
  <c r="W190" i="36"/>
  <c r="V190" i="36"/>
  <c r="U190" i="36"/>
  <c r="T190" i="36"/>
  <c r="S190" i="36"/>
  <c r="Q190" i="36"/>
  <c r="O190" i="36"/>
  <c r="M190" i="36"/>
  <c r="K190" i="36"/>
  <c r="X189" i="36"/>
  <c r="W189" i="36"/>
  <c r="V189" i="36"/>
  <c r="U189" i="36"/>
  <c r="T189" i="36"/>
  <c r="S189" i="36"/>
  <c r="Q189" i="36"/>
  <c r="O189" i="36"/>
  <c r="M189" i="36"/>
  <c r="K189" i="36"/>
  <c r="X188" i="36"/>
  <c r="W188" i="36"/>
  <c r="V188" i="36"/>
  <c r="U188" i="36"/>
  <c r="T188" i="36"/>
  <c r="S188" i="36"/>
  <c r="Q188" i="36"/>
  <c r="O188" i="36"/>
  <c r="M188" i="36"/>
  <c r="K188" i="36"/>
  <c r="X187" i="36"/>
  <c r="W187" i="36"/>
  <c r="V187" i="36"/>
  <c r="U187" i="36"/>
  <c r="T187" i="36"/>
  <c r="S187" i="36"/>
  <c r="Q187" i="36"/>
  <c r="O187" i="36"/>
  <c r="M187" i="36"/>
  <c r="K187" i="36"/>
  <c r="X186" i="36"/>
  <c r="W186" i="36"/>
  <c r="V186" i="36"/>
  <c r="U186" i="36"/>
  <c r="T186" i="36"/>
  <c r="S186" i="36"/>
  <c r="Q186" i="36"/>
  <c r="O186" i="36"/>
  <c r="M186" i="36"/>
  <c r="K186" i="36"/>
  <c r="X185" i="36"/>
  <c r="W185" i="36"/>
  <c r="V185" i="36"/>
  <c r="U185" i="36"/>
  <c r="T185" i="36"/>
  <c r="S185" i="36"/>
  <c r="Q185" i="36"/>
  <c r="O185" i="36"/>
  <c r="M185" i="36"/>
  <c r="K185" i="36"/>
  <c r="X184" i="36"/>
  <c r="W184" i="36"/>
  <c r="V184" i="36"/>
  <c r="U184" i="36"/>
  <c r="T184" i="36"/>
  <c r="S184" i="36"/>
  <c r="Q184" i="36"/>
  <c r="O184" i="36"/>
  <c r="M184" i="36"/>
  <c r="K184" i="36"/>
  <c r="X183" i="36"/>
  <c r="W183" i="36"/>
  <c r="V183" i="36"/>
  <c r="U183" i="36"/>
  <c r="T183" i="36"/>
  <c r="S183" i="36"/>
  <c r="Q183" i="36"/>
  <c r="O183" i="36"/>
  <c r="M183" i="36"/>
  <c r="K183" i="36"/>
  <c r="X182" i="36"/>
  <c r="W182" i="36"/>
  <c r="V182" i="36"/>
  <c r="U182" i="36"/>
  <c r="T182" i="36"/>
  <c r="S182" i="36"/>
  <c r="Q182" i="36"/>
  <c r="O182" i="36"/>
  <c r="M182" i="36"/>
  <c r="K182" i="36"/>
  <c r="X181" i="36"/>
  <c r="W181" i="36"/>
  <c r="V181" i="36"/>
  <c r="U181" i="36"/>
  <c r="T181" i="36"/>
  <c r="S181" i="36"/>
  <c r="Q181" i="36"/>
  <c r="O181" i="36"/>
  <c r="M181" i="36"/>
  <c r="K181" i="36"/>
  <c r="X180" i="36"/>
  <c r="W180" i="36"/>
  <c r="V180" i="36"/>
  <c r="U180" i="36"/>
  <c r="T180" i="36"/>
  <c r="S180" i="36"/>
  <c r="Q180" i="36"/>
  <c r="O180" i="36"/>
  <c r="M180" i="36"/>
  <c r="K180" i="36"/>
  <c r="X179" i="36"/>
  <c r="W179" i="36"/>
  <c r="V179" i="36"/>
  <c r="U179" i="36"/>
  <c r="T179" i="36"/>
  <c r="S179" i="36"/>
  <c r="Q179" i="36"/>
  <c r="O179" i="36"/>
  <c r="M179" i="36"/>
  <c r="K179" i="36"/>
  <c r="X178" i="36"/>
  <c r="W178" i="36"/>
  <c r="V178" i="36"/>
  <c r="U178" i="36"/>
  <c r="T178" i="36"/>
  <c r="S178" i="36"/>
  <c r="Q178" i="36"/>
  <c r="O178" i="36"/>
  <c r="M178" i="36"/>
  <c r="K178" i="36"/>
  <c r="X177" i="36"/>
  <c r="W177" i="36"/>
  <c r="V177" i="36"/>
  <c r="U177" i="36"/>
  <c r="T177" i="36"/>
  <c r="S177" i="36"/>
  <c r="Q177" i="36"/>
  <c r="O177" i="36"/>
  <c r="M177" i="36"/>
  <c r="K177" i="36"/>
  <c r="X176" i="36"/>
  <c r="W176" i="36"/>
  <c r="V176" i="36"/>
  <c r="U176" i="36"/>
  <c r="T176" i="36"/>
  <c r="S176" i="36"/>
  <c r="Q176" i="36"/>
  <c r="O176" i="36"/>
  <c r="M176" i="36"/>
  <c r="K176" i="36"/>
  <c r="X175" i="36"/>
  <c r="W175" i="36"/>
  <c r="V175" i="36"/>
  <c r="U175" i="36"/>
  <c r="T175" i="36"/>
  <c r="S175" i="36"/>
  <c r="Q175" i="36"/>
  <c r="O175" i="36"/>
  <c r="M175" i="36"/>
  <c r="K175" i="36"/>
  <c r="X174" i="36"/>
  <c r="W174" i="36"/>
  <c r="V174" i="36"/>
  <c r="U174" i="36"/>
  <c r="T174" i="36"/>
  <c r="S174" i="36"/>
  <c r="Q174" i="36"/>
  <c r="O174" i="36"/>
  <c r="M174" i="36"/>
  <c r="K174" i="36"/>
  <c r="X173" i="36"/>
  <c r="W173" i="36"/>
  <c r="V173" i="36"/>
  <c r="U173" i="36"/>
  <c r="T173" i="36"/>
  <c r="S173" i="36"/>
  <c r="Q173" i="36"/>
  <c r="O173" i="36"/>
  <c r="M173" i="36"/>
  <c r="K173" i="36"/>
  <c r="X172" i="36"/>
  <c r="W172" i="36"/>
  <c r="V172" i="36"/>
  <c r="U172" i="36"/>
  <c r="T172" i="36"/>
  <c r="S172" i="36"/>
  <c r="Q172" i="36"/>
  <c r="O172" i="36"/>
  <c r="M172" i="36"/>
  <c r="K172" i="36"/>
  <c r="X171" i="36"/>
  <c r="W171" i="36"/>
  <c r="V171" i="36"/>
  <c r="U171" i="36"/>
  <c r="T171" i="36"/>
  <c r="S171" i="36"/>
  <c r="Q171" i="36"/>
  <c r="O171" i="36"/>
  <c r="M171" i="36"/>
  <c r="K171" i="36"/>
  <c r="X170" i="36"/>
  <c r="W170" i="36"/>
  <c r="V170" i="36"/>
  <c r="U170" i="36"/>
  <c r="T170" i="36"/>
  <c r="S170" i="36"/>
  <c r="Q170" i="36"/>
  <c r="O170" i="36"/>
  <c r="M170" i="36"/>
  <c r="K170" i="36"/>
  <c r="X169" i="36"/>
  <c r="W169" i="36"/>
  <c r="V169" i="36"/>
  <c r="U169" i="36"/>
  <c r="T169" i="36"/>
  <c r="S169" i="36"/>
  <c r="Q169" i="36"/>
  <c r="O169" i="36"/>
  <c r="M169" i="36"/>
  <c r="K169" i="36"/>
  <c r="X168" i="36"/>
  <c r="W168" i="36"/>
  <c r="V168" i="36"/>
  <c r="U168" i="36"/>
  <c r="T168" i="36"/>
  <c r="S168" i="36"/>
  <c r="Q168" i="36"/>
  <c r="O168" i="36"/>
  <c r="M168" i="36"/>
  <c r="K168" i="36"/>
  <c r="X167" i="36"/>
  <c r="W167" i="36"/>
  <c r="V167" i="36"/>
  <c r="U167" i="36"/>
  <c r="T167" i="36"/>
  <c r="S167" i="36"/>
  <c r="Q167" i="36"/>
  <c r="O167" i="36"/>
  <c r="M167" i="36"/>
  <c r="K167" i="36"/>
  <c r="X166" i="36"/>
  <c r="W166" i="36"/>
  <c r="V166" i="36"/>
  <c r="U166" i="36"/>
  <c r="T166" i="36"/>
  <c r="S166" i="36"/>
  <c r="Q166" i="36"/>
  <c r="O166" i="36"/>
  <c r="M166" i="36"/>
  <c r="K166" i="36"/>
  <c r="X165" i="36"/>
  <c r="W165" i="36"/>
  <c r="V165" i="36"/>
  <c r="U165" i="36"/>
  <c r="T165" i="36"/>
  <c r="S165" i="36"/>
  <c r="Q165" i="36"/>
  <c r="O165" i="36"/>
  <c r="M165" i="36"/>
  <c r="K165" i="36"/>
  <c r="X164" i="36"/>
  <c r="W164" i="36"/>
  <c r="V164" i="36"/>
  <c r="U164" i="36"/>
  <c r="T164" i="36"/>
  <c r="S164" i="36"/>
  <c r="Q164" i="36"/>
  <c r="O164" i="36"/>
  <c r="M164" i="36"/>
  <c r="K164" i="36"/>
  <c r="X163" i="36"/>
  <c r="W163" i="36"/>
  <c r="V163" i="36"/>
  <c r="U163" i="36"/>
  <c r="T163" i="36"/>
  <c r="S163" i="36"/>
  <c r="Q163" i="36"/>
  <c r="O163" i="36"/>
  <c r="M163" i="36"/>
  <c r="K163" i="36"/>
  <c r="X162" i="36"/>
  <c r="W162" i="36"/>
  <c r="V162" i="36"/>
  <c r="U162" i="36"/>
  <c r="T162" i="36"/>
  <c r="S162" i="36"/>
  <c r="Q162" i="36"/>
  <c r="O162" i="36"/>
  <c r="M162" i="36"/>
  <c r="K162" i="36"/>
  <c r="X161" i="36"/>
  <c r="W161" i="36"/>
  <c r="V161" i="36"/>
  <c r="U161" i="36"/>
  <c r="T161" i="36"/>
  <c r="S161" i="36"/>
  <c r="Q161" i="36"/>
  <c r="O161" i="36"/>
  <c r="M161" i="36"/>
  <c r="K161" i="36"/>
  <c r="X160" i="36"/>
  <c r="W160" i="36"/>
  <c r="V160" i="36"/>
  <c r="U160" i="36"/>
  <c r="T160" i="36"/>
  <c r="S160" i="36"/>
  <c r="Q160" i="36"/>
  <c r="O160" i="36"/>
  <c r="M160" i="36"/>
  <c r="K160" i="36"/>
  <c r="X159" i="36"/>
  <c r="W159" i="36"/>
  <c r="V159" i="36"/>
  <c r="U159" i="36"/>
  <c r="T159" i="36"/>
  <c r="S159" i="36"/>
  <c r="Q159" i="36"/>
  <c r="O159" i="36"/>
  <c r="M159" i="36"/>
  <c r="K159" i="36"/>
  <c r="X158" i="36"/>
  <c r="W158" i="36"/>
  <c r="V158" i="36"/>
  <c r="U158" i="36"/>
  <c r="T158" i="36"/>
  <c r="S158" i="36"/>
  <c r="Q158" i="36"/>
  <c r="O158" i="36"/>
  <c r="M158" i="36"/>
  <c r="K158" i="36"/>
  <c r="X157" i="36"/>
  <c r="W157" i="36"/>
  <c r="V157" i="36"/>
  <c r="U157" i="36"/>
  <c r="T157" i="36"/>
  <c r="S157" i="36"/>
  <c r="Q157" i="36"/>
  <c r="O157" i="36"/>
  <c r="M157" i="36"/>
  <c r="K157" i="36"/>
  <c r="X156" i="36"/>
  <c r="W156" i="36"/>
  <c r="V156" i="36"/>
  <c r="U156" i="36"/>
  <c r="T156" i="36"/>
  <c r="S156" i="36"/>
  <c r="Q156" i="36"/>
  <c r="O156" i="36"/>
  <c r="M156" i="36"/>
  <c r="K156" i="36"/>
  <c r="X155" i="36"/>
  <c r="W155" i="36"/>
  <c r="V155" i="36"/>
  <c r="U155" i="36"/>
  <c r="T155" i="36"/>
  <c r="S155" i="36"/>
  <c r="Q155" i="36"/>
  <c r="O155" i="36"/>
  <c r="M155" i="36"/>
  <c r="K155" i="36"/>
  <c r="X154" i="36"/>
  <c r="W154" i="36"/>
  <c r="V154" i="36"/>
  <c r="U154" i="36"/>
  <c r="T154" i="36"/>
  <c r="S154" i="36"/>
  <c r="Q154" i="36"/>
  <c r="O154" i="36"/>
  <c r="M154" i="36"/>
  <c r="K154" i="36"/>
  <c r="X153" i="36"/>
  <c r="W153" i="36"/>
  <c r="V153" i="36"/>
  <c r="U153" i="36"/>
  <c r="T153" i="36"/>
  <c r="S153" i="36"/>
  <c r="Q153" i="36"/>
  <c r="O153" i="36"/>
  <c r="M153" i="36"/>
  <c r="K153" i="36"/>
  <c r="X152" i="36"/>
  <c r="W152" i="36"/>
  <c r="V152" i="36"/>
  <c r="U152" i="36"/>
  <c r="T152" i="36"/>
  <c r="S152" i="36"/>
  <c r="Q152" i="36"/>
  <c r="O152" i="36"/>
  <c r="M152" i="36"/>
  <c r="K152" i="36"/>
  <c r="X151" i="36"/>
  <c r="W151" i="36"/>
  <c r="V151" i="36"/>
  <c r="U151" i="36"/>
  <c r="T151" i="36"/>
  <c r="S151" i="36"/>
  <c r="Q151" i="36"/>
  <c r="O151" i="36"/>
  <c r="M151" i="36"/>
  <c r="K151" i="36"/>
  <c r="X150" i="36"/>
  <c r="W150" i="36"/>
  <c r="V150" i="36"/>
  <c r="U150" i="36"/>
  <c r="T150" i="36"/>
  <c r="S150" i="36"/>
  <c r="Q150" i="36"/>
  <c r="O150" i="36"/>
  <c r="M150" i="36"/>
  <c r="K150" i="36"/>
  <c r="X149" i="36"/>
  <c r="W149" i="36"/>
  <c r="V149" i="36"/>
  <c r="U149" i="36"/>
  <c r="T149" i="36"/>
  <c r="S149" i="36"/>
  <c r="Q149" i="36"/>
  <c r="O149" i="36"/>
  <c r="M149" i="36"/>
  <c r="K149" i="36"/>
  <c r="X148" i="36"/>
  <c r="W148" i="36"/>
  <c r="V148" i="36"/>
  <c r="U148" i="36"/>
  <c r="T148" i="36"/>
  <c r="S148" i="36"/>
  <c r="Q148" i="36"/>
  <c r="O148" i="36"/>
  <c r="M148" i="36"/>
  <c r="K148" i="36"/>
  <c r="X147" i="36"/>
  <c r="W147" i="36"/>
  <c r="V147" i="36"/>
  <c r="U147" i="36"/>
  <c r="T147" i="36"/>
  <c r="S147" i="36"/>
  <c r="Q147" i="36"/>
  <c r="O147" i="36"/>
  <c r="M147" i="36"/>
  <c r="K147" i="36"/>
  <c r="X146" i="36"/>
  <c r="W146" i="36"/>
  <c r="V146" i="36"/>
  <c r="U146" i="36"/>
  <c r="T146" i="36"/>
  <c r="S146" i="36"/>
  <c r="Q146" i="36"/>
  <c r="O146" i="36"/>
  <c r="M146" i="36"/>
  <c r="K146" i="36"/>
  <c r="X145" i="36"/>
  <c r="W145" i="36"/>
  <c r="V145" i="36"/>
  <c r="U145" i="36"/>
  <c r="T145" i="36"/>
  <c r="S145" i="36"/>
  <c r="Q145" i="36"/>
  <c r="O145" i="36"/>
  <c r="M145" i="36"/>
  <c r="K145" i="36"/>
  <c r="X144" i="36"/>
  <c r="W144" i="36"/>
  <c r="V144" i="36"/>
  <c r="U144" i="36"/>
  <c r="T144" i="36"/>
  <c r="S144" i="36"/>
  <c r="Q144" i="36"/>
  <c r="O144" i="36"/>
  <c r="M144" i="36"/>
  <c r="K144" i="36"/>
  <c r="X143" i="36"/>
  <c r="W143" i="36"/>
  <c r="V143" i="36"/>
  <c r="U143" i="36"/>
  <c r="T143" i="36"/>
  <c r="S143" i="36"/>
  <c r="Q143" i="36"/>
  <c r="O143" i="36"/>
  <c r="M143" i="36"/>
  <c r="K143" i="36"/>
  <c r="X142" i="36"/>
  <c r="W142" i="36"/>
  <c r="V142" i="36"/>
  <c r="U142" i="36"/>
  <c r="T142" i="36"/>
  <c r="S142" i="36"/>
  <c r="Q142" i="36"/>
  <c r="O142" i="36"/>
  <c r="M142" i="36"/>
  <c r="K142" i="36"/>
  <c r="X141" i="36"/>
  <c r="W141" i="36"/>
  <c r="V141" i="36"/>
  <c r="U141" i="36"/>
  <c r="T141" i="36"/>
  <c r="S141" i="36"/>
  <c r="Q141" i="36"/>
  <c r="O141" i="36"/>
  <c r="M141" i="36"/>
  <c r="K141" i="36"/>
  <c r="X140" i="36"/>
  <c r="W140" i="36"/>
  <c r="V140" i="36"/>
  <c r="U140" i="36"/>
  <c r="T140" i="36"/>
  <c r="S140" i="36"/>
  <c r="Q140" i="36"/>
  <c r="O140" i="36"/>
  <c r="M140" i="36"/>
  <c r="K140" i="36"/>
  <c r="X139" i="36"/>
  <c r="W139" i="36"/>
  <c r="V139" i="36"/>
  <c r="U139" i="36"/>
  <c r="T139" i="36"/>
  <c r="S139" i="36"/>
  <c r="Q139" i="36"/>
  <c r="O139" i="36"/>
  <c r="M139" i="36"/>
  <c r="K139" i="36"/>
  <c r="X138" i="36"/>
  <c r="W138" i="36"/>
  <c r="V138" i="36"/>
  <c r="U138" i="36"/>
  <c r="T138" i="36"/>
  <c r="S138" i="36"/>
  <c r="Q138" i="36"/>
  <c r="O138" i="36"/>
  <c r="M138" i="36"/>
  <c r="K138" i="36"/>
  <c r="X137" i="36"/>
  <c r="W137" i="36"/>
  <c r="V137" i="36"/>
  <c r="U137" i="36"/>
  <c r="T137" i="36"/>
  <c r="S137" i="36"/>
  <c r="Q137" i="36"/>
  <c r="O137" i="36"/>
  <c r="M137" i="36"/>
  <c r="K137" i="36"/>
  <c r="X136" i="36"/>
  <c r="W136" i="36"/>
  <c r="V136" i="36"/>
  <c r="U136" i="36"/>
  <c r="T136" i="36"/>
  <c r="S136" i="36"/>
  <c r="Q136" i="36"/>
  <c r="O136" i="36"/>
  <c r="M136" i="36"/>
  <c r="K136" i="36"/>
  <c r="X135" i="36"/>
  <c r="W135" i="36"/>
  <c r="V135" i="36"/>
  <c r="U135" i="36"/>
  <c r="T135" i="36"/>
  <c r="S135" i="36"/>
  <c r="Q135" i="36"/>
  <c r="O135" i="36"/>
  <c r="M135" i="36"/>
  <c r="K135" i="36"/>
  <c r="X134" i="36"/>
  <c r="W134" i="36"/>
  <c r="V134" i="36"/>
  <c r="U134" i="36"/>
  <c r="T134" i="36"/>
  <c r="S134" i="36"/>
  <c r="Q134" i="36"/>
  <c r="O134" i="36"/>
  <c r="M134" i="36"/>
  <c r="K134" i="36"/>
  <c r="X133" i="36"/>
  <c r="W133" i="36"/>
  <c r="V133" i="36"/>
  <c r="U133" i="36"/>
  <c r="T133" i="36"/>
  <c r="S133" i="36"/>
  <c r="Q133" i="36"/>
  <c r="O133" i="36"/>
  <c r="M133" i="36"/>
  <c r="K133" i="36"/>
  <c r="X132" i="36"/>
  <c r="W132" i="36"/>
  <c r="V132" i="36"/>
  <c r="U132" i="36"/>
  <c r="T132" i="36"/>
  <c r="S132" i="36"/>
  <c r="Q132" i="36"/>
  <c r="O132" i="36"/>
  <c r="M132" i="36"/>
  <c r="K132" i="36"/>
  <c r="X131" i="36"/>
  <c r="W131" i="36"/>
  <c r="V131" i="36"/>
  <c r="U131" i="36"/>
  <c r="T131" i="36"/>
  <c r="S131" i="36"/>
  <c r="Q131" i="36"/>
  <c r="O131" i="36"/>
  <c r="M131" i="36"/>
  <c r="K131" i="36"/>
  <c r="X130" i="36"/>
  <c r="W130" i="36"/>
  <c r="V130" i="36"/>
  <c r="U130" i="36"/>
  <c r="T130" i="36"/>
  <c r="S130" i="36"/>
  <c r="Q130" i="36"/>
  <c r="O130" i="36"/>
  <c r="M130" i="36"/>
  <c r="K130" i="36"/>
  <c r="X129" i="36"/>
  <c r="W129" i="36"/>
  <c r="V129" i="36"/>
  <c r="U129" i="36"/>
  <c r="T129" i="36"/>
  <c r="S129" i="36"/>
  <c r="Q129" i="36"/>
  <c r="O129" i="36"/>
  <c r="M129" i="36"/>
  <c r="K129" i="36"/>
  <c r="X128" i="36"/>
  <c r="W128" i="36"/>
  <c r="V128" i="36"/>
  <c r="U128" i="36"/>
  <c r="T128" i="36"/>
  <c r="S128" i="36"/>
  <c r="Q128" i="36"/>
  <c r="O128" i="36"/>
  <c r="M128" i="36"/>
  <c r="K128" i="36"/>
  <c r="X127" i="36"/>
  <c r="W127" i="36"/>
  <c r="V127" i="36"/>
  <c r="U127" i="36"/>
  <c r="T127" i="36"/>
  <c r="S127" i="36"/>
  <c r="Q127" i="36"/>
  <c r="O127" i="36"/>
  <c r="M127" i="36"/>
  <c r="K127" i="36"/>
  <c r="X126" i="36"/>
  <c r="W126" i="36"/>
  <c r="V126" i="36"/>
  <c r="U126" i="36"/>
  <c r="T126" i="36"/>
  <c r="S126" i="36"/>
  <c r="Q126" i="36"/>
  <c r="O126" i="36"/>
  <c r="M126" i="36"/>
  <c r="K126" i="36"/>
  <c r="X125" i="36"/>
  <c r="W125" i="36"/>
  <c r="V125" i="36"/>
  <c r="U125" i="36"/>
  <c r="T125" i="36"/>
  <c r="S125" i="36"/>
  <c r="Q125" i="36"/>
  <c r="O125" i="36"/>
  <c r="M125" i="36"/>
  <c r="K125" i="36"/>
  <c r="X124" i="36"/>
  <c r="W124" i="36"/>
  <c r="V124" i="36"/>
  <c r="U124" i="36"/>
  <c r="T124" i="36"/>
  <c r="S124" i="36"/>
  <c r="Q124" i="36"/>
  <c r="O124" i="36"/>
  <c r="M124" i="36"/>
  <c r="K124" i="36"/>
  <c r="X123" i="36"/>
  <c r="W123" i="36"/>
  <c r="V123" i="36"/>
  <c r="U123" i="36"/>
  <c r="T123" i="36"/>
  <c r="S123" i="36"/>
  <c r="Q123" i="36"/>
  <c r="O123" i="36"/>
  <c r="M123" i="36"/>
  <c r="K123" i="36"/>
  <c r="X122" i="36"/>
  <c r="W122" i="36"/>
  <c r="V122" i="36"/>
  <c r="U122" i="36"/>
  <c r="T122" i="36"/>
  <c r="S122" i="36"/>
  <c r="Q122" i="36"/>
  <c r="O122" i="36"/>
  <c r="M122" i="36"/>
  <c r="K122" i="36"/>
  <c r="X121" i="36"/>
  <c r="W121" i="36"/>
  <c r="V121" i="36"/>
  <c r="U121" i="36"/>
  <c r="T121" i="36"/>
  <c r="S121" i="36"/>
  <c r="Q121" i="36"/>
  <c r="O121" i="36"/>
  <c r="M121" i="36"/>
  <c r="K121" i="36"/>
  <c r="X120" i="36"/>
  <c r="W120" i="36"/>
  <c r="V120" i="36"/>
  <c r="U120" i="36"/>
  <c r="T120" i="36"/>
  <c r="S120" i="36"/>
  <c r="Q120" i="36"/>
  <c r="O120" i="36"/>
  <c r="M120" i="36"/>
  <c r="K120" i="36"/>
  <c r="X119" i="36"/>
  <c r="W119" i="36"/>
  <c r="V119" i="36"/>
  <c r="U119" i="36"/>
  <c r="T119" i="36"/>
  <c r="S119" i="36"/>
  <c r="Q119" i="36"/>
  <c r="O119" i="36"/>
  <c r="M119" i="36"/>
  <c r="K119" i="36"/>
  <c r="X118" i="36"/>
  <c r="W118" i="36"/>
  <c r="V118" i="36"/>
  <c r="U118" i="36"/>
  <c r="T118" i="36"/>
  <c r="S118" i="36"/>
  <c r="Q118" i="36"/>
  <c r="O118" i="36"/>
  <c r="M118" i="36"/>
  <c r="K118" i="36"/>
  <c r="X117" i="36"/>
  <c r="W117" i="36"/>
  <c r="V117" i="36"/>
  <c r="U117" i="36"/>
  <c r="T117" i="36"/>
  <c r="S117" i="36"/>
  <c r="Q117" i="36"/>
  <c r="O117" i="36"/>
  <c r="M117" i="36"/>
  <c r="K117" i="36"/>
  <c r="X116" i="36"/>
  <c r="W116" i="36"/>
  <c r="V116" i="36"/>
  <c r="U116" i="36"/>
  <c r="T116" i="36"/>
  <c r="S116" i="36"/>
  <c r="Q116" i="36"/>
  <c r="O116" i="36"/>
  <c r="M116" i="36"/>
  <c r="K116" i="36"/>
  <c r="X115" i="36"/>
  <c r="W115" i="36"/>
  <c r="V115" i="36"/>
  <c r="U115" i="36"/>
  <c r="T115" i="36"/>
  <c r="S115" i="36"/>
  <c r="Q115" i="36"/>
  <c r="O115" i="36"/>
  <c r="M115" i="36"/>
  <c r="K115" i="36"/>
  <c r="X114" i="36"/>
  <c r="W114" i="36"/>
  <c r="V114" i="36"/>
  <c r="U114" i="36"/>
  <c r="T114" i="36"/>
  <c r="S114" i="36"/>
  <c r="Q114" i="36"/>
  <c r="O114" i="36"/>
  <c r="M114" i="36"/>
  <c r="K114" i="36"/>
  <c r="X113" i="36"/>
  <c r="W113" i="36"/>
  <c r="V113" i="36"/>
  <c r="U113" i="36"/>
  <c r="T113" i="36"/>
  <c r="S113" i="36"/>
  <c r="Q113" i="36"/>
  <c r="O113" i="36"/>
  <c r="M113" i="36"/>
  <c r="K113" i="36"/>
  <c r="X112" i="36"/>
  <c r="W112" i="36"/>
  <c r="V112" i="36"/>
  <c r="U112" i="36"/>
  <c r="T112" i="36"/>
  <c r="S112" i="36"/>
  <c r="Q112" i="36"/>
  <c r="O112" i="36"/>
  <c r="M112" i="36"/>
  <c r="K112" i="36"/>
  <c r="X111" i="36"/>
  <c r="W111" i="36"/>
  <c r="V111" i="36"/>
  <c r="U111" i="36"/>
  <c r="T111" i="36"/>
  <c r="S111" i="36"/>
  <c r="Q111" i="36"/>
  <c r="O111" i="36"/>
  <c r="M111" i="36"/>
  <c r="K111" i="36"/>
  <c r="X110" i="36"/>
  <c r="W110" i="36"/>
  <c r="V110" i="36"/>
  <c r="U110" i="36"/>
  <c r="T110" i="36"/>
  <c r="S110" i="36"/>
  <c r="Q110" i="36"/>
  <c r="O110" i="36"/>
  <c r="M110" i="36"/>
  <c r="K110" i="36"/>
  <c r="X109" i="36"/>
  <c r="W109" i="36"/>
  <c r="V109" i="36"/>
  <c r="U109" i="36"/>
  <c r="T109" i="36"/>
  <c r="S109" i="36"/>
  <c r="Q109" i="36"/>
  <c r="O109" i="36"/>
  <c r="M109" i="36"/>
  <c r="K109" i="36"/>
  <c r="X108" i="36"/>
  <c r="W108" i="36"/>
  <c r="V108" i="36"/>
  <c r="U108" i="36"/>
  <c r="T108" i="36"/>
  <c r="S108" i="36"/>
  <c r="Q108" i="36"/>
  <c r="O108" i="36"/>
  <c r="M108" i="36"/>
  <c r="K108" i="36"/>
  <c r="X107" i="36"/>
  <c r="W107" i="36"/>
  <c r="V107" i="36"/>
  <c r="U107" i="36"/>
  <c r="T107" i="36"/>
  <c r="S107" i="36"/>
  <c r="Q107" i="36"/>
  <c r="O107" i="36"/>
  <c r="M107" i="36"/>
  <c r="K107" i="36"/>
  <c r="X106" i="36"/>
  <c r="W106" i="36"/>
  <c r="V106" i="36"/>
  <c r="U106" i="36"/>
  <c r="T106" i="36"/>
  <c r="S106" i="36"/>
  <c r="Q106" i="36"/>
  <c r="O106" i="36"/>
  <c r="M106" i="36"/>
  <c r="K106" i="36"/>
  <c r="X105" i="36"/>
  <c r="W105" i="36"/>
  <c r="V105" i="36"/>
  <c r="U105" i="36"/>
  <c r="T105" i="36"/>
  <c r="S105" i="36"/>
  <c r="Q105" i="36"/>
  <c r="O105" i="36"/>
  <c r="M105" i="36"/>
  <c r="K105" i="36"/>
  <c r="X104" i="36"/>
  <c r="W104" i="36"/>
  <c r="V104" i="36"/>
  <c r="U104" i="36"/>
  <c r="T104" i="36"/>
  <c r="S104" i="36"/>
  <c r="Q104" i="36"/>
  <c r="O104" i="36"/>
  <c r="M104" i="36"/>
  <c r="K104" i="36"/>
  <c r="X103" i="36"/>
  <c r="W103" i="36"/>
  <c r="V103" i="36"/>
  <c r="U103" i="36"/>
  <c r="T103" i="36"/>
  <c r="S103" i="36"/>
  <c r="Q103" i="36"/>
  <c r="O103" i="36"/>
  <c r="M103" i="36"/>
  <c r="K103" i="36"/>
  <c r="X102" i="36"/>
  <c r="W102" i="36"/>
  <c r="V102" i="36"/>
  <c r="U102" i="36"/>
  <c r="T102" i="36"/>
  <c r="S102" i="36"/>
  <c r="Q102" i="36"/>
  <c r="O102" i="36"/>
  <c r="M102" i="36"/>
  <c r="K102" i="36"/>
  <c r="X101" i="36"/>
  <c r="W101" i="36"/>
  <c r="V101" i="36"/>
  <c r="U101" i="36"/>
  <c r="T101" i="36"/>
  <c r="S101" i="36"/>
  <c r="Q101" i="36"/>
  <c r="O101" i="36"/>
  <c r="M101" i="36"/>
  <c r="K101" i="36"/>
  <c r="X100" i="36"/>
  <c r="W100" i="36"/>
  <c r="V100" i="36"/>
  <c r="U100" i="36"/>
  <c r="T100" i="36"/>
  <c r="S100" i="36"/>
  <c r="Q100" i="36"/>
  <c r="O100" i="36"/>
  <c r="M100" i="36"/>
  <c r="K100" i="36"/>
  <c r="X99" i="36"/>
  <c r="W99" i="36"/>
  <c r="V99" i="36"/>
  <c r="U99" i="36"/>
  <c r="T99" i="36"/>
  <c r="S99" i="36"/>
  <c r="Q99" i="36"/>
  <c r="O99" i="36"/>
  <c r="M99" i="36"/>
  <c r="K99" i="36"/>
  <c r="X98" i="36"/>
  <c r="W98" i="36"/>
  <c r="V98" i="36"/>
  <c r="U98" i="36"/>
  <c r="T98" i="36"/>
  <c r="S98" i="36"/>
  <c r="Q98" i="36"/>
  <c r="O98" i="36"/>
  <c r="M98" i="36"/>
  <c r="K98" i="36"/>
  <c r="X97" i="36"/>
  <c r="W97" i="36"/>
  <c r="V97" i="36"/>
  <c r="U97" i="36"/>
  <c r="T97" i="36"/>
  <c r="S97" i="36"/>
  <c r="Q97" i="36"/>
  <c r="O97" i="36"/>
  <c r="M97" i="36"/>
  <c r="K97" i="36"/>
  <c r="X96" i="36"/>
  <c r="W96" i="36"/>
  <c r="V96" i="36"/>
  <c r="U96" i="36"/>
  <c r="T96" i="36"/>
  <c r="S96" i="36"/>
  <c r="Q96" i="36"/>
  <c r="O96" i="36"/>
  <c r="M96" i="36"/>
  <c r="K96" i="36"/>
  <c r="X95" i="36"/>
  <c r="W95" i="36"/>
  <c r="V95" i="36"/>
  <c r="U95" i="36"/>
  <c r="T95" i="36"/>
  <c r="S95" i="36"/>
  <c r="Q95" i="36"/>
  <c r="O95" i="36"/>
  <c r="M95" i="36"/>
  <c r="K95" i="36"/>
  <c r="X94" i="36"/>
  <c r="W94" i="36"/>
  <c r="V94" i="36"/>
  <c r="U94" i="36"/>
  <c r="T94" i="36"/>
  <c r="S94" i="36"/>
  <c r="Q94" i="36"/>
  <c r="O94" i="36"/>
  <c r="M94" i="36"/>
  <c r="K94" i="36"/>
  <c r="X93" i="36"/>
  <c r="W93" i="36"/>
  <c r="V93" i="36"/>
  <c r="U93" i="36"/>
  <c r="T93" i="36"/>
  <c r="S93" i="36"/>
  <c r="Q93" i="36"/>
  <c r="O93" i="36"/>
  <c r="M93" i="36"/>
  <c r="K93" i="36"/>
  <c r="X92" i="36"/>
  <c r="W92" i="36"/>
  <c r="V92" i="36"/>
  <c r="U92" i="36"/>
  <c r="T92" i="36"/>
  <c r="S92" i="36"/>
  <c r="Q92" i="36"/>
  <c r="O92" i="36"/>
  <c r="M92" i="36"/>
  <c r="K92" i="36"/>
  <c r="X91" i="36"/>
  <c r="W91" i="36"/>
  <c r="V91" i="36"/>
  <c r="U91" i="36"/>
  <c r="T91" i="36"/>
  <c r="S91" i="36"/>
  <c r="Q91" i="36"/>
  <c r="O91" i="36"/>
  <c r="M91" i="36"/>
  <c r="K91" i="36"/>
  <c r="X90" i="36"/>
  <c r="W90" i="36"/>
  <c r="V90" i="36"/>
  <c r="U90" i="36"/>
  <c r="T90" i="36"/>
  <c r="S90" i="36"/>
  <c r="Q90" i="36"/>
  <c r="O90" i="36"/>
  <c r="M90" i="36"/>
  <c r="K90" i="36"/>
  <c r="X89" i="36"/>
  <c r="W89" i="36"/>
  <c r="V89" i="36"/>
  <c r="U89" i="36"/>
  <c r="T89" i="36"/>
  <c r="S89" i="36"/>
  <c r="Q89" i="36"/>
  <c r="O89" i="36"/>
  <c r="M89" i="36"/>
  <c r="K89" i="36"/>
  <c r="X88" i="36"/>
  <c r="W88" i="36"/>
  <c r="V88" i="36"/>
  <c r="U88" i="36"/>
  <c r="T88" i="36"/>
  <c r="S88" i="36"/>
  <c r="Q88" i="36"/>
  <c r="O88" i="36"/>
  <c r="M88" i="36"/>
  <c r="K88" i="36"/>
  <c r="X87" i="36"/>
  <c r="W87" i="36"/>
  <c r="V87" i="36"/>
  <c r="U87" i="36"/>
  <c r="T87" i="36"/>
  <c r="S87" i="36"/>
  <c r="Q87" i="36"/>
  <c r="O87" i="36"/>
  <c r="M87" i="36"/>
  <c r="K87" i="36"/>
  <c r="X86" i="36"/>
  <c r="W86" i="36"/>
  <c r="V86" i="36"/>
  <c r="U86" i="36"/>
  <c r="T86" i="36"/>
  <c r="S86" i="36"/>
  <c r="Q86" i="36"/>
  <c r="O86" i="36"/>
  <c r="M86" i="36"/>
  <c r="K86" i="36"/>
  <c r="X85" i="36"/>
  <c r="W85" i="36"/>
  <c r="V85" i="36"/>
  <c r="U85" i="36"/>
  <c r="T85" i="36"/>
  <c r="S85" i="36"/>
  <c r="Q85" i="36"/>
  <c r="O85" i="36"/>
  <c r="M85" i="36"/>
  <c r="K85" i="36"/>
  <c r="X84" i="36"/>
  <c r="W84" i="36"/>
  <c r="V84" i="36"/>
  <c r="U84" i="36"/>
  <c r="T84" i="36"/>
  <c r="S84" i="36"/>
  <c r="Q84" i="36"/>
  <c r="O84" i="36"/>
  <c r="M84" i="36"/>
  <c r="K84" i="36"/>
  <c r="X83" i="36"/>
  <c r="W83" i="36"/>
  <c r="V83" i="36"/>
  <c r="U83" i="36"/>
  <c r="T83" i="36"/>
  <c r="S83" i="36"/>
  <c r="Q83" i="36"/>
  <c r="O83" i="36"/>
  <c r="M83" i="36"/>
  <c r="K83" i="36"/>
  <c r="X82" i="36"/>
  <c r="W82" i="36"/>
  <c r="V82" i="36"/>
  <c r="U82" i="36"/>
  <c r="T82" i="36"/>
  <c r="S82" i="36"/>
  <c r="Q82" i="36"/>
  <c r="O82" i="36"/>
  <c r="M82" i="36"/>
  <c r="K82" i="36"/>
  <c r="X81" i="36"/>
  <c r="W81" i="36"/>
  <c r="V81" i="36"/>
  <c r="U81" i="36"/>
  <c r="T81" i="36"/>
  <c r="S81" i="36"/>
  <c r="Q81" i="36"/>
  <c r="O81" i="36"/>
  <c r="M81" i="36"/>
  <c r="K81" i="36"/>
  <c r="X80" i="36"/>
  <c r="W80" i="36"/>
  <c r="V80" i="36"/>
  <c r="U80" i="36"/>
  <c r="T80" i="36"/>
  <c r="S80" i="36"/>
  <c r="Q80" i="36"/>
  <c r="O80" i="36"/>
  <c r="M80" i="36"/>
  <c r="K80" i="36"/>
  <c r="X79" i="36"/>
  <c r="W79" i="36"/>
  <c r="V79" i="36"/>
  <c r="U79" i="36"/>
  <c r="T79" i="36"/>
  <c r="S79" i="36"/>
  <c r="Q79" i="36"/>
  <c r="O79" i="36"/>
  <c r="M79" i="36"/>
  <c r="K79" i="36"/>
  <c r="X78" i="36"/>
  <c r="W78" i="36"/>
  <c r="V78" i="36"/>
  <c r="U78" i="36"/>
  <c r="T78" i="36"/>
  <c r="S78" i="36"/>
  <c r="Q78" i="36"/>
  <c r="O78" i="36"/>
  <c r="M78" i="36"/>
  <c r="K78" i="36"/>
  <c r="X77" i="36"/>
  <c r="W77" i="36"/>
  <c r="V77" i="36"/>
  <c r="U77" i="36"/>
  <c r="T77" i="36"/>
  <c r="S77" i="36"/>
  <c r="Q77" i="36"/>
  <c r="O77" i="36"/>
  <c r="M77" i="36"/>
  <c r="K77" i="36"/>
  <c r="X76" i="36"/>
  <c r="W76" i="36"/>
  <c r="V76" i="36"/>
  <c r="U76" i="36"/>
  <c r="T76" i="36"/>
  <c r="S76" i="36"/>
  <c r="Q76" i="36"/>
  <c r="O76" i="36"/>
  <c r="M76" i="36"/>
  <c r="K76" i="36"/>
  <c r="X75" i="36"/>
  <c r="W75" i="36"/>
  <c r="V75" i="36"/>
  <c r="U75" i="36"/>
  <c r="T75" i="36"/>
  <c r="S75" i="36"/>
  <c r="Q75" i="36"/>
  <c r="O75" i="36"/>
  <c r="M75" i="36"/>
  <c r="K75" i="36"/>
  <c r="X74" i="36"/>
  <c r="W74" i="36"/>
  <c r="V74" i="36"/>
  <c r="U74" i="36"/>
  <c r="T74" i="36"/>
  <c r="S74" i="36"/>
  <c r="Q74" i="36"/>
  <c r="O74" i="36"/>
  <c r="M74" i="36"/>
  <c r="K74" i="36"/>
  <c r="X73" i="36"/>
  <c r="W73" i="36"/>
  <c r="V73" i="36"/>
  <c r="U73" i="36"/>
  <c r="T73" i="36"/>
  <c r="S73" i="36"/>
  <c r="Q73" i="36"/>
  <c r="O73" i="36"/>
  <c r="M73" i="36"/>
  <c r="K73" i="36"/>
  <c r="X72" i="36"/>
  <c r="W72" i="36"/>
  <c r="V72" i="36"/>
  <c r="U72" i="36"/>
  <c r="T72" i="36"/>
  <c r="S72" i="36"/>
  <c r="Q72" i="36"/>
  <c r="O72" i="36"/>
  <c r="M72" i="36"/>
  <c r="K72" i="36"/>
  <c r="X71" i="36"/>
  <c r="W71" i="36"/>
  <c r="V71" i="36"/>
  <c r="U71" i="36"/>
  <c r="T71" i="36"/>
  <c r="S71" i="36"/>
  <c r="Q71" i="36"/>
  <c r="O71" i="36"/>
  <c r="M71" i="36"/>
  <c r="K71" i="36"/>
  <c r="X70" i="36"/>
  <c r="W70" i="36"/>
  <c r="V70" i="36"/>
  <c r="U70" i="36"/>
  <c r="T70" i="36"/>
  <c r="S70" i="36"/>
  <c r="Q70" i="36"/>
  <c r="O70" i="36"/>
  <c r="M70" i="36"/>
  <c r="K70" i="36"/>
  <c r="X69" i="36"/>
  <c r="W69" i="36"/>
  <c r="V69" i="36"/>
  <c r="U69" i="36"/>
  <c r="T69" i="36"/>
  <c r="S69" i="36"/>
  <c r="Q69" i="36"/>
  <c r="O69" i="36"/>
  <c r="M69" i="36"/>
  <c r="K69" i="36"/>
  <c r="X68" i="36"/>
  <c r="W68" i="36"/>
  <c r="V68" i="36"/>
  <c r="U68" i="36"/>
  <c r="T68" i="36"/>
  <c r="S68" i="36"/>
  <c r="Q68" i="36"/>
  <c r="O68" i="36"/>
  <c r="M68" i="36"/>
  <c r="K68" i="36"/>
  <c r="X67" i="36"/>
  <c r="W67" i="36"/>
  <c r="V67" i="36"/>
  <c r="U67" i="36"/>
  <c r="T67" i="36"/>
  <c r="S67" i="36"/>
  <c r="Q67" i="36"/>
  <c r="O67" i="36"/>
  <c r="M67" i="36"/>
  <c r="K67" i="36"/>
  <c r="X66" i="36"/>
  <c r="W66" i="36"/>
  <c r="V66" i="36"/>
  <c r="U66" i="36"/>
  <c r="T66" i="36"/>
  <c r="S66" i="36"/>
  <c r="Q66" i="36"/>
  <c r="O66" i="36"/>
  <c r="M66" i="36"/>
  <c r="K66" i="36"/>
  <c r="X65" i="36"/>
  <c r="W65" i="36"/>
  <c r="V65" i="36"/>
  <c r="U65" i="36"/>
  <c r="T65" i="36"/>
  <c r="S65" i="36"/>
  <c r="Q65" i="36"/>
  <c r="O65" i="36"/>
  <c r="M65" i="36"/>
  <c r="K65" i="36"/>
  <c r="X64" i="36"/>
  <c r="W64" i="36"/>
  <c r="V64" i="36"/>
  <c r="U64" i="36"/>
  <c r="T64" i="36"/>
  <c r="S64" i="36"/>
  <c r="Q64" i="36"/>
  <c r="O64" i="36"/>
  <c r="M64" i="36"/>
  <c r="K64" i="36"/>
  <c r="X63" i="36"/>
  <c r="W63" i="36"/>
  <c r="V63" i="36"/>
  <c r="U63" i="36"/>
  <c r="T63" i="36"/>
  <c r="S63" i="36"/>
  <c r="Q63" i="36"/>
  <c r="O63" i="36"/>
  <c r="M63" i="36"/>
  <c r="K63" i="36"/>
  <c r="X62" i="36"/>
  <c r="W62" i="36"/>
  <c r="V62" i="36"/>
  <c r="U62" i="36"/>
  <c r="T62" i="36"/>
  <c r="S62" i="36"/>
  <c r="Q62" i="36"/>
  <c r="O62" i="36"/>
  <c r="M62" i="36"/>
  <c r="K62" i="36"/>
  <c r="X61" i="36"/>
  <c r="W61" i="36"/>
  <c r="V61" i="36"/>
  <c r="U61" i="36"/>
  <c r="T61" i="36"/>
  <c r="S61" i="36"/>
  <c r="Q61" i="36"/>
  <c r="O61" i="36"/>
  <c r="M61" i="36"/>
  <c r="K61" i="36"/>
  <c r="X60" i="36"/>
  <c r="W60" i="36"/>
  <c r="V60" i="36"/>
  <c r="U60" i="36"/>
  <c r="T60" i="36"/>
  <c r="S60" i="36"/>
  <c r="Q60" i="36"/>
  <c r="O60" i="36"/>
  <c r="M60" i="36"/>
  <c r="K60" i="36"/>
  <c r="X59" i="36"/>
  <c r="W59" i="36"/>
  <c r="V59" i="36"/>
  <c r="U59" i="36"/>
  <c r="T59" i="36"/>
  <c r="S59" i="36"/>
  <c r="Q59" i="36"/>
  <c r="O59" i="36"/>
  <c r="M59" i="36"/>
  <c r="K59" i="36"/>
  <c r="X58" i="36"/>
  <c r="W58" i="36"/>
  <c r="V58" i="36"/>
  <c r="U58" i="36"/>
  <c r="T58" i="36"/>
  <c r="S58" i="36"/>
  <c r="Q58" i="36"/>
  <c r="O58" i="36"/>
  <c r="M58" i="36"/>
  <c r="K58" i="36"/>
  <c r="X57" i="36"/>
  <c r="W57" i="36"/>
  <c r="V57" i="36"/>
  <c r="U57" i="36"/>
  <c r="T57" i="36"/>
  <c r="S57" i="36"/>
  <c r="Q57" i="36"/>
  <c r="O57" i="36"/>
  <c r="M57" i="36"/>
  <c r="K57" i="36"/>
  <c r="X56" i="36"/>
  <c r="W56" i="36"/>
  <c r="V56" i="36"/>
  <c r="U56" i="36"/>
  <c r="T56" i="36"/>
  <c r="S56" i="36"/>
  <c r="Q56" i="36"/>
  <c r="O56" i="36"/>
  <c r="M56" i="36"/>
  <c r="K56" i="36"/>
  <c r="X55" i="36"/>
  <c r="W55" i="36"/>
  <c r="V55" i="36"/>
  <c r="U55" i="36"/>
  <c r="T55" i="36"/>
  <c r="S55" i="36"/>
  <c r="Q55" i="36"/>
  <c r="O55" i="36"/>
  <c r="M55" i="36"/>
  <c r="K55" i="36"/>
  <c r="X54" i="36"/>
  <c r="W54" i="36"/>
  <c r="V54" i="36"/>
  <c r="U54" i="36"/>
  <c r="T54" i="36"/>
  <c r="S54" i="36"/>
  <c r="Q54" i="36"/>
  <c r="O54" i="36"/>
  <c r="M54" i="36"/>
  <c r="K54" i="36"/>
  <c r="X53" i="36"/>
  <c r="W53" i="36"/>
  <c r="V53" i="36"/>
  <c r="U53" i="36"/>
  <c r="T53" i="36"/>
  <c r="S53" i="36"/>
  <c r="Q53" i="36"/>
  <c r="O53" i="36"/>
  <c r="M53" i="36"/>
  <c r="K53" i="36"/>
  <c r="X52" i="36"/>
  <c r="W52" i="36"/>
  <c r="V52" i="36"/>
  <c r="U52" i="36"/>
  <c r="T52" i="36"/>
  <c r="S52" i="36"/>
  <c r="Q52" i="36"/>
  <c r="O52" i="36"/>
  <c r="M52" i="36"/>
  <c r="K52" i="36"/>
  <c r="X51" i="36"/>
  <c r="W51" i="36"/>
  <c r="V51" i="36"/>
  <c r="U51" i="36"/>
  <c r="T51" i="36"/>
  <c r="S51" i="36"/>
  <c r="Q51" i="36"/>
  <c r="O51" i="36"/>
  <c r="M51" i="36"/>
  <c r="K51" i="36"/>
  <c r="X50" i="36"/>
  <c r="W50" i="36"/>
  <c r="V50" i="36"/>
  <c r="U50" i="36"/>
  <c r="T50" i="36"/>
  <c r="S50" i="36"/>
  <c r="Q50" i="36"/>
  <c r="O50" i="36"/>
  <c r="M50" i="36"/>
  <c r="K50" i="36"/>
  <c r="X49" i="36"/>
  <c r="W49" i="36"/>
  <c r="V49" i="36"/>
  <c r="U49" i="36"/>
  <c r="T49" i="36"/>
  <c r="S49" i="36"/>
  <c r="Q49" i="36"/>
  <c r="O49" i="36"/>
  <c r="M49" i="36"/>
  <c r="K49" i="36"/>
  <c r="X48" i="36"/>
  <c r="W48" i="36"/>
  <c r="V48" i="36"/>
  <c r="U48" i="36"/>
  <c r="T48" i="36"/>
  <c r="S48" i="36"/>
  <c r="Q48" i="36"/>
  <c r="O48" i="36"/>
  <c r="M48" i="36"/>
  <c r="K48" i="36"/>
  <c r="X47" i="36"/>
  <c r="W47" i="36"/>
  <c r="V47" i="36"/>
  <c r="U47" i="36"/>
  <c r="T47" i="36"/>
  <c r="S47" i="36"/>
  <c r="Q47" i="36"/>
  <c r="O47" i="36"/>
  <c r="M47" i="36"/>
  <c r="K47" i="36"/>
  <c r="X46" i="36"/>
  <c r="W46" i="36"/>
  <c r="V46" i="36"/>
  <c r="U46" i="36"/>
  <c r="T46" i="36"/>
  <c r="S46" i="36"/>
  <c r="Q46" i="36"/>
  <c r="O46" i="36"/>
  <c r="M46" i="36"/>
  <c r="K46" i="36"/>
  <c r="X45" i="36"/>
  <c r="W45" i="36"/>
  <c r="V45" i="36"/>
  <c r="U45" i="36"/>
  <c r="T45" i="36"/>
  <c r="S45" i="36"/>
  <c r="Q45" i="36"/>
  <c r="O45" i="36"/>
  <c r="M45" i="36"/>
  <c r="K45" i="36"/>
  <c r="X44" i="36"/>
  <c r="W44" i="36"/>
  <c r="V44" i="36"/>
  <c r="U44" i="36"/>
  <c r="T44" i="36"/>
  <c r="S44" i="36"/>
  <c r="Q44" i="36"/>
  <c r="O44" i="36"/>
  <c r="M44" i="36"/>
  <c r="K44" i="36"/>
  <c r="X43" i="36"/>
  <c r="W43" i="36"/>
  <c r="V43" i="36"/>
  <c r="U43" i="36"/>
  <c r="T43" i="36"/>
  <c r="S43" i="36"/>
  <c r="Q43" i="36"/>
  <c r="O43" i="36"/>
  <c r="M43" i="36"/>
  <c r="K43" i="36"/>
  <c r="X42" i="36"/>
  <c r="W42" i="36"/>
  <c r="V42" i="36"/>
  <c r="U42" i="36"/>
  <c r="T42" i="36"/>
  <c r="S42" i="36"/>
  <c r="Q42" i="36"/>
  <c r="O42" i="36"/>
  <c r="M42" i="36"/>
  <c r="K42" i="36"/>
  <c r="X41" i="36"/>
  <c r="W41" i="36"/>
  <c r="V41" i="36"/>
  <c r="U41" i="36"/>
  <c r="T41" i="36"/>
  <c r="S41" i="36"/>
  <c r="Q41" i="36"/>
  <c r="O41" i="36"/>
  <c r="M41" i="36"/>
  <c r="K41" i="36"/>
  <c r="X40" i="36"/>
  <c r="W40" i="36"/>
  <c r="V40" i="36"/>
  <c r="U40" i="36"/>
  <c r="T40" i="36"/>
  <c r="S40" i="36"/>
  <c r="Q40" i="36"/>
  <c r="O40" i="36"/>
  <c r="M40" i="36"/>
  <c r="K40" i="36"/>
  <c r="X39" i="36"/>
  <c r="W39" i="36"/>
  <c r="V39" i="36"/>
  <c r="U39" i="36"/>
  <c r="T39" i="36"/>
  <c r="S39" i="36"/>
  <c r="Q39" i="36"/>
  <c r="O39" i="36"/>
  <c r="M39" i="36"/>
  <c r="K39" i="36"/>
  <c r="X38" i="36"/>
  <c r="W38" i="36"/>
  <c r="V38" i="36"/>
  <c r="U38" i="36"/>
  <c r="T38" i="36"/>
  <c r="S38" i="36"/>
  <c r="Q38" i="36"/>
  <c r="O38" i="36"/>
  <c r="M38" i="36"/>
  <c r="K38" i="36"/>
  <c r="X37" i="36"/>
  <c r="W37" i="36"/>
  <c r="V37" i="36"/>
  <c r="U37" i="36"/>
  <c r="T37" i="36"/>
  <c r="S37" i="36"/>
  <c r="Q37" i="36"/>
  <c r="O37" i="36"/>
  <c r="M37" i="36"/>
  <c r="K37" i="36"/>
  <c r="X36" i="36"/>
  <c r="W36" i="36"/>
  <c r="V36" i="36"/>
  <c r="U36" i="36"/>
  <c r="T36" i="36"/>
  <c r="S36" i="36"/>
  <c r="Q36" i="36"/>
  <c r="O36" i="36"/>
  <c r="M36" i="36"/>
  <c r="K36" i="36"/>
  <c r="X35" i="36"/>
  <c r="W35" i="36"/>
  <c r="V35" i="36"/>
  <c r="U35" i="36"/>
  <c r="T35" i="36"/>
  <c r="S35" i="36"/>
  <c r="Q35" i="36"/>
  <c r="O35" i="36"/>
  <c r="M35" i="36"/>
  <c r="K35" i="36"/>
  <c r="X34" i="36"/>
  <c r="W34" i="36"/>
  <c r="V34" i="36"/>
  <c r="U34" i="36"/>
  <c r="T34" i="36"/>
  <c r="S34" i="36"/>
  <c r="Q34" i="36"/>
  <c r="O34" i="36"/>
  <c r="M34" i="36"/>
  <c r="K34" i="36"/>
  <c r="X33" i="36"/>
  <c r="W33" i="36"/>
  <c r="V33" i="36"/>
  <c r="U33" i="36"/>
  <c r="T33" i="36"/>
  <c r="S33" i="36"/>
  <c r="Q33" i="36"/>
  <c r="O33" i="36"/>
  <c r="M33" i="36"/>
  <c r="K33" i="36"/>
  <c r="X32" i="36"/>
  <c r="W32" i="36"/>
  <c r="V32" i="36"/>
  <c r="U32" i="36"/>
  <c r="T32" i="36"/>
  <c r="S32" i="36"/>
  <c r="Q32" i="36"/>
  <c r="O32" i="36"/>
  <c r="M32" i="36"/>
  <c r="K32" i="36"/>
  <c r="X31" i="36"/>
  <c r="W31" i="36"/>
  <c r="V31" i="36"/>
  <c r="U31" i="36"/>
  <c r="T31" i="36"/>
  <c r="S31" i="36"/>
  <c r="Q31" i="36"/>
  <c r="O31" i="36"/>
  <c r="M31" i="36"/>
  <c r="K31" i="36"/>
  <c r="X30" i="36"/>
  <c r="W30" i="36"/>
  <c r="V30" i="36"/>
  <c r="U30" i="36"/>
  <c r="T30" i="36"/>
  <c r="S30" i="36"/>
  <c r="Q30" i="36"/>
  <c r="O30" i="36"/>
  <c r="M30" i="36"/>
  <c r="K30" i="36"/>
  <c r="X29" i="36"/>
  <c r="W29" i="36"/>
  <c r="V29" i="36"/>
  <c r="U29" i="36"/>
  <c r="T29" i="36"/>
  <c r="S29" i="36"/>
  <c r="Q29" i="36"/>
  <c r="O29" i="36"/>
  <c r="M29" i="36"/>
  <c r="K29" i="36"/>
  <c r="X28" i="36"/>
  <c r="W28" i="36"/>
  <c r="V28" i="36"/>
  <c r="U28" i="36"/>
  <c r="T28" i="36"/>
  <c r="S28" i="36"/>
  <c r="Q28" i="36"/>
  <c r="O28" i="36"/>
  <c r="M28" i="36"/>
  <c r="K28" i="36"/>
  <c r="X27" i="36"/>
  <c r="W27" i="36"/>
  <c r="V27" i="36"/>
  <c r="U27" i="36"/>
  <c r="T27" i="36"/>
  <c r="S27" i="36"/>
  <c r="Q27" i="36"/>
  <c r="O27" i="36"/>
  <c r="M27" i="36"/>
  <c r="K27" i="36"/>
  <c r="X26" i="36"/>
  <c r="W26" i="36"/>
  <c r="V26" i="36"/>
  <c r="U26" i="36"/>
  <c r="T26" i="36"/>
  <c r="S26" i="36"/>
  <c r="Q26" i="36"/>
  <c r="O26" i="36"/>
  <c r="M26" i="36"/>
  <c r="K26" i="36"/>
  <c r="X25" i="36"/>
  <c r="W25" i="36"/>
  <c r="V25" i="36"/>
  <c r="U25" i="36"/>
  <c r="T25" i="36"/>
  <c r="S25" i="36"/>
  <c r="Q25" i="36"/>
  <c r="O25" i="36"/>
  <c r="M25" i="36"/>
  <c r="K25" i="36"/>
  <c r="X24" i="36"/>
  <c r="W24" i="36"/>
  <c r="V24" i="36"/>
  <c r="U24" i="36"/>
  <c r="T24" i="36"/>
  <c r="S24" i="36"/>
  <c r="Q24" i="36"/>
  <c r="O24" i="36"/>
  <c r="M24" i="36"/>
  <c r="K24" i="36"/>
  <c r="X23" i="36"/>
  <c r="W23" i="36"/>
  <c r="V23" i="36"/>
  <c r="U23" i="36"/>
  <c r="T23" i="36"/>
  <c r="S23" i="36"/>
  <c r="Q23" i="36"/>
  <c r="O23" i="36"/>
  <c r="M23" i="36"/>
  <c r="K23" i="36"/>
  <c r="X22" i="36"/>
  <c r="W22" i="36"/>
  <c r="V22" i="36"/>
  <c r="U22" i="36"/>
  <c r="T22" i="36"/>
  <c r="S22" i="36"/>
  <c r="Q22" i="36"/>
  <c r="O22" i="36"/>
  <c r="M22" i="36"/>
  <c r="K22" i="36"/>
  <c r="X21" i="36"/>
  <c r="W21" i="36"/>
  <c r="V21" i="36"/>
  <c r="U21" i="36"/>
  <c r="T21" i="36"/>
  <c r="S21" i="36"/>
  <c r="Q21" i="36"/>
  <c r="O21" i="36"/>
  <c r="M21" i="36"/>
  <c r="K21" i="36"/>
  <c r="X20" i="36"/>
  <c r="W20" i="36"/>
  <c r="V20" i="36"/>
  <c r="U20" i="36"/>
  <c r="T20" i="36"/>
  <c r="S20" i="36"/>
  <c r="Q20" i="36"/>
  <c r="O20" i="36"/>
  <c r="M20" i="36"/>
  <c r="K20" i="36"/>
  <c r="X19" i="36"/>
  <c r="W19" i="36"/>
  <c r="V19" i="36"/>
  <c r="U19" i="36"/>
  <c r="T19" i="36"/>
  <c r="S19" i="36"/>
  <c r="Q19" i="36"/>
  <c r="O19" i="36"/>
  <c r="M19" i="36"/>
  <c r="K19" i="36"/>
  <c r="X18" i="36"/>
  <c r="W18" i="36"/>
  <c r="V18" i="36"/>
  <c r="U18" i="36"/>
  <c r="T18" i="36"/>
  <c r="S18" i="36"/>
  <c r="Q18" i="36"/>
  <c r="O18" i="36"/>
  <c r="M18" i="36"/>
  <c r="K18" i="36"/>
  <c r="X17" i="36"/>
  <c r="W17" i="36"/>
  <c r="V17" i="36"/>
  <c r="U17" i="36"/>
  <c r="T17" i="36"/>
  <c r="S17" i="36"/>
  <c r="Q17" i="36"/>
  <c r="O17" i="36"/>
  <c r="M17" i="36"/>
  <c r="K17" i="36"/>
  <c r="X16" i="36"/>
  <c r="W16" i="36"/>
  <c r="V16" i="36"/>
  <c r="U16" i="36"/>
  <c r="T16" i="36"/>
  <c r="S16" i="36"/>
  <c r="Q16" i="36"/>
  <c r="O16" i="36"/>
  <c r="M16" i="36"/>
  <c r="K16" i="36"/>
  <c r="X15" i="36"/>
  <c r="W15" i="36"/>
  <c r="V15" i="36"/>
  <c r="U15" i="36"/>
  <c r="T15" i="36"/>
  <c r="S15" i="36"/>
  <c r="Q15" i="36"/>
  <c r="O15" i="36"/>
  <c r="M15" i="36"/>
  <c r="K15" i="36"/>
  <c r="X14" i="36"/>
  <c r="W14" i="36"/>
  <c r="V14" i="36"/>
  <c r="U14" i="36"/>
  <c r="T14" i="36"/>
  <c r="S14" i="36"/>
  <c r="Q14" i="36"/>
  <c r="O14" i="36"/>
  <c r="M14" i="36"/>
  <c r="K14" i="36"/>
  <c r="X13" i="36"/>
  <c r="W13" i="36"/>
  <c r="V13" i="36"/>
  <c r="U13" i="36"/>
  <c r="T13" i="36"/>
  <c r="S13" i="36"/>
  <c r="Q13" i="36"/>
  <c r="O13" i="36"/>
  <c r="M13" i="36"/>
  <c r="K13" i="36"/>
  <c r="X12" i="36"/>
  <c r="W12" i="36"/>
  <c r="V12" i="36"/>
  <c r="U12" i="36"/>
  <c r="T12" i="36"/>
  <c r="S12" i="36"/>
  <c r="Q12" i="36"/>
  <c r="O12" i="36"/>
  <c r="M12" i="36"/>
  <c r="K12" i="36"/>
  <c r="X11" i="36"/>
  <c r="W11" i="36"/>
  <c r="V11" i="36"/>
  <c r="U11" i="36"/>
  <c r="T11" i="36"/>
  <c r="S11" i="36"/>
  <c r="Q11" i="36"/>
  <c r="O11" i="36"/>
  <c r="M11" i="36"/>
  <c r="K11" i="36"/>
  <c r="X10" i="36"/>
  <c r="W10" i="36"/>
  <c r="V10" i="36"/>
  <c r="U10" i="36"/>
  <c r="T10" i="36"/>
  <c r="S10" i="36"/>
  <c r="Q10" i="36"/>
  <c r="O10" i="36"/>
  <c r="M10" i="36"/>
  <c r="K10" i="36"/>
  <c r="X9" i="36"/>
  <c r="W9" i="36"/>
  <c r="V9" i="36"/>
  <c r="U9" i="36"/>
  <c r="T9" i="36"/>
  <c r="S9" i="36"/>
  <c r="Q9" i="36"/>
  <c r="O9" i="36"/>
  <c r="M9" i="36"/>
  <c r="K9" i="36"/>
  <c r="X8" i="36"/>
  <c r="W8" i="36"/>
  <c r="V8" i="36"/>
  <c r="U8" i="36"/>
  <c r="T8" i="36"/>
  <c r="S8" i="36"/>
  <c r="Q8" i="36"/>
  <c r="O8" i="36"/>
  <c r="M8" i="36"/>
  <c r="K8" i="36"/>
  <c r="X7" i="36"/>
  <c r="W7" i="36"/>
  <c r="V7" i="36"/>
  <c r="U7" i="36"/>
  <c r="T7" i="36"/>
  <c r="S7" i="36"/>
  <c r="Q7" i="36"/>
  <c r="O7" i="36"/>
  <c r="M7" i="36"/>
  <c r="K7" i="36"/>
  <c r="X345" i="35"/>
  <c r="W345" i="35"/>
  <c r="V345" i="35"/>
  <c r="U345" i="35"/>
  <c r="T345" i="35"/>
  <c r="S345" i="35"/>
  <c r="Q345" i="35"/>
  <c r="O345" i="35"/>
  <c r="M345" i="35"/>
  <c r="K345" i="35"/>
  <c r="X344" i="35"/>
  <c r="W344" i="35"/>
  <c r="V344" i="35"/>
  <c r="U344" i="35"/>
  <c r="T344" i="35"/>
  <c r="S344" i="35"/>
  <c r="Q344" i="35"/>
  <c r="O344" i="35"/>
  <c r="M344" i="35"/>
  <c r="K344" i="35"/>
  <c r="X343" i="35"/>
  <c r="W343" i="35"/>
  <c r="V343" i="35"/>
  <c r="U343" i="35"/>
  <c r="T343" i="35"/>
  <c r="S343" i="35"/>
  <c r="Q343" i="35"/>
  <c r="O343" i="35"/>
  <c r="M343" i="35"/>
  <c r="K343" i="35"/>
  <c r="X342" i="35"/>
  <c r="W342" i="35"/>
  <c r="V342" i="35"/>
  <c r="U342" i="35"/>
  <c r="T342" i="35"/>
  <c r="S342" i="35"/>
  <c r="Q342" i="35"/>
  <c r="O342" i="35"/>
  <c r="M342" i="35"/>
  <c r="K342" i="35"/>
  <c r="X341" i="35"/>
  <c r="W341" i="35"/>
  <c r="V341" i="35"/>
  <c r="U341" i="35"/>
  <c r="T341" i="35"/>
  <c r="S341" i="35"/>
  <c r="Q341" i="35"/>
  <c r="O341" i="35"/>
  <c r="M341" i="35"/>
  <c r="K341" i="35"/>
  <c r="X340" i="35"/>
  <c r="W340" i="35"/>
  <c r="V340" i="35"/>
  <c r="U340" i="35"/>
  <c r="T340" i="35"/>
  <c r="S340" i="35"/>
  <c r="Q340" i="35"/>
  <c r="O340" i="35"/>
  <c r="M340" i="35"/>
  <c r="K340" i="35"/>
  <c r="X339" i="35"/>
  <c r="W339" i="35"/>
  <c r="V339" i="35"/>
  <c r="U339" i="35"/>
  <c r="T339" i="35"/>
  <c r="S339" i="35"/>
  <c r="Q339" i="35"/>
  <c r="O339" i="35"/>
  <c r="M339" i="35"/>
  <c r="K339" i="35"/>
  <c r="X338" i="35"/>
  <c r="W338" i="35"/>
  <c r="V338" i="35"/>
  <c r="U338" i="35"/>
  <c r="T338" i="35"/>
  <c r="S338" i="35"/>
  <c r="Q338" i="35"/>
  <c r="O338" i="35"/>
  <c r="M338" i="35"/>
  <c r="K338" i="35"/>
  <c r="X337" i="35"/>
  <c r="W337" i="35"/>
  <c r="V337" i="35"/>
  <c r="U337" i="35"/>
  <c r="T337" i="35"/>
  <c r="S337" i="35"/>
  <c r="Q337" i="35"/>
  <c r="O337" i="35"/>
  <c r="M337" i="35"/>
  <c r="K337" i="35"/>
  <c r="X336" i="35"/>
  <c r="W336" i="35"/>
  <c r="V336" i="35"/>
  <c r="U336" i="35"/>
  <c r="T336" i="35"/>
  <c r="S336" i="35"/>
  <c r="Q336" i="35"/>
  <c r="O336" i="35"/>
  <c r="M336" i="35"/>
  <c r="K336" i="35"/>
  <c r="X335" i="35"/>
  <c r="W335" i="35"/>
  <c r="V335" i="35"/>
  <c r="U335" i="35"/>
  <c r="T335" i="35"/>
  <c r="S335" i="35"/>
  <c r="Q335" i="35"/>
  <c r="O335" i="35"/>
  <c r="M335" i="35"/>
  <c r="K335" i="35"/>
  <c r="X334" i="35"/>
  <c r="W334" i="35"/>
  <c r="V334" i="35"/>
  <c r="U334" i="35"/>
  <c r="T334" i="35"/>
  <c r="S334" i="35"/>
  <c r="Q334" i="35"/>
  <c r="O334" i="35"/>
  <c r="M334" i="35"/>
  <c r="K334" i="35"/>
  <c r="X333" i="35"/>
  <c r="W333" i="35"/>
  <c r="V333" i="35"/>
  <c r="U333" i="35"/>
  <c r="T333" i="35"/>
  <c r="S333" i="35"/>
  <c r="Q333" i="35"/>
  <c r="O333" i="35"/>
  <c r="M333" i="35"/>
  <c r="K333" i="35"/>
  <c r="X332" i="35"/>
  <c r="W332" i="35"/>
  <c r="V332" i="35"/>
  <c r="U332" i="35"/>
  <c r="T332" i="35"/>
  <c r="S332" i="35"/>
  <c r="Q332" i="35"/>
  <c r="O332" i="35"/>
  <c r="M332" i="35"/>
  <c r="K332" i="35"/>
  <c r="X331" i="35"/>
  <c r="W331" i="35"/>
  <c r="V331" i="35"/>
  <c r="U331" i="35"/>
  <c r="T331" i="35"/>
  <c r="S331" i="35"/>
  <c r="Q331" i="35"/>
  <c r="O331" i="35"/>
  <c r="M331" i="35"/>
  <c r="K331" i="35"/>
  <c r="X330" i="35"/>
  <c r="W330" i="35"/>
  <c r="V330" i="35"/>
  <c r="U330" i="35"/>
  <c r="T330" i="35"/>
  <c r="S330" i="35"/>
  <c r="Q330" i="35"/>
  <c r="O330" i="35"/>
  <c r="M330" i="35"/>
  <c r="K330" i="35"/>
  <c r="X329" i="35"/>
  <c r="W329" i="35"/>
  <c r="V329" i="35"/>
  <c r="U329" i="35"/>
  <c r="T329" i="35"/>
  <c r="S329" i="35"/>
  <c r="Q329" i="35"/>
  <c r="O329" i="35"/>
  <c r="M329" i="35"/>
  <c r="K329" i="35"/>
  <c r="X328" i="35"/>
  <c r="W328" i="35"/>
  <c r="V328" i="35"/>
  <c r="U328" i="35"/>
  <c r="T328" i="35"/>
  <c r="S328" i="35"/>
  <c r="Q328" i="35"/>
  <c r="O328" i="35"/>
  <c r="M328" i="35"/>
  <c r="K328" i="35"/>
  <c r="X327" i="35"/>
  <c r="W327" i="35"/>
  <c r="V327" i="35"/>
  <c r="U327" i="35"/>
  <c r="T327" i="35"/>
  <c r="S327" i="35"/>
  <c r="Q327" i="35"/>
  <c r="O327" i="35"/>
  <c r="M327" i="35"/>
  <c r="K327" i="35"/>
  <c r="X326" i="35"/>
  <c r="W326" i="35"/>
  <c r="V326" i="35"/>
  <c r="U326" i="35"/>
  <c r="T326" i="35"/>
  <c r="S326" i="35"/>
  <c r="Q326" i="35"/>
  <c r="O326" i="35"/>
  <c r="M326" i="35"/>
  <c r="K326" i="35"/>
  <c r="X325" i="35"/>
  <c r="W325" i="35"/>
  <c r="V325" i="35"/>
  <c r="U325" i="35"/>
  <c r="T325" i="35"/>
  <c r="S325" i="35"/>
  <c r="Q325" i="35"/>
  <c r="O325" i="35"/>
  <c r="M325" i="35"/>
  <c r="K325" i="35"/>
  <c r="X324" i="35"/>
  <c r="W324" i="35"/>
  <c r="V324" i="35"/>
  <c r="U324" i="35"/>
  <c r="T324" i="35"/>
  <c r="S324" i="35"/>
  <c r="Q324" i="35"/>
  <c r="O324" i="35"/>
  <c r="M324" i="35"/>
  <c r="K324" i="35"/>
  <c r="X323" i="35"/>
  <c r="W323" i="35"/>
  <c r="V323" i="35"/>
  <c r="U323" i="35"/>
  <c r="T323" i="35"/>
  <c r="S323" i="35"/>
  <c r="Q323" i="35"/>
  <c r="O323" i="35"/>
  <c r="M323" i="35"/>
  <c r="K323" i="35"/>
  <c r="X322" i="35"/>
  <c r="W322" i="35"/>
  <c r="V322" i="35"/>
  <c r="U322" i="35"/>
  <c r="T322" i="35"/>
  <c r="S322" i="35"/>
  <c r="Q322" i="35"/>
  <c r="O322" i="35"/>
  <c r="M322" i="35"/>
  <c r="K322" i="35"/>
  <c r="X321" i="35"/>
  <c r="W321" i="35"/>
  <c r="V321" i="35"/>
  <c r="U321" i="35"/>
  <c r="T321" i="35"/>
  <c r="S321" i="35"/>
  <c r="Q321" i="35"/>
  <c r="O321" i="35"/>
  <c r="M321" i="35"/>
  <c r="K321" i="35"/>
  <c r="X320" i="35"/>
  <c r="W320" i="35"/>
  <c r="V320" i="35"/>
  <c r="U320" i="35"/>
  <c r="T320" i="35"/>
  <c r="S320" i="35"/>
  <c r="Q320" i="35"/>
  <c r="O320" i="35"/>
  <c r="M320" i="35"/>
  <c r="K320" i="35"/>
  <c r="X319" i="35"/>
  <c r="W319" i="35"/>
  <c r="V319" i="35"/>
  <c r="U319" i="35"/>
  <c r="T319" i="35"/>
  <c r="S319" i="35"/>
  <c r="Q319" i="35"/>
  <c r="O319" i="35"/>
  <c r="M319" i="35"/>
  <c r="K319" i="35"/>
  <c r="X318" i="35"/>
  <c r="W318" i="35"/>
  <c r="V318" i="35"/>
  <c r="U318" i="35"/>
  <c r="T318" i="35"/>
  <c r="S318" i="35"/>
  <c r="Q318" i="35"/>
  <c r="O318" i="35"/>
  <c r="M318" i="35"/>
  <c r="K318" i="35"/>
  <c r="X317" i="35"/>
  <c r="W317" i="35"/>
  <c r="V317" i="35"/>
  <c r="U317" i="35"/>
  <c r="T317" i="35"/>
  <c r="S317" i="35"/>
  <c r="Q317" i="35"/>
  <c r="O317" i="35"/>
  <c r="M317" i="35"/>
  <c r="K317" i="35"/>
  <c r="X316" i="35"/>
  <c r="W316" i="35"/>
  <c r="V316" i="35"/>
  <c r="U316" i="35"/>
  <c r="T316" i="35"/>
  <c r="S316" i="35"/>
  <c r="Q316" i="35"/>
  <c r="O316" i="35"/>
  <c r="M316" i="35"/>
  <c r="K316" i="35"/>
  <c r="X315" i="35"/>
  <c r="W315" i="35"/>
  <c r="V315" i="35"/>
  <c r="U315" i="35"/>
  <c r="T315" i="35"/>
  <c r="S315" i="35"/>
  <c r="Q315" i="35"/>
  <c r="O315" i="35"/>
  <c r="M315" i="35"/>
  <c r="K315" i="35"/>
  <c r="X314" i="35"/>
  <c r="W314" i="35"/>
  <c r="V314" i="35"/>
  <c r="U314" i="35"/>
  <c r="T314" i="35"/>
  <c r="S314" i="35"/>
  <c r="Q314" i="35"/>
  <c r="O314" i="35"/>
  <c r="M314" i="35"/>
  <c r="K314" i="35"/>
  <c r="X313" i="35"/>
  <c r="W313" i="35"/>
  <c r="V313" i="35"/>
  <c r="U313" i="35"/>
  <c r="T313" i="35"/>
  <c r="S313" i="35"/>
  <c r="Q313" i="35"/>
  <c r="O313" i="35"/>
  <c r="M313" i="35"/>
  <c r="K313" i="35"/>
  <c r="X312" i="35"/>
  <c r="W312" i="35"/>
  <c r="V312" i="35"/>
  <c r="U312" i="35"/>
  <c r="T312" i="35"/>
  <c r="S312" i="35"/>
  <c r="Q312" i="35"/>
  <c r="O312" i="35"/>
  <c r="M312" i="35"/>
  <c r="K312" i="35"/>
  <c r="X311" i="35"/>
  <c r="W311" i="35"/>
  <c r="V311" i="35"/>
  <c r="U311" i="35"/>
  <c r="T311" i="35"/>
  <c r="S311" i="35"/>
  <c r="Q311" i="35"/>
  <c r="O311" i="35"/>
  <c r="M311" i="35"/>
  <c r="K311" i="35"/>
  <c r="X310" i="35"/>
  <c r="W310" i="35"/>
  <c r="V310" i="35"/>
  <c r="U310" i="35"/>
  <c r="T310" i="35"/>
  <c r="S310" i="35"/>
  <c r="Q310" i="35"/>
  <c r="O310" i="35"/>
  <c r="M310" i="35"/>
  <c r="K310" i="35"/>
  <c r="X309" i="35"/>
  <c r="W309" i="35"/>
  <c r="V309" i="35"/>
  <c r="U309" i="35"/>
  <c r="T309" i="35"/>
  <c r="S309" i="35"/>
  <c r="Q309" i="35"/>
  <c r="O309" i="35"/>
  <c r="M309" i="35"/>
  <c r="K309" i="35"/>
  <c r="X308" i="35"/>
  <c r="W308" i="35"/>
  <c r="V308" i="35"/>
  <c r="U308" i="35"/>
  <c r="T308" i="35"/>
  <c r="S308" i="35"/>
  <c r="Q308" i="35"/>
  <c r="O308" i="35"/>
  <c r="M308" i="35"/>
  <c r="K308" i="35"/>
  <c r="X307" i="35"/>
  <c r="W307" i="35"/>
  <c r="V307" i="35"/>
  <c r="U307" i="35"/>
  <c r="T307" i="35"/>
  <c r="S307" i="35"/>
  <c r="Q307" i="35"/>
  <c r="O307" i="35"/>
  <c r="M307" i="35"/>
  <c r="K307" i="35"/>
  <c r="X306" i="35"/>
  <c r="W306" i="35"/>
  <c r="V306" i="35"/>
  <c r="U306" i="35"/>
  <c r="T306" i="35"/>
  <c r="S306" i="35"/>
  <c r="Q306" i="35"/>
  <c r="O306" i="35"/>
  <c r="M306" i="35"/>
  <c r="K306" i="35"/>
  <c r="X305" i="35"/>
  <c r="W305" i="35"/>
  <c r="V305" i="35"/>
  <c r="U305" i="35"/>
  <c r="T305" i="35"/>
  <c r="S305" i="35"/>
  <c r="Q305" i="35"/>
  <c r="O305" i="35"/>
  <c r="M305" i="35"/>
  <c r="K305" i="35"/>
  <c r="X304" i="35"/>
  <c r="W304" i="35"/>
  <c r="V304" i="35"/>
  <c r="U304" i="35"/>
  <c r="T304" i="35"/>
  <c r="S304" i="35"/>
  <c r="Q304" i="35"/>
  <c r="O304" i="35"/>
  <c r="M304" i="35"/>
  <c r="K304" i="35"/>
  <c r="X303" i="35"/>
  <c r="W303" i="35"/>
  <c r="V303" i="35"/>
  <c r="U303" i="35"/>
  <c r="T303" i="35"/>
  <c r="S303" i="35"/>
  <c r="Q303" i="35"/>
  <c r="O303" i="35"/>
  <c r="M303" i="35"/>
  <c r="K303" i="35"/>
  <c r="X302" i="35"/>
  <c r="W302" i="35"/>
  <c r="V302" i="35"/>
  <c r="U302" i="35"/>
  <c r="T302" i="35"/>
  <c r="S302" i="35"/>
  <c r="Q302" i="35"/>
  <c r="O302" i="35"/>
  <c r="M302" i="35"/>
  <c r="K302" i="35"/>
  <c r="X301" i="35"/>
  <c r="W301" i="35"/>
  <c r="V301" i="35"/>
  <c r="U301" i="35"/>
  <c r="T301" i="35"/>
  <c r="S301" i="35"/>
  <c r="Q301" i="35"/>
  <c r="O301" i="35"/>
  <c r="M301" i="35"/>
  <c r="K301" i="35"/>
  <c r="X300" i="35"/>
  <c r="W300" i="35"/>
  <c r="V300" i="35"/>
  <c r="U300" i="35"/>
  <c r="T300" i="35"/>
  <c r="S300" i="35"/>
  <c r="Q300" i="35"/>
  <c r="O300" i="35"/>
  <c r="M300" i="35"/>
  <c r="K300" i="35"/>
  <c r="X299" i="35"/>
  <c r="W299" i="35"/>
  <c r="V299" i="35"/>
  <c r="U299" i="35"/>
  <c r="T299" i="35"/>
  <c r="S299" i="35"/>
  <c r="Q299" i="35"/>
  <c r="O299" i="35"/>
  <c r="M299" i="35"/>
  <c r="K299" i="35"/>
  <c r="X298" i="35"/>
  <c r="W298" i="35"/>
  <c r="V298" i="35"/>
  <c r="U298" i="35"/>
  <c r="T298" i="35"/>
  <c r="S298" i="35"/>
  <c r="Q298" i="35"/>
  <c r="O298" i="35"/>
  <c r="M298" i="35"/>
  <c r="K298" i="35"/>
  <c r="X297" i="35"/>
  <c r="W297" i="35"/>
  <c r="V297" i="35"/>
  <c r="U297" i="35"/>
  <c r="T297" i="35"/>
  <c r="S297" i="35"/>
  <c r="Q297" i="35"/>
  <c r="O297" i="35"/>
  <c r="M297" i="35"/>
  <c r="K297" i="35"/>
  <c r="X296" i="35"/>
  <c r="W296" i="35"/>
  <c r="V296" i="35"/>
  <c r="U296" i="35"/>
  <c r="T296" i="35"/>
  <c r="S296" i="35"/>
  <c r="Q296" i="35"/>
  <c r="O296" i="35"/>
  <c r="M296" i="35"/>
  <c r="K296" i="35"/>
  <c r="X295" i="35"/>
  <c r="W295" i="35"/>
  <c r="V295" i="35"/>
  <c r="U295" i="35"/>
  <c r="T295" i="35"/>
  <c r="S295" i="35"/>
  <c r="Q295" i="35"/>
  <c r="O295" i="35"/>
  <c r="M295" i="35"/>
  <c r="K295" i="35"/>
  <c r="X294" i="35"/>
  <c r="W294" i="35"/>
  <c r="V294" i="35"/>
  <c r="U294" i="35"/>
  <c r="T294" i="35"/>
  <c r="S294" i="35"/>
  <c r="Q294" i="35"/>
  <c r="O294" i="35"/>
  <c r="M294" i="35"/>
  <c r="K294" i="35"/>
  <c r="X293" i="35"/>
  <c r="W293" i="35"/>
  <c r="V293" i="35"/>
  <c r="U293" i="35"/>
  <c r="T293" i="35"/>
  <c r="S293" i="35"/>
  <c r="Q293" i="35"/>
  <c r="O293" i="35"/>
  <c r="M293" i="35"/>
  <c r="K293" i="35"/>
  <c r="X292" i="35"/>
  <c r="W292" i="35"/>
  <c r="V292" i="35"/>
  <c r="U292" i="35"/>
  <c r="T292" i="35"/>
  <c r="S292" i="35"/>
  <c r="Q292" i="35"/>
  <c r="O292" i="35"/>
  <c r="M292" i="35"/>
  <c r="K292" i="35"/>
  <c r="X291" i="35"/>
  <c r="W291" i="35"/>
  <c r="V291" i="35"/>
  <c r="U291" i="35"/>
  <c r="T291" i="35"/>
  <c r="S291" i="35"/>
  <c r="Q291" i="35"/>
  <c r="O291" i="35"/>
  <c r="M291" i="35"/>
  <c r="K291" i="35"/>
  <c r="X290" i="35"/>
  <c r="W290" i="35"/>
  <c r="V290" i="35"/>
  <c r="U290" i="35"/>
  <c r="T290" i="35"/>
  <c r="S290" i="35"/>
  <c r="Q290" i="35"/>
  <c r="O290" i="35"/>
  <c r="M290" i="35"/>
  <c r="K290" i="35"/>
  <c r="X289" i="35"/>
  <c r="W289" i="35"/>
  <c r="V289" i="35"/>
  <c r="U289" i="35"/>
  <c r="T289" i="35"/>
  <c r="S289" i="35"/>
  <c r="Q289" i="35"/>
  <c r="O289" i="35"/>
  <c r="M289" i="35"/>
  <c r="K289" i="35"/>
  <c r="X288" i="35"/>
  <c r="W288" i="35"/>
  <c r="V288" i="35"/>
  <c r="U288" i="35"/>
  <c r="T288" i="35"/>
  <c r="S288" i="35"/>
  <c r="Q288" i="35"/>
  <c r="O288" i="35"/>
  <c r="M288" i="35"/>
  <c r="K288" i="35"/>
  <c r="X287" i="35"/>
  <c r="W287" i="35"/>
  <c r="V287" i="35"/>
  <c r="U287" i="35"/>
  <c r="T287" i="35"/>
  <c r="S287" i="35"/>
  <c r="Q287" i="35"/>
  <c r="O287" i="35"/>
  <c r="M287" i="35"/>
  <c r="K287" i="35"/>
  <c r="X286" i="35"/>
  <c r="W286" i="35"/>
  <c r="V286" i="35"/>
  <c r="U286" i="35"/>
  <c r="T286" i="35"/>
  <c r="S286" i="35"/>
  <c r="Q286" i="35"/>
  <c r="O286" i="35"/>
  <c r="M286" i="35"/>
  <c r="K286" i="35"/>
  <c r="X285" i="35"/>
  <c r="W285" i="35"/>
  <c r="V285" i="35"/>
  <c r="U285" i="35"/>
  <c r="T285" i="35"/>
  <c r="S285" i="35"/>
  <c r="Q285" i="35"/>
  <c r="O285" i="35"/>
  <c r="M285" i="35"/>
  <c r="K285" i="35"/>
  <c r="X284" i="35"/>
  <c r="W284" i="35"/>
  <c r="V284" i="35"/>
  <c r="U284" i="35"/>
  <c r="T284" i="35"/>
  <c r="S284" i="35"/>
  <c r="Q284" i="35"/>
  <c r="O284" i="35"/>
  <c r="M284" i="35"/>
  <c r="K284" i="35"/>
  <c r="X283" i="35"/>
  <c r="W283" i="35"/>
  <c r="V283" i="35"/>
  <c r="U283" i="35"/>
  <c r="T283" i="35"/>
  <c r="S283" i="35"/>
  <c r="Q283" i="35"/>
  <c r="O283" i="35"/>
  <c r="M283" i="35"/>
  <c r="K283" i="35"/>
  <c r="X282" i="35"/>
  <c r="W282" i="35"/>
  <c r="V282" i="35"/>
  <c r="U282" i="35"/>
  <c r="T282" i="35"/>
  <c r="S282" i="35"/>
  <c r="Q282" i="35"/>
  <c r="O282" i="35"/>
  <c r="M282" i="35"/>
  <c r="K282" i="35"/>
  <c r="X281" i="35"/>
  <c r="W281" i="35"/>
  <c r="V281" i="35"/>
  <c r="U281" i="35"/>
  <c r="T281" i="35"/>
  <c r="S281" i="35"/>
  <c r="Q281" i="35"/>
  <c r="O281" i="35"/>
  <c r="M281" i="35"/>
  <c r="K281" i="35"/>
  <c r="X280" i="35"/>
  <c r="W280" i="35"/>
  <c r="V280" i="35"/>
  <c r="U280" i="35"/>
  <c r="T280" i="35"/>
  <c r="S280" i="35"/>
  <c r="Q280" i="35"/>
  <c r="O280" i="35"/>
  <c r="M280" i="35"/>
  <c r="K280" i="35"/>
  <c r="X279" i="35"/>
  <c r="W279" i="35"/>
  <c r="V279" i="35"/>
  <c r="U279" i="35"/>
  <c r="T279" i="35"/>
  <c r="S279" i="35"/>
  <c r="Q279" i="35"/>
  <c r="O279" i="35"/>
  <c r="M279" i="35"/>
  <c r="K279" i="35"/>
  <c r="X278" i="35"/>
  <c r="W278" i="35"/>
  <c r="V278" i="35"/>
  <c r="U278" i="35"/>
  <c r="T278" i="35"/>
  <c r="S278" i="35"/>
  <c r="Q278" i="35"/>
  <c r="O278" i="35"/>
  <c r="M278" i="35"/>
  <c r="K278" i="35"/>
  <c r="X277" i="35"/>
  <c r="W277" i="35"/>
  <c r="V277" i="35"/>
  <c r="U277" i="35"/>
  <c r="T277" i="35"/>
  <c r="S277" i="35"/>
  <c r="Q277" i="35"/>
  <c r="O277" i="35"/>
  <c r="M277" i="35"/>
  <c r="K277" i="35"/>
  <c r="X276" i="35"/>
  <c r="W276" i="35"/>
  <c r="V276" i="35"/>
  <c r="U276" i="35"/>
  <c r="T276" i="35"/>
  <c r="S276" i="35"/>
  <c r="Q276" i="35"/>
  <c r="O276" i="35"/>
  <c r="M276" i="35"/>
  <c r="K276" i="35"/>
  <c r="X275" i="35"/>
  <c r="W275" i="35"/>
  <c r="V275" i="35"/>
  <c r="U275" i="35"/>
  <c r="T275" i="35"/>
  <c r="S275" i="35"/>
  <c r="Q275" i="35"/>
  <c r="O275" i="35"/>
  <c r="M275" i="35"/>
  <c r="K275" i="35"/>
  <c r="X274" i="35"/>
  <c r="W274" i="35"/>
  <c r="V274" i="35"/>
  <c r="U274" i="35"/>
  <c r="T274" i="35"/>
  <c r="S274" i="35"/>
  <c r="Q274" i="35"/>
  <c r="O274" i="35"/>
  <c r="M274" i="35"/>
  <c r="K274" i="35"/>
  <c r="X273" i="35"/>
  <c r="W273" i="35"/>
  <c r="V273" i="35"/>
  <c r="U273" i="35"/>
  <c r="T273" i="35"/>
  <c r="S273" i="35"/>
  <c r="Q273" i="35"/>
  <c r="O273" i="35"/>
  <c r="M273" i="35"/>
  <c r="K273" i="35"/>
  <c r="X272" i="35"/>
  <c r="W272" i="35"/>
  <c r="V272" i="35"/>
  <c r="U272" i="35"/>
  <c r="T272" i="35"/>
  <c r="S272" i="35"/>
  <c r="Q272" i="35"/>
  <c r="O272" i="35"/>
  <c r="M272" i="35"/>
  <c r="K272" i="35"/>
  <c r="X271" i="35"/>
  <c r="W271" i="35"/>
  <c r="V271" i="35"/>
  <c r="U271" i="35"/>
  <c r="T271" i="35"/>
  <c r="S271" i="35"/>
  <c r="Q271" i="35"/>
  <c r="O271" i="35"/>
  <c r="M271" i="35"/>
  <c r="K271" i="35"/>
  <c r="X270" i="35"/>
  <c r="W270" i="35"/>
  <c r="V270" i="35"/>
  <c r="U270" i="35"/>
  <c r="T270" i="35"/>
  <c r="S270" i="35"/>
  <c r="Q270" i="35"/>
  <c r="O270" i="35"/>
  <c r="M270" i="35"/>
  <c r="K270" i="35"/>
  <c r="X269" i="35"/>
  <c r="W269" i="35"/>
  <c r="V269" i="35"/>
  <c r="U269" i="35"/>
  <c r="T269" i="35"/>
  <c r="S269" i="35"/>
  <c r="Q269" i="35"/>
  <c r="O269" i="35"/>
  <c r="M269" i="35"/>
  <c r="K269" i="35"/>
  <c r="X268" i="35"/>
  <c r="W268" i="35"/>
  <c r="V268" i="35"/>
  <c r="U268" i="35"/>
  <c r="T268" i="35"/>
  <c r="S268" i="35"/>
  <c r="Q268" i="35"/>
  <c r="O268" i="35"/>
  <c r="M268" i="35"/>
  <c r="K268" i="35"/>
  <c r="X267" i="35"/>
  <c r="W267" i="35"/>
  <c r="V267" i="35"/>
  <c r="U267" i="35"/>
  <c r="T267" i="35"/>
  <c r="S267" i="35"/>
  <c r="Q267" i="35"/>
  <c r="O267" i="35"/>
  <c r="M267" i="35"/>
  <c r="K267" i="35"/>
  <c r="X266" i="35"/>
  <c r="W266" i="35"/>
  <c r="V266" i="35"/>
  <c r="U266" i="35"/>
  <c r="T266" i="35"/>
  <c r="S266" i="35"/>
  <c r="Q266" i="35"/>
  <c r="O266" i="35"/>
  <c r="M266" i="35"/>
  <c r="K266" i="35"/>
  <c r="X265" i="35"/>
  <c r="W265" i="35"/>
  <c r="V265" i="35"/>
  <c r="U265" i="35"/>
  <c r="T265" i="35"/>
  <c r="S265" i="35"/>
  <c r="Q265" i="35"/>
  <c r="O265" i="35"/>
  <c r="M265" i="35"/>
  <c r="K265" i="35"/>
  <c r="X264" i="35"/>
  <c r="W264" i="35"/>
  <c r="V264" i="35"/>
  <c r="U264" i="35"/>
  <c r="T264" i="35"/>
  <c r="S264" i="35"/>
  <c r="Q264" i="35"/>
  <c r="O264" i="35"/>
  <c r="M264" i="35"/>
  <c r="K264" i="35"/>
  <c r="X263" i="35"/>
  <c r="W263" i="35"/>
  <c r="V263" i="35"/>
  <c r="U263" i="35"/>
  <c r="T263" i="35"/>
  <c r="S263" i="35"/>
  <c r="Q263" i="35"/>
  <c r="O263" i="35"/>
  <c r="M263" i="35"/>
  <c r="K263" i="35"/>
  <c r="X262" i="35"/>
  <c r="W262" i="35"/>
  <c r="V262" i="35"/>
  <c r="U262" i="35"/>
  <c r="T262" i="35"/>
  <c r="S262" i="35"/>
  <c r="Q262" i="35"/>
  <c r="O262" i="35"/>
  <c r="M262" i="35"/>
  <c r="K262" i="35"/>
  <c r="X261" i="35"/>
  <c r="W261" i="35"/>
  <c r="V261" i="35"/>
  <c r="U261" i="35"/>
  <c r="T261" i="35"/>
  <c r="S261" i="35"/>
  <c r="Q261" i="35"/>
  <c r="O261" i="35"/>
  <c r="M261" i="35"/>
  <c r="K261" i="35"/>
  <c r="X260" i="35"/>
  <c r="W260" i="35"/>
  <c r="V260" i="35"/>
  <c r="U260" i="35"/>
  <c r="T260" i="35"/>
  <c r="S260" i="35"/>
  <c r="Q260" i="35"/>
  <c r="O260" i="35"/>
  <c r="M260" i="35"/>
  <c r="K260" i="35"/>
  <c r="X259" i="35"/>
  <c r="W259" i="35"/>
  <c r="V259" i="35"/>
  <c r="U259" i="35"/>
  <c r="T259" i="35"/>
  <c r="S259" i="35"/>
  <c r="Q259" i="35"/>
  <c r="O259" i="35"/>
  <c r="M259" i="35"/>
  <c r="K259" i="35"/>
  <c r="X258" i="35"/>
  <c r="W258" i="35"/>
  <c r="V258" i="35"/>
  <c r="U258" i="35"/>
  <c r="T258" i="35"/>
  <c r="S258" i="35"/>
  <c r="Q258" i="35"/>
  <c r="O258" i="35"/>
  <c r="M258" i="35"/>
  <c r="K258" i="35"/>
  <c r="X257" i="35"/>
  <c r="W257" i="35"/>
  <c r="V257" i="35"/>
  <c r="U257" i="35"/>
  <c r="T257" i="35"/>
  <c r="S257" i="35"/>
  <c r="Q257" i="35"/>
  <c r="O257" i="35"/>
  <c r="M257" i="35"/>
  <c r="K257" i="35"/>
  <c r="X256" i="35"/>
  <c r="W256" i="35"/>
  <c r="V256" i="35"/>
  <c r="U256" i="35"/>
  <c r="T256" i="35"/>
  <c r="S256" i="35"/>
  <c r="Q256" i="35"/>
  <c r="O256" i="35"/>
  <c r="M256" i="35"/>
  <c r="K256" i="35"/>
  <c r="X255" i="35"/>
  <c r="W255" i="35"/>
  <c r="V255" i="35"/>
  <c r="U255" i="35"/>
  <c r="T255" i="35"/>
  <c r="S255" i="35"/>
  <c r="Q255" i="35"/>
  <c r="O255" i="35"/>
  <c r="M255" i="35"/>
  <c r="K255" i="35"/>
  <c r="X254" i="35"/>
  <c r="W254" i="35"/>
  <c r="V254" i="35"/>
  <c r="U254" i="35"/>
  <c r="T254" i="35"/>
  <c r="S254" i="35"/>
  <c r="Q254" i="35"/>
  <c r="O254" i="35"/>
  <c r="M254" i="35"/>
  <c r="K254" i="35"/>
  <c r="X253" i="35"/>
  <c r="W253" i="35"/>
  <c r="V253" i="35"/>
  <c r="U253" i="35"/>
  <c r="T253" i="35"/>
  <c r="S253" i="35"/>
  <c r="Q253" i="35"/>
  <c r="O253" i="35"/>
  <c r="M253" i="35"/>
  <c r="K253" i="35"/>
  <c r="X252" i="35"/>
  <c r="W252" i="35"/>
  <c r="V252" i="35"/>
  <c r="U252" i="35"/>
  <c r="T252" i="35"/>
  <c r="S252" i="35"/>
  <c r="Q252" i="35"/>
  <c r="O252" i="35"/>
  <c r="M252" i="35"/>
  <c r="K252" i="35"/>
  <c r="X251" i="35"/>
  <c r="W251" i="35"/>
  <c r="V251" i="35"/>
  <c r="U251" i="35"/>
  <c r="T251" i="35"/>
  <c r="S251" i="35"/>
  <c r="Q251" i="35"/>
  <c r="O251" i="35"/>
  <c r="M251" i="35"/>
  <c r="K251" i="35"/>
  <c r="X250" i="35"/>
  <c r="W250" i="35"/>
  <c r="V250" i="35"/>
  <c r="U250" i="35"/>
  <c r="T250" i="35"/>
  <c r="S250" i="35"/>
  <c r="Q250" i="35"/>
  <c r="O250" i="35"/>
  <c r="M250" i="35"/>
  <c r="K250" i="35"/>
  <c r="X249" i="35"/>
  <c r="W249" i="35"/>
  <c r="V249" i="35"/>
  <c r="U249" i="35"/>
  <c r="T249" i="35"/>
  <c r="S249" i="35"/>
  <c r="Q249" i="35"/>
  <c r="O249" i="35"/>
  <c r="M249" i="35"/>
  <c r="K249" i="35"/>
  <c r="X248" i="35"/>
  <c r="W248" i="35"/>
  <c r="V248" i="35"/>
  <c r="U248" i="35"/>
  <c r="T248" i="35"/>
  <c r="S248" i="35"/>
  <c r="Q248" i="35"/>
  <c r="O248" i="35"/>
  <c r="M248" i="35"/>
  <c r="K248" i="35"/>
  <c r="X247" i="35"/>
  <c r="W247" i="35"/>
  <c r="V247" i="35"/>
  <c r="U247" i="35"/>
  <c r="T247" i="35"/>
  <c r="S247" i="35"/>
  <c r="Q247" i="35"/>
  <c r="O247" i="35"/>
  <c r="M247" i="35"/>
  <c r="K247" i="35"/>
  <c r="X246" i="35"/>
  <c r="W246" i="35"/>
  <c r="V246" i="35"/>
  <c r="U246" i="35"/>
  <c r="T246" i="35"/>
  <c r="S246" i="35"/>
  <c r="Q246" i="35"/>
  <c r="O246" i="35"/>
  <c r="M246" i="35"/>
  <c r="K246" i="35"/>
  <c r="X245" i="35"/>
  <c r="W245" i="35"/>
  <c r="V245" i="35"/>
  <c r="U245" i="35"/>
  <c r="T245" i="35"/>
  <c r="S245" i="35"/>
  <c r="Q245" i="35"/>
  <c r="O245" i="35"/>
  <c r="M245" i="35"/>
  <c r="K245" i="35"/>
  <c r="X244" i="35"/>
  <c r="W244" i="35"/>
  <c r="V244" i="35"/>
  <c r="U244" i="35"/>
  <c r="T244" i="35"/>
  <c r="S244" i="35"/>
  <c r="Q244" i="35"/>
  <c r="O244" i="35"/>
  <c r="M244" i="35"/>
  <c r="K244" i="35"/>
  <c r="X243" i="35"/>
  <c r="W243" i="35"/>
  <c r="V243" i="35"/>
  <c r="U243" i="35"/>
  <c r="T243" i="35"/>
  <c r="S243" i="35"/>
  <c r="Q243" i="35"/>
  <c r="O243" i="35"/>
  <c r="M243" i="35"/>
  <c r="K243" i="35"/>
  <c r="X242" i="35"/>
  <c r="W242" i="35"/>
  <c r="V242" i="35"/>
  <c r="U242" i="35"/>
  <c r="T242" i="35"/>
  <c r="S242" i="35"/>
  <c r="Q242" i="35"/>
  <c r="O242" i="35"/>
  <c r="M242" i="35"/>
  <c r="K242" i="35"/>
  <c r="X241" i="35"/>
  <c r="W241" i="35"/>
  <c r="V241" i="35"/>
  <c r="U241" i="35"/>
  <c r="T241" i="35"/>
  <c r="S241" i="35"/>
  <c r="Q241" i="35"/>
  <c r="O241" i="35"/>
  <c r="M241" i="35"/>
  <c r="K241" i="35"/>
  <c r="X240" i="35"/>
  <c r="W240" i="35"/>
  <c r="V240" i="35"/>
  <c r="U240" i="35"/>
  <c r="T240" i="35"/>
  <c r="S240" i="35"/>
  <c r="Q240" i="35"/>
  <c r="O240" i="35"/>
  <c r="M240" i="35"/>
  <c r="K240" i="35"/>
  <c r="X239" i="35"/>
  <c r="W239" i="35"/>
  <c r="V239" i="35"/>
  <c r="U239" i="35"/>
  <c r="T239" i="35"/>
  <c r="S239" i="35"/>
  <c r="Q239" i="35"/>
  <c r="O239" i="35"/>
  <c r="M239" i="35"/>
  <c r="K239" i="35"/>
  <c r="X238" i="35"/>
  <c r="W238" i="35"/>
  <c r="V238" i="35"/>
  <c r="U238" i="35"/>
  <c r="T238" i="35"/>
  <c r="S238" i="35"/>
  <c r="Q238" i="35"/>
  <c r="O238" i="35"/>
  <c r="M238" i="35"/>
  <c r="K238" i="35"/>
  <c r="X237" i="35"/>
  <c r="W237" i="35"/>
  <c r="V237" i="35"/>
  <c r="U237" i="35"/>
  <c r="T237" i="35"/>
  <c r="S237" i="35"/>
  <c r="Q237" i="35"/>
  <c r="O237" i="35"/>
  <c r="M237" i="35"/>
  <c r="K237" i="35"/>
  <c r="X236" i="35"/>
  <c r="W236" i="35"/>
  <c r="V236" i="35"/>
  <c r="U236" i="35"/>
  <c r="T236" i="35"/>
  <c r="S236" i="35"/>
  <c r="Q236" i="35"/>
  <c r="O236" i="35"/>
  <c r="M236" i="35"/>
  <c r="K236" i="35"/>
  <c r="X235" i="35"/>
  <c r="W235" i="35"/>
  <c r="V235" i="35"/>
  <c r="U235" i="35"/>
  <c r="T235" i="35"/>
  <c r="S235" i="35"/>
  <c r="Q235" i="35"/>
  <c r="O235" i="35"/>
  <c r="M235" i="35"/>
  <c r="K235" i="35"/>
  <c r="X234" i="35"/>
  <c r="W234" i="35"/>
  <c r="V234" i="35"/>
  <c r="U234" i="35"/>
  <c r="T234" i="35"/>
  <c r="S234" i="35"/>
  <c r="Q234" i="35"/>
  <c r="O234" i="35"/>
  <c r="M234" i="35"/>
  <c r="K234" i="35"/>
  <c r="X233" i="35"/>
  <c r="W233" i="35"/>
  <c r="V233" i="35"/>
  <c r="U233" i="35"/>
  <c r="T233" i="35"/>
  <c r="S233" i="35"/>
  <c r="Q233" i="35"/>
  <c r="O233" i="35"/>
  <c r="M233" i="35"/>
  <c r="K233" i="35"/>
  <c r="X232" i="35"/>
  <c r="W232" i="35"/>
  <c r="V232" i="35"/>
  <c r="U232" i="35"/>
  <c r="T232" i="35"/>
  <c r="S232" i="35"/>
  <c r="Q232" i="35"/>
  <c r="O232" i="35"/>
  <c r="M232" i="35"/>
  <c r="K232" i="35"/>
  <c r="X231" i="35"/>
  <c r="W231" i="35"/>
  <c r="V231" i="35"/>
  <c r="U231" i="35"/>
  <c r="T231" i="35"/>
  <c r="S231" i="35"/>
  <c r="Q231" i="35"/>
  <c r="O231" i="35"/>
  <c r="M231" i="35"/>
  <c r="K231" i="35"/>
  <c r="X230" i="35"/>
  <c r="W230" i="35"/>
  <c r="V230" i="35"/>
  <c r="U230" i="35"/>
  <c r="T230" i="35"/>
  <c r="S230" i="35"/>
  <c r="Q230" i="35"/>
  <c r="O230" i="35"/>
  <c r="M230" i="35"/>
  <c r="K230" i="35"/>
  <c r="X229" i="35"/>
  <c r="W229" i="35"/>
  <c r="V229" i="35"/>
  <c r="U229" i="35"/>
  <c r="T229" i="35"/>
  <c r="S229" i="35"/>
  <c r="Q229" i="35"/>
  <c r="O229" i="35"/>
  <c r="M229" i="35"/>
  <c r="K229" i="35"/>
  <c r="X228" i="35"/>
  <c r="W228" i="35"/>
  <c r="V228" i="35"/>
  <c r="U228" i="35"/>
  <c r="T228" i="35"/>
  <c r="S228" i="35"/>
  <c r="Q228" i="35"/>
  <c r="O228" i="35"/>
  <c r="M228" i="35"/>
  <c r="K228" i="35"/>
  <c r="X227" i="35"/>
  <c r="W227" i="35"/>
  <c r="V227" i="35"/>
  <c r="U227" i="35"/>
  <c r="T227" i="35"/>
  <c r="S227" i="35"/>
  <c r="Q227" i="35"/>
  <c r="O227" i="35"/>
  <c r="M227" i="35"/>
  <c r="K227" i="35"/>
  <c r="X226" i="35"/>
  <c r="W226" i="35"/>
  <c r="V226" i="35"/>
  <c r="U226" i="35"/>
  <c r="T226" i="35"/>
  <c r="S226" i="35"/>
  <c r="Q226" i="35"/>
  <c r="O226" i="35"/>
  <c r="M226" i="35"/>
  <c r="K226" i="35"/>
  <c r="X225" i="35"/>
  <c r="W225" i="35"/>
  <c r="V225" i="35"/>
  <c r="U225" i="35"/>
  <c r="T225" i="35"/>
  <c r="S225" i="35"/>
  <c r="Q225" i="35"/>
  <c r="O225" i="35"/>
  <c r="M225" i="35"/>
  <c r="K225" i="35"/>
  <c r="X224" i="35"/>
  <c r="W224" i="35"/>
  <c r="V224" i="35"/>
  <c r="U224" i="35"/>
  <c r="T224" i="35"/>
  <c r="S224" i="35"/>
  <c r="Q224" i="35"/>
  <c r="O224" i="35"/>
  <c r="M224" i="35"/>
  <c r="K224" i="35"/>
  <c r="X223" i="35"/>
  <c r="W223" i="35"/>
  <c r="V223" i="35"/>
  <c r="U223" i="35"/>
  <c r="T223" i="35"/>
  <c r="S223" i="35"/>
  <c r="Q223" i="35"/>
  <c r="O223" i="35"/>
  <c r="M223" i="35"/>
  <c r="K223" i="35"/>
  <c r="X222" i="35"/>
  <c r="W222" i="35"/>
  <c r="V222" i="35"/>
  <c r="U222" i="35"/>
  <c r="T222" i="35"/>
  <c r="S222" i="35"/>
  <c r="Q222" i="35"/>
  <c r="O222" i="35"/>
  <c r="M222" i="35"/>
  <c r="K222" i="35"/>
  <c r="X221" i="35"/>
  <c r="W221" i="35"/>
  <c r="V221" i="35"/>
  <c r="U221" i="35"/>
  <c r="T221" i="35"/>
  <c r="S221" i="35"/>
  <c r="Q221" i="35"/>
  <c r="O221" i="35"/>
  <c r="M221" i="35"/>
  <c r="K221" i="35"/>
  <c r="X220" i="35"/>
  <c r="W220" i="35"/>
  <c r="V220" i="35"/>
  <c r="U220" i="35"/>
  <c r="T220" i="35"/>
  <c r="S220" i="35"/>
  <c r="Q220" i="35"/>
  <c r="O220" i="35"/>
  <c r="M220" i="35"/>
  <c r="K220" i="35"/>
  <c r="X219" i="35"/>
  <c r="W219" i="35"/>
  <c r="V219" i="35"/>
  <c r="U219" i="35"/>
  <c r="T219" i="35"/>
  <c r="S219" i="35"/>
  <c r="Q219" i="35"/>
  <c r="O219" i="35"/>
  <c r="M219" i="35"/>
  <c r="K219" i="35"/>
  <c r="X218" i="35"/>
  <c r="W218" i="35"/>
  <c r="V218" i="35"/>
  <c r="U218" i="35"/>
  <c r="T218" i="35"/>
  <c r="S218" i="35"/>
  <c r="Q218" i="35"/>
  <c r="O218" i="35"/>
  <c r="M218" i="35"/>
  <c r="K218" i="35"/>
  <c r="X217" i="35"/>
  <c r="W217" i="35"/>
  <c r="V217" i="35"/>
  <c r="U217" i="35"/>
  <c r="T217" i="35"/>
  <c r="S217" i="35"/>
  <c r="Q217" i="35"/>
  <c r="O217" i="35"/>
  <c r="M217" i="35"/>
  <c r="K217" i="35"/>
  <c r="X216" i="35"/>
  <c r="W216" i="35"/>
  <c r="V216" i="35"/>
  <c r="U216" i="35"/>
  <c r="T216" i="35"/>
  <c r="S216" i="35"/>
  <c r="Q216" i="35"/>
  <c r="O216" i="35"/>
  <c r="M216" i="35"/>
  <c r="K216" i="35"/>
  <c r="X215" i="35"/>
  <c r="W215" i="35"/>
  <c r="V215" i="35"/>
  <c r="U215" i="35"/>
  <c r="T215" i="35"/>
  <c r="S215" i="35"/>
  <c r="Q215" i="35"/>
  <c r="O215" i="35"/>
  <c r="M215" i="35"/>
  <c r="K215" i="35"/>
  <c r="X214" i="35"/>
  <c r="W214" i="35"/>
  <c r="V214" i="35"/>
  <c r="U214" i="35"/>
  <c r="T214" i="35"/>
  <c r="S214" i="35"/>
  <c r="Q214" i="35"/>
  <c r="O214" i="35"/>
  <c r="M214" i="35"/>
  <c r="K214" i="35"/>
  <c r="X213" i="35"/>
  <c r="W213" i="35"/>
  <c r="V213" i="35"/>
  <c r="U213" i="35"/>
  <c r="T213" i="35"/>
  <c r="S213" i="35"/>
  <c r="Q213" i="35"/>
  <c r="O213" i="35"/>
  <c r="M213" i="35"/>
  <c r="K213" i="35"/>
  <c r="X212" i="35"/>
  <c r="W212" i="35"/>
  <c r="V212" i="35"/>
  <c r="U212" i="35"/>
  <c r="T212" i="35"/>
  <c r="S212" i="35"/>
  <c r="Q212" i="35"/>
  <c r="O212" i="35"/>
  <c r="M212" i="35"/>
  <c r="K212" i="35"/>
  <c r="X211" i="35"/>
  <c r="W211" i="35"/>
  <c r="V211" i="35"/>
  <c r="U211" i="35"/>
  <c r="T211" i="35"/>
  <c r="S211" i="35"/>
  <c r="Q211" i="35"/>
  <c r="O211" i="35"/>
  <c r="M211" i="35"/>
  <c r="K211" i="35"/>
  <c r="X210" i="35"/>
  <c r="W210" i="35"/>
  <c r="V210" i="35"/>
  <c r="U210" i="35"/>
  <c r="T210" i="35"/>
  <c r="S210" i="35"/>
  <c r="Q210" i="35"/>
  <c r="O210" i="35"/>
  <c r="M210" i="35"/>
  <c r="K210" i="35"/>
  <c r="X209" i="35"/>
  <c r="W209" i="35"/>
  <c r="V209" i="35"/>
  <c r="U209" i="35"/>
  <c r="T209" i="35"/>
  <c r="S209" i="35"/>
  <c r="Q209" i="35"/>
  <c r="O209" i="35"/>
  <c r="M209" i="35"/>
  <c r="K209" i="35"/>
  <c r="X208" i="35"/>
  <c r="W208" i="35"/>
  <c r="V208" i="35"/>
  <c r="U208" i="35"/>
  <c r="T208" i="35"/>
  <c r="S208" i="35"/>
  <c r="Q208" i="35"/>
  <c r="O208" i="35"/>
  <c r="M208" i="35"/>
  <c r="K208" i="35"/>
  <c r="X207" i="35"/>
  <c r="W207" i="35"/>
  <c r="V207" i="35"/>
  <c r="U207" i="35"/>
  <c r="T207" i="35"/>
  <c r="S207" i="35"/>
  <c r="Q207" i="35"/>
  <c r="O207" i="35"/>
  <c r="M207" i="35"/>
  <c r="K207" i="35"/>
  <c r="X206" i="35"/>
  <c r="W206" i="35"/>
  <c r="V206" i="35"/>
  <c r="U206" i="35"/>
  <c r="T206" i="35"/>
  <c r="S206" i="35"/>
  <c r="Q206" i="35"/>
  <c r="O206" i="35"/>
  <c r="M206" i="35"/>
  <c r="K206" i="35"/>
  <c r="X205" i="35"/>
  <c r="W205" i="35"/>
  <c r="V205" i="35"/>
  <c r="U205" i="35"/>
  <c r="T205" i="35"/>
  <c r="S205" i="35"/>
  <c r="Q205" i="35"/>
  <c r="O205" i="35"/>
  <c r="M205" i="35"/>
  <c r="K205" i="35"/>
  <c r="X204" i="35"/>
  <c r="W204" i="35"/>
  <c r="V204" i="35"/>
  <c r="U204" i="35"/>
  <c r="T204" i="35"/>
  <c r="S204" i="35"/>
  <c r="Q204" i="35"/>
  <c r="O204" i="35"/>
  <c r="M204" i="35"/>
  <c r="K204" i="35"/>
  <c r="X203" i="35"/>
  <c r="W203" i="35"/>
  <c r="V203" i="35"/>
  <c r="U203" i="35"/>
  <c r="T203" i="35"/>
  <c r="S203" i="35"/>
  <c r="Q203" i="35"/>
  <c r="O203" i="35"/>
  <c r="M203" i="35"/>
  <c r="K203" i="35"/>
  <c r="X202" i="35"/>
  <c r="W202" i="35"/>
  <c r="V202" i="35"/>
  <c r="U202" i="35"/>
  <c r="T202" i="35"/>
  <c r="S202" i="35"/>
  <c r="Q202" i="35"/>
  <c r="O202" i="35"/>
  <c r="M202" i="35"/>
  <c r="K202" i="35"/>
  <c r="X201" i="35"/>
  <c r="W201" i="35"/>
  <c r="V201" i="35"/>
  <c r="U201" i="35"/>
  <c r="T201" i="35"/>
  <c r="S201" i="35"/>
  <c r="Q201" i="35"/>
  <c r="O201" i="35"/>
  <c r="M201" i="35"/>
  <c r="K201" i="35"/>
  <c r="X200" i="35"/>
  <c r="W200" i="35"/>
  <c r="V200" i="35"/>
  <c r="U200" i="35"/>
  <c r="T200" i="35"/>
  <c r="S200" i="35"/>
  <c r="Q200" i="35"/>
  <c r="O200" i="35"/>
  <c r="M200" i="35"/>
  <c r="K200" i="35"/>
  <c r="X199" i="35"/>
  <c r="W199" i="35"/>
  <c r="V199" i="35"/>
  <c r="U199" i="35"/>
  <c r="T199" i="35"/>
  <c r="S199" i="35"/>
  <c r="Q199" i="35"/>
  <c r="O199" i="35"/>
  <c r="M199" i="35"/>
  <c r="K199" i="35"/>
  <c r="X198" i="35"/>
  <c r="W198" i="35"/>
  <c r="V198" i="35"/>
  <c r="U198" i="35"/>
  <c r="T198" i="35"/>
  <c r="S198" i="35"/>
  <c r="Q198" i="35"/>
  <c r="O198" i="35"/>
  <c r="M198" i="35"/>
  <c r="K198" i="35"/>
  <c r="X197" i="35"/>
  <c r="W197" i="35"/>
  <c r="V197" i="35"/>
  <c r="U197" i="35"/>
  <c r="T197" i="35"/>
  <c r="S197" i="35"/>
  <c r="Q197" i="35"/>
  <c r="O197" i="35"/>
  <c r="M197" i="35"/>
  <c r="K197" i="35"/>
  <c r="X196" i="35"/>
  <c r="W196" i="35"/>
  <c r="V196" i="35"/>
  <c r="U196" i="35"/>
  <c r="T196" i="35"/>
  <c r="S196" i="35"/>
  <c r="Q196" i="35"/>
  <c r="O196" i="35"/>
  <c r="M196" i="35"/>
  <c r="K196" i="35"/>
  <c r="X195" i="35"/>
  <c r="W195" i="35"/>
  <c r="V195" i="35"/>
  <c r="U195" i="35"/>
  <c r="T195" i="35"/>
  <c r="S195" i="35"/>
  <c r="Q195" i="35"/>
  <c r="O195" i="35"/>
  <c r="M195" i="35"/>
  <c r="K195" i="35"/>
  <c r="X194" i="35"/>
  <c r="W194" i="35"/>
  <c r="V194" i="35"/>
  <c r="U194" i="35"/>
  <c r="T194" i="35"/>
  <c r="S194" i="35"/>
  <c r="Q194" i="35"/>
  <c r="O194" i="35"/>
  <c r="M194" i="35"/>
  <c r="K194" i="35"/>
  <c r="X193" i="35"/>
  <c r="W193" i="35"/>
  <c r="V193" i="35"/>
  <c r="U193" i="35"/>
  <c r="T193" i="35"/>
  <c r="S193" i="35"/>
  <c r="Q193" i="35"/>
  <c r="O193" i="35"/>
  <c r="M193" i="35"/>
  <c r="K193" i="35"/>
  <c r="X192" i="35"/>
  <c r="W192" i="35"/>
  <c r="V192" i="35"/>
  <c r="U192" i="35"/>
  <c r="T192" i="35"/>
  <c r="S192" i="35"/>
  <c r="Q192" i="35"/>
  <c r="O192" i="35"/>
  <c r="M192" i="35"/>
  <c r="K192" i="35"/>
  <c r="X191" i="35"/>
  <c r="W191" i="35"/>
  <c r="V191" i="35"/>
  <c r="U191" i="35"/>
  <c r="T191" i="35"/>
  <c r="S191" i="35"/>
  <c r="Q191" i="35"/>
  <c r="O191" i="35"/>
  <c r="M191" i="35"/>
  <c r="K191" i="35"/>
  <c r="X190" i="35"/>
  <c r="W190" i="35"/>
  <c r="V190" i="35"/>
  <c r="U190" i="35"/>
  <c r="T190" i="35"/>
  <c r="S190" i="35"/>
  <c r="Q190" i="35"/>
  <c r="O190" i="35"/>
  <c r="M190" i="35"/>
  <c r="K190" i="35"/>
  <c r="X189" i="35"/>
  <c r="W189" i="35"/>
  <c r="V189" i="35"/>
  <c r="U189" i="35"/>
  <c r="T189" i="35"/>
  <c r="S189" i="35"/>
  <c r="Q189" i="35"/>
  <c r="O189" i="35"/>
  <c r="M189" i="35"/>
  <c r="K189" i="35"/>
  <c r="X188" i="35"/>
  <c r="W188" i="35"/>
  <c r="V188" i="35"/>
  <c r="U188" i="35"/>
  <c r="T188" i="35"/>
  <c r="S188" i="35"/>
  <c r="Q188" i="35"/>
  <c r="O188" i="35"/>
  <c r="M188" i="35"/>
  <c r="K188" i="35"/>
  <c r="X187" i="35"/>
  <c r="W187" i="35"/>
  <c r="V187" i="35"/>
  <c r="U187" i="35"/>
  <c r="T187" i="35"/>
  <c r="S187" i="35"/>
  <c r="Q187" i="35"/>
  <c r="O187" i="35"/>
  <c r="M187" i="35"/>
  <c r="K187" i="35"/>
  <c r="X186" i="35"/>
  <c r="W186" i="35"/>
  <c r="V186" i="35"/>
  <c r="U186" i="35"/>
  <c r="T186" i="35"/>
  <c r="S186" i="35"/>
  <c r="Q186" i="35"/>
  <c r="O186" i="35"/>
  <c r="M186" i="35"/>
  <c r="K186" i="35"/>
  <c r="X185" i="35"/>
  <c r="W185" i="35"/>
  <c r="V185" i="35"/>
  <c r="U185" i="35"/>
  <c r="T185" i="35"/>
  <c r="S185" i="35"/>
  <c r="Q185" i="35"/>
  <c r="O185" i="35"/>
  <c r="M185" i="35"/>
  <c r="K185" i="35"/>
  <c r="X184" i="35"/>
  <c r="W184" i="35"/>
  <c r="V184" i="35"/>
  <c r="U184" i="35"/>
  <c r="T184" i="35"/>
  <c r="S184" i="35"/>
  <c r="Q184" i="35"/>
  <c r="O184" i="35"/>
  <c r="M184" i="35"/>
  <c r="K184" i="35"/>
  <c r="X183" i="35"/>
  <c r="W183" i="35"/>
  <c r="V183" i="35"/>
  <c r="U183" i="35"/>
  <c r="T183" i="35"/>
  <c r="S183" i="35"/>
  <c r="Q183" i="35"/>
  <c r="O183" i="35"/>
  <c r="M183" i="35"/>
  <c r="K183" i="35"/>
  <c r="X182" i="35"/>
  <c r="W182" i="35"/>
  <c r="V182" i="35"/>
  <c r="U182" i="35"/>
  <c r="T182" i="35"/>
  <c r="S182" i="35"/>
  <c r="Q182" i="35"/>
  <c r="O182" i="35"/>
  <c r="M182" i="35"/>
  <c r="K182" i="35"/>
  <c r="X181" i="35"/>
  <c r="W181" i="35"/>
  <c r="V181" i="35"/>
  <c r="U181" i="35"/>
  <c r="T181" i="35"/>
  <c r="S181" i="35"/>
  <c r="Q181" i="35"/>
  <c r="O181" i="35"/>
  <c r="M181" i="35"/>
  <c r="K181" i="35"/>
  <c r="X180" i="35"/>
  <c r="W180" i="35"/>
  <c r="V180" i="35"/>
  <c r="U180" i="35"/>
  <c r="T180" i="35"/>
  <c r="S180" i="35"/>
  <c r="Q180" i="35"/>
  <c r="O180" i="35"/>
  <c r="M180" i="35"/>
  <c r="K180" i="35"/>
  <c r="X179" i="35"/>
  <c r="W179" i="35"/>
  <c r="V179" i="35"/>
  <c r="U179" i="35"/>
  <c r="T179" i="35"/>
  <c r="S179" i="35"/>
  <c r="Q179" i="35"/>
  <c r="O179" i="35"/>
  <c r="M179" i="35"/>
  <c r="K179" i="35"/>
  <c r="X178" i="35"/>
  <c r="W178" i="35"/>
  <c r="V178" i="35"/>
  <c r="U178" i="35"/>
  <c r="T178" i="35"/>
  <c r="S178" i="35"/>
  <c r="Q178" i="35"/>
  <c r="O178" i="35"/>
  <c r="M178" i="35"/>
  <c r="K178" i="35"/>
  <c r="X177" i="35"/>
  <c r="W177" i="35"/>
  <c r="V177" i="35"/>
  <c r="U177" i="35"/>
  <c r="T177" i="35"/>
  <c r="S177" i="35"/>
  <c r="Q177" i="35"/>
  <c r="O177" i="35"/>
  <c r="M177" i="35"/>
  <c r="K177" i="35"/>
  <c r="X176" i="35"/>
  <c r="W176" i="35"/>
  <c r="V176" i="35"/>
  <c r="U176" i="35"/>
  <c r="T176" i="35"/>
  <c r="S176" i="35"/>
  <c r="Q176" i="35"/>
  <c r="O176" i="35"/>
  <c r="M176" i="35"/>
  <c r="K176" i="35"/>
  <c r="X175" i="35"/>
  <c r="W175" i="35"/>
  <c r="V175" i="35"/>
  <c r="U175" i="35"/>
  <c r="T175" i="35"/>
  <c r="S175" i="35"/>
  <c r="Q175" i="35"/>
  <c r="O175" i="35"/>
  <c r="M175" i="35"/>
  <c r="K175" i="35"/>
  <c r="X174" i="35"/>
  <c r="W174" i="35"/>
  <c r="V174" i="35"/>
  <c r="U174" i="35"/>
  <c r="T174" i="35"/>
  <c r="S174" i="35"/>
  <c r="Q174" i="35"/>
  <c r="O174" i="35"/>
  <c r="M174" i="35"/>
  <c r="K174" i="35"/>
  <c r="X173" i="35"/>
  <c r="W173" i="35"/>
  <c r="V173" i="35"/>
  <c r="U173" i="35"/>
  <c r="T173" i="35"/>
  <c r="S173" i="35"/>
  <c r="Q173" i="35"/>
  <c r="O173" i="35"/>
  <c r="M173" i="35"/>
  <c r="K173" i="35"/>
  <c r="X172" i="35"/>
  <c r="W172" i="35"/>
  <c r="V172" i="35"/>
  <c r="U172" i="35"/>
  <c r="T172" i="35"/>
  <c r="S172" i="35"/>
  <c r="Q172" i="35"/>
  <c r="O172" i="35"/>
  <c r="M172" i="35"/>
  <c r="K172" i="35"/>
  <c r="X171" i="35"/>
  <c r="W171" i="35"/>
  <c r="V171" i="35"/>
  <c r="U171" i="35"/>
  <c r="T171" i="35"/>
  <c r="S171" i="35"/>
  <c r="Q171" i="35"/>
  <c r="O171" i="35"/>
  <c r="M171" i="35"/>
  <c r="K171" i="35"/>
  <c r="X170" i="35"/>
  <c r="W170" i="35"/>
  <c r="V170" i="35"/>
  <c r="U170" i="35"/>
  <c r="T170" i="35"/>
  <c r="S170" i="35"/>
  <c r="Q170" i="35"/>
  <c r="O170" i="35"/>
  <c r="M170" i="35"/>
  <c r="K170" i="35"/>
  <c r="X169" i="35"/>
  <c r="W169" i="35"/>
  <c r="V169" i="35"/>
  <c r="U169" i="35"/>
  <c r="T169" i="35"/>
  <c r="S169" i="35"/>
  <c r="Q169" i="35"/>
  <c r="O169" i="35"/>
  <c r="M169" i="35"/>
  <c r="K169" i="35"/>
  <c r="X168" i="35"/>
  <c r="W168" i="35"/>
  <c r="V168" i="35"/>
  <c r="U168" i="35"/>
  <c r="T168" i="35"/>
  <c r="S168" i="35"/>
  <c r="Q168" i="35"/>
  <c r="O168" i="35"/>
  <c r="M168" i="35"/>
  <c r="K168" i="35"/>
  <c r="X167" i="35"/>
  <c r="W167" i="35"/>
  <c r="V167" i="35"/>
  <c r="U167" i="35"/>
  <c r="T167" i="35"/>
  <c r="S167" i="35"/>
  <c r="Q167" i="35"/>
  <c r="O167" i="35"/>
  <c r="M167" i="35"/>
  <c r="K167" i="35"/>
  <c r="X166" i="35"/>
  <c r="W166" i="35"/>
  <c r="V166" i="35"/>
  <c r="U166" i="35"/>
  <c r="T166" i="35"/>
  <c r="S166" i="35"/>
  <c r="Q166" i="35"/>
  <c r="O166" i="35"/>
  <c r="M166" i="35"/>
  <c r="K166" i="35"/>
  <c r="X165" i="35"/>
  <c r="W165" i="35"/>
  <c r="V165" i="35"/>
  <c r="U165" i="35"/>
  <c r="T165" i="35"/>
  <c r="S165" i="35"/>
  <c r="Q165" i="35"/>
  <c r="O165" i="35"/>
  <c r="M165" i="35"/>
  <c r="K165" i="35"/>
  <c r="X164" i="35"/>
  <c r="W164" i="35"/>
  <c r="V164" i="35"/>
  <c r="U164" i="35"/>
  <c r="T164" i="35"/>
  <c r="S164" i="35"/>
  <c r="Q164" i="35"/>
  <c r="O164" i="35"/>
  <c r="M164" i="35"/>
  <c r="K164" i="35"/>
  <c r="X163" i="35"/>
  <c r="W163" i="35"/>
  <c r="V163" i="35"/>
  <c r="U163" i="35"/>
  <c r="T163" i="35"/>
  <c r="S163" i="35"/>
  <c r="Q163" i="35"/>
  <c r="O163" i="35"/>
  <c r="M163" i="35"/>
  <c r="K163" i="35"/>
  <c r="X162" i="35"/>
  <c r="W162" i="35"/>
  <c r="V162" i="35"/>
  <c r="U162" i="35"/>
  <c r="T162" i="35"/>
  <c r="S162" i="35"/>
  <c r="Q162" i="35"/>
  <c r="O162" i="35"/>
  <c r="M162" i="35"/>
  <c r="K162" i="35"/>
  <c r="X161" i="35"/>
  <c r="W161" i="35"/>
  <c r="V161" i="35"/>
  <c r="U161" i="35"/>
  <c r="T161" i="35"/>
  <c r="S161" i="35"/>
  <c r="Q161" i="35"/>
  <c r="O161" i="35"/>
  <c r="M161" i="35"/>
  <c r="K161" i="35"/>
  <c r="X160" i="35"/>
  <c r="W160" i="35"/>
  <c r="V160" i="35"/>
  <c r="U160" i="35"/>
  <c r="T160" i="35"/>
  <c r="S160" i="35"/>
  <c r="Q160" i="35"/>
  <c r="O160" i="35"/>
  <c r="M160" i="35"/>
  <c r="K160" i="35"/>
  <c r="X159" i="35"/>
  <c r="W159" i="35"/>
  <c r="V159" i="35"/>
  <c r="U159" i="35"/>
  <c r="T159" i="35"/>
  <c r="S159" i="35"/>
  <c r="Q159" i="35"/>
  <c r="O159" i="35"/>
  <c r="M159" i="35"/>
  <c r="K159" i="35"/>
  <c r="X158" i="35"/>
  <c r="W158" i="35"/>
  <c r="V158" i="35"/>
  <c r="U158" i="35"/>
  <c r="T158" i="35"/>
  <c r="S158" i="35"/>
  <c r="Q158" i="35"/>
  <c r="O158" i="35"/>
  <c r="M158" i="35"/>
  <c r="K158" i="35"/>
  <c r="X157" i="35"/>
  <c r="W157" i="35"/>
  <c r="V157" i="35"/>
  <c r="U157" i="35"/>
  <c r="T157" i="35"/>
  <c r="S157" i="35"/>
  <c r="Q157" i="35"/>
  <c r="O157" i="35"/>
  <c r="M157" i="35"/>
  <c r="K157" i="35"/>
  <c r="X156" i="35"/>
  <c r="W156" i="35"/>
  <c r="V156" i="35"/>
  <c r="U156" i="35"/>
  <c r="T156" i="35"/>
  <c r="S156" i="35"/>
  <c r="Q156" i="35"/>
  <c r="O156" i="35"/>
  <c r="M156" i="35"/>
  <c r="K156" i="35"/>
  <c r="X155" i="35"/>
  <c r="W155" i="35"/>
  <c r="V155" i="35"/>
  <c r="U155" i="35"/>
  <c r="T155" i="35"/>
  <c r="S155" i="35"/>
  <c r="Q155" i="35"/>
  <c r="O155" i="35"/>
  <c r="M155" i="35"/>
  <c r="K155" i="35"/>
  <c r="X154" i="35"/>
  <c r="W154" i="35"/>
  <c r="V154" i="35"/>
  <c r="U154" i="35"/>
  <c r="T154" i="35"/>
  <c r="S154" i="35"/>
  <c r="Q154" i="35"/>
  <c r="O154" i="35"/>
  <c r="M154" i="35"/>
  <c r="K154" i="35"/>
  <c r="X153" i="35"/>
  <c r="W153" i="35"/>
  <c r="V153" i="35"/>
  <c r="U153" i="35"/>
  <c r="T153" i="35"/>
  <c r="S153" i="35"/>
  <c r="Q153" i="35"/>
  <c r="O153" i="35"/>
  <c r="M153" i="35"/>
  <c r="K153" i="35"/>
  <c r="X152" i="35"/>
  <c r="W152" i="35"/>
  <c r="V152" i="35"/>
  <c r="U152" i="35"/>
  <c r="T152" i="35"/>
  <c r="S152" i="35"/>
  <c r="Q152" i="35"/>
  <c r="O152" i="35"/>
  <c r="M152" i="35"/>
  <c r="K152" i="35"/>
  <c r="X151" i="35"/>
  <c r="W151" i="35"/>
  <c r="V151" i="35"/>
  <c r="U151" i="35"/>
  <c r="T151" i="35"/>
  <c r="S151" i="35"/>
  <c r="Q151" i="35"/>
  <c r="O151" i="35"/>
  <c r="M151" i="35"/>
  <c r="K151" i="35"/>
  <c r="X150" i="35"/>
  <c r="W150" i="35"/>
  <c r="V150" i="35"/>
  <c r="U150" i="35"/>
  <c r="T150" i="35"/>
  <c r="S150" i="35"/>
  <c r="Q150" i="35"/>
  <c r="O150" i="35"/>
  <c r="M150" i="35"/>
  <c r="K150" i="35"/>
  <c r="X149" i="35"/>
  <c r="W149" i="35"/>
  <c r="V149" i="35"/>
  <c r="U149" i="35"/>
  <c r="T149" i="35"/>
  <c r="S149" i="35"/>
  <c r="Q149" i="35"/>
  <c r="O149" i="35"/>
  <c r="M149" i="35"/>
  <c r="K149" i="35"/>
  <c r="X148" i="35"/>
  <c r="W148" i="35"/>
  <c r="V148" i="35"/>
  <c r="U148" i="35"/>
  <c r="T148" i="35"/>
  <c r="S148" i="35"/>
  <c r="Q148" i="35"/>
  <c r="O148" i="35"/>
  <c r="M148" i="35"/>
  <c r="K148" i="35"/>
  <c r="X147" i="35"/>
  <c r="W147" i="35"/>
  <c r="V147" i="35"/>
  <c r="U147" i="35"/>
  <c r="T147" i="35"/>
  <c r="S147" i="35"/>
  <c r="Q147" i="35"/>
  <c r="O147" i="35"/>
  <c r="M147" i="35"/>
  <c r="K147" i="35"/>
  <c r="X146" i="35"/>
  <c r="W146" i="35"/>
  <c r="V146" i="35"/>
  <c r="U146" i="35"/>
  <c r="T146" i="35"/>
  <c r="S146" i="35"/>
  <c r="Q146" i="35"/>
  <c r="O146" i="35"/>
  <c r="M146" i="35"/>
  <c r="K146" i="35"/>
  <c r="X145" i="35"/>
  <c r="W145" i="35"/>
  <c r="V145" i="35"/>
  <c r="U145" i="35"/>
  <c r="T145" i="35"/>
  <c r="S145" i="35"/>
  <c r="Q145" i="35"/>
  <c r="O145" i="35"/>
  <c r="M145" i="35"/>
  <c r="K145" i="35"/>
  <c r="X144" i="35"/>
  <c r="W144" i="35"/>
  <c r="V144" i="35"/>
  <c r="U144" i="35"/>
  <c r="T144" i="35"/>
  <c r="S144" i="35"/>
  <c r="Q144" i="35"/>
  <c r="O144" i="35"/>
  <c r="M144" i="35"/>
  <c r="K144" i="35"/>
  <c r="X143" i="35"/>
  <c r="W143" i="35"/>
  <c r="V143" i="35"/>
  <c r="U143" i="35"/>
  <c r="T143" i="35"/>
  <c r="S143" i="35"/>
  <c r="Q143" i="35"/>
  <c r="O143" i="35"/>
  <c r="M143" i="35"/>
  <c r="K143" i="35"/>
  <c r="X142" i="35"/>
  <c r="W142" i="35"/>
  <c r="V142" i="35"/>
  <c r="U142" i="35"/>
  <c r="T142" i="35"/>
  <c r="S142" i="35"/>
  <c r="Q142" i="35"/>
  <c r="O142" i="35"/>
  <c r="M142" i="35"/>
  <c r="K142" i="35"/>
  <c r="X141" i="35"/>
  <c r="W141" i="35"/>
  <c r="V141" i="35"/>
  <c r="U141" i="35"/>
  <c r="T141" i="35"/>
  <c r="S141" i="35"/>
  <c r="Q141" i="35"/>
  <c r="O141" i="35"/>
  <c r="M141" i="35"/>
  <c r="K141" i="35"/>
  <c r="X140" i="35"/>
  <c r="W140" i="35"/>
  <c r="V140" i="35"/>
  <c r="U140" i="35"/>
  <c r="T140" i="35"/>
  <c r="S140" i="35"/>
  <c r="Q140" i="35"/>
  <c r="O140" i="35"/>
  <c r="M140" i="35"/>
  <c r="K140" i="35"/>
  <c r="X139" i="35"/>
  <c r="W139" i="35"/>
  <c r="V139" i="35"/>
  <c r="U139" i="35"/>
  <c r="T139" i="35"/>
  <c r="S139" i="35"/>
  <c r="Q139" i="35"/>
  <c r="O139" i="35"/>
  <c r="M139" i="35"/>
  <c r="K139" i="35"/>
  <c r="X138" i="35"/>
  <c r="W138" i="35"/>
  <c r="V138" i="35"/>
  <c r="U138" i="35"/>
  <c r="T138" i="35"/>
  <c r="S138" i="35"/>
  <c r="Q138" i="35"/>
  <c r="O138" i="35"/>
  <c r="M138" i="35"/>
  <c r="K138" i="35"/>
  <c r="X137" i="35"/>
  <c r="W137" i="35"/>
  <c r="V137" i="35"/>
  <c r="U137" i="35"/>
  <c r="T137" i="35"/>
  <c r="S137" i="35"/>
  <c r="Q137" i="35"/>
  <c r="O137" i="35"/>
  <c r="M137" i="35"/>
  <c r="K137" i="35"/>
  <c r="X136" i="35"/>
  <c r="W136" i="35"/>
  <c r="V136" i="35"/>
  <c r="U136" i="35"/>
  <c r="T136" i="35"/>
  <c r="S136" i="35"/>
  <c r="Q136" i="35"/>
  <c r="O136" i="35"/>
  <c r="M136" i="35"/>
  <c r="K136" i="35"/>
  <c r="X135" i="35"/>
  <c r="W135" i="35"/>
  <c r="V135" i="35"/>
  <c r="U135" i="35"/>
  <c r="T135" i="35"/>
  <c r="S135" i="35"/>
  <c r="Q135" i="35"/>
  <c r="O135" i="35"/>
  <c r="M135" i="35"/>
  <c r="K135" i="35"/>
  <c r="X134" i="35"/>
  <c r="W134" i="35"/>
  <c r="V134" i="35"/>
  <c r="U134" i="35"/>
  <c r="T134" i="35"/>
  <c r="S134" i="35"/>
  <c r="Q134" i="35"/>
  <c r="O134" i="35"/>
  <c r="M134" i="35"/>
  <c r="K134" i="35"/>
  <c r="X133" i="35"/>
  <c r="W133" i="35"/>
  <c r="V133" i="35"/>
  <c r="U133" i="35"/>
  <c r="T133" i="35"/>
  <c r="S133" i="35"/>
  <c r="Q133" i="35"/>
  <c r="O133" i="35"/>
  <c r="M133" i="35"/>
  <c r="K133" i="35"/>
  <c r="X132" i="35"/>
  <c r="W132" i="35"/>
  <c r="V132" i="35"/>
  <c r="U132" i="35"/>
  <c r="T132" i="35"/>
  <c r="S132" i="35"/>
  <c r="Q132" i="35"/>
  <c r="O132" i="35"/>
  <c r="M132" i="35"/>
  <c r="K132" i="35"/>
  <c r="X131" i="35"/>
  <c r="W131" i="35"/>
  <c r="V131" i="35"/>
  <c r="U131" i="35"/>
  <c r="T131" i="35"/>
  <c r="S131" i="35"/>
  <c r="Q131" i="35"/>
  <c r="O131" i="35"/>
  <c r="M131" i="35"/>
  <c r="K131" i="35"/>
  <c r="X130" i="35"/>
  <c r="W130" i="35"/>
  <c r="V130" i="35"/>
  <c r="U130" i="35"/>
  <c r="T130" i="35"/>
  <c r="S130" i="35"/>
  <c r="Q130" i="35"/>
  <c r="O130" i="35"/>
  <c r="M130" i="35"/>
  <c r="K130" i="35"/>
  <c r="X129" i="35"/>
  <c r="W129" i="35"/>
  <c r="V129" i="35"/>
  <c r="U129" i="35"/>
  <c r="T129" i="35"/>
  <c r="S129" i="35"/>
  <c r="Q129" i="35"/>
  <c r="O129" i="35"/>
  <c r="M129" i="35"/>
  <c r="K129" i="35"/>
  <c r="X128" i="35"/>
  <c r="W128" i="35"/>
  <c r="V128" i="35"/>
  <c r="U128" i="35"/>
  <c r="T128" i="35"/>
  <c r="S128" i="35"/>
  <c r="Q128" i="35"/>
  <c r="O128" i="35"/>
  <c r="M128" i="35"/>
  <c r="K128" i="35"/>
  <c r="X127" i="35"/>
  <c r="W127" i="35"/>
  <c r="V127" i="35"/>
  <c r="U127" i="35"/>
  <c r="T127" i="35"/>
  <c r="S127" i="35"/>
  <c r="Q127" i="35"/>
  <c r="O127" i="35"/>
  <c r="M127" i="35"/>
  <c r="K127" i="35"/>
  <c r="X126" i="35"/>
  <c r="W126" i="35"/>
  <c r="V126" i="35"/>
  <c r="U126" i="35"/>
  <c r="T126" i="35"/>
  <c r="S126" i="35"/>
  <c r="Q126" i="35"/>
  <c r="O126" i="35"/>
  <c r="M126" i="35"/>
  <c r="K126" i="35"/>
  <c r="X125" i="35"/>
  <c r="W125" i="35"/>
  <c r="V125" i="35"/>
  <c r="U125" i="35"/>
  <c r="T125" i="35"/>
  <c r="S125" i="35"/>
  <c r="Q125" i="35"/>
  <c r="O125" i="35"/>
  <c r="M125" i="35"/>
  <c r="K125" i="35"/>
  <c r="X124" i="35"/>
  <c r="W124" i="35"/>
  <c r="V124" i="35"/>
  <c r="U124" i="35"/>
  <c r="T124" i="35"/>
  <c r="S124" i="35"/>
  <c r="Q124" i="35"/>
  <c r="O124" i="35"/>
  <c r="M124" i="35"/>
  <c r="K124" i="35"/>
  <c r="X123" i="35"/>
  <c r="W123" i="35"/>
  <c r="V123" i="35"/>
  <c r="U123" i="35"/>
  <c r="T123" i="35"/>
  <c r="S123" i="35"/>
  <c r="Q123" i="35"/>
  <c r="O123" i="35"/>
  <c r="M123" i="35"/>
  <c r="K123" i="35"/>
  <c r="X122" i="35"/>
  <c r="W122" i="35"/>
  <c r="V122" i="35"/>
  <c r="U122" i="35"/>
  <c r="T122" i="35"/>
  <c r="S122" i="35"/>
  <c r="Q122" i="35"/>
  <c r="O122" i="35"/>
  <c r="M122" i="35"/>
  <c r="K122" i="35"/>
  <c r="X121" i="35"/>
  <c r="W121" i="35"/>
  <c r="V121" i="35"/>
  <c r="U121" i="35"/>
  <c r="T121" i="35"/>
  <c r="S121" i="35"/>
  <c r="Q121" i="35"/>
  <c r="O121" i="35"/>
  <c r="M121" i="35"/>
  <c r="K121" i="35"/>
  <c r="X120" i="35"/>
  <c r="W120" i="35"/>
  <c r="V120" i="35"/>
  <c r="U120" i="35"/>
  <c r="T120" i="35"/>
  <c r="S120" i="35"/>
  <c r="Q120" i="35"/>
  <c r="O120" i="35"/>
  <c r="M120" i="35"/>
  <c r="K120" i="35"/>
  <c r="X119" i="35"/>
  <c r="W119" i="35"/>
  <c r="V119" i="35"/>
  <c r="U119" i="35"/>
  <c r="T119" i="35"/>
  <c r="S119" i="35"/>
  <c r="Q119" i="35"/>
  <c r="O119" i="35"/>
  <c r="M119" i="35"/>
  <c r="K119" i="35"/>
  <c r="X118" i="35"/>
  <c r="W118" i="35"/>
  <c r="V118" i="35"/>
  <c r="U118" i="35"/>
  <c r="T118" i="35"/>
  <c r="S118" i="35"/>
  <c r="Q118" i="35"/>
  <c r="O118" i="35"/>
  <c r="M118" i="35"/>
  <c r="K118" i="35"/>
  <c r="X117" i="35"/>
  <c r="W117" i="35"/>
  <c r="V117" i="35"/>
  <c r="U117" i="35"/>
  <c r="T117" i="35"/>
  <c r="S117" i="35"/>
  <c r="Q117" i="35"/>
  <c r="O117" i="35"/>
  <c r="M117" i="35"/>
  <c r="K117" i="35"/>
  <c r="X116" i="35"/>
  <c r="W116" i="35"/>
  <c r="V116" i="35"/>
  <c r="U116" i="35"/>
  <c r="T116" i="35"/>
  <c r="S116" i="35"/>
  <c r="Q116" i="35"/>
  <c r="O116" i="35"/>
  <c r="M116" i="35"/>
  <c r="K116" i="35"/>
  <c r="X115" i="35"/>
  <c r="W115" i="35"/>
  <c r="V115" i="35"/>
  <c r="U115" i="35"/>
  <c r="T115" i="35"/>
  <c r="S115" i="35"/>
  <c r="Q115" i="35"/>
  <c r="O115" i="35"/>
  <c r="M115" i="35"/>
  <c r="K115" i="35"/>
  <c r="X114" i="35"/>
  <c r="W114" i="35"/>
  <c r="V114" i="35"/>
  <c r="U114" i="35"/>
  <c r="T114" i="35"/>
  <c r="S114" i="35"/>
  <c r="Q114" i="35"/>
  <c r="O114" i="35"/>
  <c r="M114" i="35"/>
  <c r="K114" i="35"/>
  <c r="X113" i="35"/>
  <c r="W113" i="35"/>
  <c r="V113" i="35"/>
  <c r="U113" i="35"/>
  <c r="T113" i="35"/>
  <c r="S113" i="35"/>
  <c r="Q113" i="35"/>
  <c r="O113" i="35"/>
  <c r="M113" i="35"/>
  <c r="K113" i="35"/>
  <c r="X112" i="35"/>
  <c r="W112" i="35"/>
  <c r="V112" i="35"/>
  <c r="U112" i="35"/>
  <c r="T112" i="35"/>
  <c r="S112" i="35"/>
  <c r="Q112" i="35"/>
  <c r="O112" i="35"/>
  <c r="M112" i="35"/>
  <c r="K112" i="35"/>
  <c r="X111" i="35"/>
  <c r="W111" i="35"/>
  <c r="V111" i="35"/>
  <c r="U111" i="35"/>
  <c r="T111" i="35"/>
  <c r="S111" i="35"/>
  <c r="Q111" i="35"/>
  <c r="O111" i="35"/>
  <c r="M111" i="35"/>
  <c r="K111" i="35"/>
  <c r="X110" i="35"/>
  <c r="W110" i="35"/>
  <c r="V110" i="35"/>
  <c r="U110" i="35"/>
  <c r="T110" i="35"/>
  <c r="S110" i="35"/>
  <c r="Q110" i="35"/>
  <c r="O110" i="35"/>
  <c r="M110" i="35"/>
  <c r="K110" i="35"/>
  <c r="X109" i="35"/>
  <c r="W109" i="35"/>
  <c r="V109" i="35"/>
  <c r="U109" i="35"/>
  <c r="T109" i="35"/>
  <c r="S109" i="35"/>
  <c r="Q109" i="35"/>
  <c r="O109" i="35"/>
  <c r="M109" i="35"/>
  <c r="K109" i="35"/>
  <c r="X108" i="35"/>
  <c r="W108" i="35"/>
  <c r="V108" i="35"/>
  <c r="U108" i="35"/>
  <c r="T108" i="35"/>
  <c r="S108" i="35"/>
  <c r="Q108" i="35"/>
  <c r="O108" i="35"/>
  <c r="M108" i="35"/>
  <c r="K108" i="35"/>
  <c r="X107" i="35"/>
  <c r="W107" i="35"/>
  <c r="V107" i="35"/>
  <c r="U107" i="35"/>
  <c r="T107" i="35"/>
  <c r="S107" i="35"/>
  <c r="Q107" i="35"/>
  <c r="O107" i="35"/>
  <c r="M107" i="35"/>
  <c r="K107" i="35"/>
  <c r="X106" i="35"/>
  <c r="W106" i="35"/>
  <c r="V106" i="35"/>
  <c r="U106" i="35"/>
  <c r="T106" i="35"/>
  <c r="S106" i="35"/>
  <c r="Q106" i="35"/>
  <c r="O106" i="35"/>
  <c r="M106" i="35"/>
  <c r="K106" i="35"/>
  <c r="X105" i="35"/>
  <c r="W105" i="35"/>
  <c r="V105" i="35"/>
  <c r="U105" i="35"/>
  <c r="T105" i="35"/>
  <c r="S105" i="35"/>
  <c r="Q105" i="35"/>
  <c r="O105" i="35"/>
  <c r="M105" i="35"/>
  <c r="K105" i="35"/>
  <c r="X104" i="35"/>
  <c r="W104" i="35"/>
  <c r="V104" i="35"/>
  <c r="U104" i="35"/>
  <c r="T104" i="35"/>
  <c r="S104" i="35"/>
  <c r="Q104" i="35"/>
  <c r="O104" i="35"/>
  <c r="M104" i="35"/>
  <c r="K104" i="35"/>
  <c r="X103" i="35"/>
  <c r="W103" i="35"/>
  <c r="V103" i="35"/>
  <c r="U103" i="35"/>
  <c r="T103" i="35"/>
  <c r="S103" i="35"/>
  <c r="Q103" i="35"/>
  <c r="O103" i="35"/>
  <c r="M103" i="35"/>
  <c r="K103" i="35"/>
  <c r="X102" i="35"/>
  <c r="W102" i="35"/>
  <c r="V102" i="35"/>
  <c r="U102" i="35"/>
  <c r="T102" i="35"/>
  <c r="S102" i="35"/>
  <c r="Q102" i="35"/>
  <c r="O102" i="35"/>
  <c r="M102" i="35"/>
  <c r="K102" i="35"/>
  <c r="X101" i="35"/>
  <c r="W101" i="35"/>
  <c r="V101" i="35"/>
  <c r="U101" i="35"/>
  <c r="T101" i="35"/>
  <c r="S101" i="35"/>
  <c r="Q101" i="35"/>
  <c r="O101" i="35"/>
  <c r="M101" i="35"/>
  <c r="K101" i="35"/>
  <c r="X100" i="35"/>
  <c r="W100" i="35"/>
  <c r="V100" i="35"/>
  <c r="U100" i="35"/>
  <c r="T100" i="35"/>
  <c r="S100" i="35"/>
  <c r="Q100" i="35"/>
  <c r="O100" i="35"/>
  <c r="M100" i="35"/>
  <c r="K100" i="35"/>
  <c r="X99" i="35"/>
  <c r="W99" i="35"/>
  <c r="V99" i="35"/>
  <c r="U99" i="35"/>
  <c r="T99" i="35"/>
  <c r="S99" i="35"/>
  <c r="Q99" i="35"/>
  <c r="O99" i="35"/>
  <c r="M99" i="35"/>
  <c r="K99" i="35"/>
  <c r="X98" i="35"/>
  <c r="W98" i="35"/>
  <c r="V98" i="35"/>
  <c r="U98" i="35"/>
  <c r="T98" i="35"/>
  <c r="S98" i="35"/>
  <c r="Q98" i="35"/>
  <c r="O98" i="35"/>
  <c r="M98" i="35"/>
  <c r="K98" i="35"/>
  <c r="X97" i="35"/>
  <c r="W97" i="35"/>
  <c r="V97" i="35"/>
  <c r="U97" i="35"/>
  <c r="T97" i="35"/>
  <c r="S97" i="35"/>
  <c r="Q97" i="35"/>
  <c r="O97" i="35"/>
  <c r="M97" i="35"/>
  <c r="K97" i="35"/>
  <c r="X96" i="35"/>
  <c r="W96" i="35"/>
  <c r="V96" i="35"/>
  <c r="U96" i="35"/>
  <c r="T96" i="35"/>
  <c r="S96" i="35"/>
  <c r="Q96" i="35"/>
  <c r="O96" i="35"/>
  <c r="M96" i="35"/>
  <c r="K96" i="35"/>
  <c r="X95" i="35"/>
  <c r="W95" i="35"/>
  <c r="V95" i="35"/>
  <c r="U95" i="35"/>
  <c r="T95" i="35"/>
  <c r="S95" i="35"/>
  <c r="Q95" i="35"/>
  <c r="O95" i="35"/>
  <c r="M95" i="35"/>
  <c r="K95" i="35"/>
  <c r="X94" i="35"/>
  <c r="W94" i="35"/>
  <c r="V94" i="35"/>
  <c r="U94" i="35"/>
  <c r="T94" i="35"/>
  <c r="S94" i="35"/>
  <c r="Q94" i="35"/>
  <c r="O94" i="35"/>
  <c r="M94" i="35"/>
  <c r="K94" i="35"/>
  <c r="X93" i="35"/>
  <c r="W93" i="35"/>
  <c r="V93" i="35"/>
  <c r="U93" i="35"/>
  <c r="T93" i="35"/>
  <c r="S93" i="35"/>
  <c r="Q93" i="35"/>
  <c r="O93" i="35"/>
  <c r="M93" i="35"/>
  <c r="K93" i="35"/>
  <c r="X92" i="35"/>
  <c r="W92" i="35"/>
  <c r="V92" i="35"/>
  <c r="U92" i="35"/>
  <c r="T92" i="35"/>
  <c r="S92" i="35"/>
  <c r="Q92" i="35"/>
  <c r="O92" i="35"/>
  <c r="M92" i="35"/>
  <c r="K92" i="35"/>
  <c r="X91" i="35"/>
  <c r="W91" i="35"/>
  <c r="V91" i="35"/>
  <c r="U91" i="35"/>
  <c r="T91" i="35"/>
  <c r="S91" i="35"/>
  <c r="Q91" i="35"/>
  <c r="O91" i="35"/>
  <c r="M91" i="35"/>
  <c r="K91" i="35"/>
  <c r="X90" i="35"/>
  <c r="W90" i="35"/>
  <c r="V90" i="35"/>
  <c r="U90" i="35"/>
  <c r="T90" i="35"/>
  <c r="S90" i="35"/>
  <c r="Q90" i="35"/>
  <c r="O90" i="35"/>
  <c r="M90" i="35"/>
  <c r="K90" i="35"/>
  <c r="X89" i="35"/>
  <c r="W89" i="35"/>
  <c r="V89" i="35"/>
  <c r="U89" i="35"/>
  <c r="T89" i="35"/>
  <c r="S89" i="35"/>
  <c r="Q89" i="35"/>
  <c r="O89" i="35"/>
  <c r="M89" i="35"/>
  <c r="K89" i="35"/>
  <c r="X88" i="35"/>
  <c r="W88" i="35"/>
  <c r="V88" i="35"/>
  <c r="U88" i="35"/>
  <c r="T88" i="35"/>
  <c r="S88" i="35"/>
  <c r="Q88" i="35"/>
  <c r="O88" i="35"/>
  <c r="M88" i="35"/>
  <c r="K88" i="35"/>
  <c r="X87" i="35"/>
  <c r="W87" i="35"/>
  <c r="V87" i="35"/>
  <c r="U87" i="35"/>
  <c r="T87" i="35"/>
  <c r="S87" i="35"/>
  <c r="Q87" i="35"/>
  <c r="O87" i="35"/>
  <c r="M87" i="35"/>
  <c r="K87" i="35"/>
  <c r="X86" i="35"/>
  <c r="W86" i="35"/>
  <c r="V86" i="35"/>
  <c r="U86" i="35"/>
  <c r="T86" i="35"/>
  <c r="S86" i="35"/>
  <c r="Q86" i="35"/>
  <c r="O86" i="35"/>
  <c r="M86" i="35"/>
  <c r="K86" i="35"/>
  <c r="X85" i="35"/>
  <c r="W85" i="35"/>
  <c r="V85" i="35"/>
  <c r="U85" i="35"/>
  <c r="T85" i="35"/>
  <c r="S85" i="35"/>
  <c r="Q85" i="35"/>
  <c r="O85" i="35"/>
  <c r="M85" i="35"/>
  <c r="K85" i="35"/>
  <c r="X84" i="35"/>
  <c r="W84" i="35"/>
  <c r="V84" i="35"/>
  <c r="U84" i="35"/>
  <c r="T84" i="35"/>
  <c r="S84" i="35"/>
  <c r="Q84" i="35"/>
  <c r="O84" i="35"/>
  <c r="M84" i="35"/>
  <c r="K84" i="35"/>
  <c r="X83" i="35"/>
  <c r="W83" i="35"/>
  <c r="V83" i="35"/>
  <c r="U83" i="35"/>
  <c r="T83" i="35"/>
  <c r="S83" i="35"/>
  <c r="Q83" i="35"/>
  <c r="O83" i="35"/>
  <c r="M83" i="35"/>
  <c r="K83" i="35"/>
  <c r="X82" i="35"/>
  <c r="W82" i="35"/>
  <c r="V82" i="35"/>
  <c r="U82" i="35"/>
  <c r="T82" i="35"/>
  <c r="S82" i="35"/>
  <c r="Q82" i="35"/>
  <c r="O82" i="35"/>
  <c r="M82" i="35"/>
  <c r="K82" i="35"/>
  <c r="X81" i="35"/>
  <c r="W81" i="35"/>
  <c r="V81" i="35"/>
  <c r="U81" i="35"/>
  <c r="T81" i="35"/>
  <c r="S81" i="35"/>
  <c r="Q81" i="35"/>
  <c r="O81" i="35"/>
  <c r="M81" i="35"/>
  <c r="K81" i="35"/>
  <c r="X80" i="35"/>
  <c r="W80" i="35"/>
  <c r="V80" i="35"/>
  <c r="U80" i="35"/>
  <c r="T80" i="35"/>
  <c r="S80" i="35"/>
  <c r="Q80" i="35"/>
  <c r="O80" i="35"/>
  <c r="M80" i="35"/>
  <c r="K80" i="35"/>
  <c r="X79" i="35"/>
  <c r="W79" i="35"/>
  <c r="V79" i="35"/>
  <c r="U79" i="35"/>
  <c r="T79" i="35"/>
  <c r="S79" i="35"/>
  <c r="Q79" i="35"/>
  <c r="O79" i="35"/>
  <c r="M79" i="35"/>
  <c r="K79" i="35"/>
  <c r="X78" i="35"/>
  <c r="W78" i="35"/>
  <c r="V78" i="35"/>
  <c r="U78" i="35"/>
  <c r="T78" i="35"/>
  <c r="S78" i="35"/>
  <c r="Q78" i="35"/>
  <c r="O78" i="35"/>
  <c r="M78" i="35"/>
  <c r="K78" i="35"/>
  <c r="X77" i="35"/>
  <c r="W77" i="35"/>
  <c r="V77" i="35"/>
  <c r="U77" i="35"/>
  <c r="T77" i="35"/>
  <c r="S77" i="35"/>
  <c r="Q77" i="35"/>
  <c r="O77" i="35"/>
  <c r="M77" i="35"/>
  <c r="K77" i="35"/>
  <c r="X76" i="35"/>
  <c r="W76" i="35"/>
  <c r="V76" i="35"/>
  <c r="U76" i="35"/>
  <c r="T76" i="35"/>
  <c r="S76" i="35"/>
  <c r="Q76" i="35"/>
  <c r="O76" i="35"/>
  <c r="M76" i="35"/>
  <c r="K76" i="35"/>
  <c r="X75" i="35"/>
  <c r="W75" i="35"/>
  <c r="V75" i="35"/>
  <c r="U75" i="35"/>
  <c r="T75" i="35"/>
  <c r="S75" i="35"/>
  <c r="Q75" i="35"/>
  <c r="O75" i="35"/>
  <c r="M75" i="35"/>
  <c r="K75" i="35"/>
  <c r="X74" i="35"/>
  <c r="W74" i="35"/>
  <c r="V74" i="35"/>
  <c r="U74" i="35"/>
  <c r="T74" i="35"/>
  <c r="S74" i="35"/>
  <c r="Q74" i="35"/>
  <c r="O74" i="35"/>
  <c r="M74" i="35"/>
  <c r="K74" i="35"/>
  <c r="X73" i="35"/>
  <c r="W73" i="35"/>
  <c r="V73" i="35"/>
  <c r="U73" i="35"/>
  <c r="T73" i="35"/>
  <c r="S73" i="35"/>
  <c r="Q73" i="35"/>
  <c r="O73" i="35"/>
  <c r="M73" i="35"/>
  <c r="K73" i="35"/>
  <c r="X72" i="35"/>
  <c r="W72" i="35"/>
  <c r="V72" i="35"/>
  <c r="U72" i="35"/>
  <c r="T72" i="35"/>
  <c r="S72" i="35"/>
  <c r="Q72" i="35"/>
  <c r="O72" i="35"/>
  <c r="M72" i="35"/>
  <c r="K72" i="35"/>
  <c r="X71" i="35"/>
  <c r="W71" i="35"/>
  <c r="V71" i="35"/>
  <c r="U71" i="35"/>
  <c r="T71" i="35"/>
  <c r="S71" i="35"/>
  <c r="Q71" i="35"/>
  <c r="O71" i="35"/>
  <c r="M71" i="35"/>
  <c r="K71" i="35"/>
  <c r="X70" i="35"/>
  <c r="W70" i="35"/>
  <c r="V70" i="35"/>
  <c r="U70" i="35"/>
  <c r="T70" i="35"/>
  <c r="S70" i="35"/>
  <c r="Q70" i="35"/>
  <c r="O70" i="35"/>
  <c r="M70" i="35"/>
  <c r="K70" i="35"/>
  <c r="X69" i="35"/>
  <c r="W69" i="35"/>
  <c r="V69" i="35"/>
  <c r="U69" i="35"/>
  <c r="T69" i="35"/>
  <c r="S69" i="35"/>
  <c r="Q69" i="35"/>
  <c r="O69" i="35"/>
  <c r="M69" i="35"/>
  <c r="K69" i="35"/>
  <c r="X68" i="35"/>
  <c r="W68" i="35"/>
  <c r="V68" i="35"/>
  <c r="U68" i="35"/>
  <c r="T68" i="35"/>
  <c r="S68" i="35"/>
  <c r="Q68" i="35"/>
  <c r="O68" i="35"/>
  <c r="M68" i="35"/>
  <c r="K68" i="35"/>
  <c r="X67" i="35"/>
  <c r="W67" i="35"/>
  <c r="V67" i="35"/>
  <c r="U67" i="35"/>
  <c r="T67" i="35"/>
  <c r="S67" i="35"/>
  <c r="Q67" i="35"/>
  <c r="O67" i="35"/>
  <c r="M67" i="35"/>
  <c r="K67" i="35"/>
  <c r="X66" i="35"/>
  <c r="W66" i="35"/>
  <c r="V66" i="35"/>
  <c r="U66" i="35"/>
  <c r="T66" i="35"/>
  <c r="S66" i="35"/>
  <c r="Q66" i="35"/>
  <c r="O66" i="35"/>
  <c r="M66" i="35"/>
  <c r="K66" i="35"/>
  <c r="X65" i="35"/>
  <c r="W65" i="35"/>
  <c r="V65" i="35"/>
  <c r="U65" i="35"/>
  <c r="T65" i="35"/>
  <c r="S65" i="35"/>
  <c r="Q65" i="35"/>
  <c r="O65" i="35"/>
  <c r="M65" i="35"/>
  <c r="K65" i="35"/>
  <c r="X64" i="35"/>
  <c r="W64" i="35"/>
  <c r="V64" i="35"/>
  <c r="U64" i="35"/>
  <c r="T64" i="35"/>
  <c r="S64" i="35"/>
  <c r="Q64" i="35"/>
  <c r="O64" i="35"/>
  <c r="M64" i="35"/>
  <c r="K64" i="35"/>
  <c r="X63" i="35"/>
  <c r="W63" i="35"/>
  <c r="V63" i="35"/>
  <c r="U63" i="35"/>
  <c r="T63" i="35"/>
  <c r="S63" i="35"/>
  <c r="Q63" i="35"/>
  <c r="O63" i="35"/>
  <c r="M63" i="35"/>
  <c r="K63" i="35"/>
  <c r="X62" i="35"/>
  <c r="W62" i="35"/>
  <c r="V62" i="35"/>
  <c r="U62" i="35"/>
  <c r="T62" i="35"/>
  <c r="S62" i="35"/>
  <c r="Q62" i="35"/>
  <c r="O62" i="35"/>
  <c r="M62" i="35"/>
  <c r="K62" i="35"/>
  <c r="X61" i="35"/>
  <c r="W61" i="35"/>
  <c r="V61" i="35"/>
  <c r="U61" i="35"/>
  <c r="T61" i="35"/>
  <c r="S61" i="35"/>
  <c r="Q61" i="35"/>
  <c r="O61" i="35"/>
  <c r="M61" i="35"/>
  <c r="K61" i="35"/>
  <c r="X60" i="35"/>
  <c r="W60" i="35"/>
  <c r="V60" i="35"/>
  <c r="U60" i="35"/>
  <c r="T60" i="35"/>
  <c r="S60" i="35"/>
  <c r="Q60" i="35"/>
  <c r="O60" i="35"/>
  <c r="M60" i="35"/>
  <c r="K60" i="35"/>
  <c r="X59" i="35"/>
  <c r="W59" i="35"/>
  <c r="V59" i="35"/>
  <c r="U59" i="35"/>
  <c r="T59" i="35"/>
  <c r="S59" i="35"/>
  <c r="Q59" i="35"/>
  <c r="O59" i="35"/>
  <c r="M59" i="35"/>
  <c r="K59" i="35"/>
  <c r="X58" i="35"/>
  <c r="W58" i="35"/>
  <c r="V58" i="35"/>
  <c r="U58" i="35"/>
  <c r="T58" i="35"/>
  <c r="S58" i="35"/>
  <c r="Q58" i="35"/>
  <c r="O58" i="35"/>
  <c r="M58" i="35"/>
  <c r="K58" i="35"/>
  <c r="X57" i="35"/>
  <c r="W57" i="35"/>
  <c r="V57" i="35"/>
  <c r="U57" i="35"/>
  <c r="T57" i="35"/>
  <c r="S57" i="35"/>
  <c r="Q57" i="35"/>
  <c r="O57" i="35"/>
  <c r="M57" i="35"/>
  <c r="K57" i="35"/>
  <c r="X56" i="35"/>
  <c r="W56" i="35"/>
  <c r="V56" i="35"/>
  <c r="U56" i="35"/>
  <c r="T56" i="35"/>
  <c r="S56" i="35"/>
  <c r="Q56" i="35"/>
  <c r="O56" i="35"/>
  <c r="M56" i="35"/>
  <c r="K56" i="35"/>
  <c r="X55" i="35"/>
  <c r="W55" i="35"/>
  <c r="V55" i="35"/>
  <c r="U55" i="35"/>
  <c r="T55" i="35"/>
  <c r="S55" i="35"/>
  <c r="Q55" i="35"/>
  <c r="O55" i="35"/>
  <c r="M55" i="35"/>
  <c r="K55" i="35"/>
  <c r="X54" i="35"/>
  <c r="W54" i="35"/>
  <c r="V54" i="35"/>
  <c r="U54" i="35"/>
  <c r="T54" i="35"/>
  <c r="S54" i="35"/>
  <c r="Q54" i="35"/>
  <c r="O54" i="35"/>
  <c r="M54" i="35"/>
  <c r="K54" i="35"/>
  <c r="X53" i="35"/>
  <c r="W53" i="35"/>
  <c r="V53" i="35"/>
  <c r="U53" i="35"/>
  <c r="T53" i="35"/>
  <c r="S53" i="35"/>
  <c r="Q53" i="35"/>
  <c r="O53" i="35"/>
  <c r="M53" i="35"/>
  <c r="K53" i="35"/>
  <c r="X52" i="35"/>
  <c r="W52" i="35"/>
  <c r="V52" i="35"/>
  <c r="U52" i="35"/>
  <c r="T52" i="35"/>
  <c r="S52" i="35"/>
  <c r="Q52" i="35"/>
  <c r="O52" i="35"/>
  <c r="M52" i="35"/>
  <c r="K52" i="35"/>
  <c r="X51" i="35"/>
  <c r="W51" i="35"/>
  <c r="V51" i="35"/>
  <c r="U51" i="35"/>
  <c r="T51" i="35"/>
  <c r="S51" i="35"/>
  <c r="Q51" i="35"/>
  <c r="O51" i="35"/>
  <c r="M51" i="35"/>
  <c r="K51" i="35"/>
  <c r="X50" i="35"/>
  <c r="W50" i="35"/>
  <c r="V50" i="35"/>
  <c r="U50" i="35"/>
  <c r="T50" i="35"/>
  <c r="S50" i="35"/>
  <c r="Q50" i="35"/>
  <c r="O50" i="35"/>
  <c r="M50" i="35"/>
  <c r="K50" i="35"/>
  <c r="X49" i="35"/>
  <c r="W49" i="35"/>
  <c r="V49" i="35"/>
  <c r="U49" i="35"/>
  <c r="T49" i="35"/>
  <c r="S49" i="35"/>
  <c r="Q49" i="35"/>
  <c r="O49" i="35"/>
  <c r="M49" i="35"/>
  <c r="K49" i="35"/>
  <c r="X48" i="35"/>
  <c r="W48" i="35"/>
  <c r="V48" i="35"/>
  <c r="U48" i="35"/>
  <c r="T48" i="35"/>
  <c r="S48" i="35"/>
  <c r="Q48" i="35"/>
  <c r="O48" i="35"/>
  <c r="M48" i="35"/>
  <c r="K48" i="35"/>
  <c r="X47" i="35"/>
  <c r="W47" i="35"/>
  <c r="V47" i="35"/>
  <c r="U47" i="35"/>
  <c r="T47" i="35"/>
  <c r="S47" i="35"/>
  <c r="Q47" i="35"/>
  <c r="O47" i="35"/>
  <c r="M47" i="35"/>
  <c r="K47" i="35"/>
  <c r="X46" i="35"/>
  <c r="W46" i="35"/>
  <c r="V46" i="35"/>
  <c r="U46" i="35"/>
  <c r="T46" i="35"/>
  <c r="S46" i="35"/>
  <c r="Q46" i="35"/>
  <c r="O46" i="35"/>
  <c r="M46" i="35"/>
  <c r="K46" i="35"/>
  <c r="X45" i="35"/>
  <c r="W45" i="35"/>
  <c r="V45" i="35"/>
  <c r="U45" i="35"/>
  <c r="T45" i="35"/>
  <c r="S45" i="35"/>
  <c r="Q45" i="35"/>
  <c r="O45" i="35"/>
  <c r="M45" i="35"/>
  <c r="K45" i="35"/>
  <c r="X44" i="35"/>
  <c r="W44" i="35"/>
  <c r="V44" i="35"/>
  <c r="U44" i="35"/>
  <c r="T44" i="35"/>
  <c r="S44" i="35"/>
  <c r="Q44" i="35"/>
  <c r="O44" i="35"/>
  <c r="M44" i="35"/>
  <c r="K44" i="35"/>
  <c r="X43" i="35"/>
  <c r="W43" i="35"/>
  <c r="V43" i="35"/>
  <c r="U43" i="35"/>
  <c r="T43" i="35"/>
  <c r="S43" i="35"/>
  <c r="Q43" i="35"/>
  <c r="O43" i="35"/>
  <c r="M43" i="35"/>
  <c r="K43" i="35"/>
  <c r="X42" i="35"/>
  <c r="W42" i="35"/>
  <c r="V42" i="35"/>
  <c r="U42" i="35"/>
  <c r="T42" i="35"/>
  <c r="S42" i="35"/>
  <c r="Q42" i="35"/>
  <c r="O42" i="35"/>
  <c r="M42" i="35"/>
  <c r="K42" i="35"/>
  <c r="X41" i="35"/>
  <c r="W41" i="35"/>
  <c r="V41" i="35"/>
  <c r="U41" i="35"/>
  <c r="T41" i="35"/>
  <c r="S41" i="35"/>
  <c r="Q41" i="35"/>
  <c r="O41" i="35"/>
  <c r="M41" i="35"/>
  <c r="K41" i="35"/>
  <c r="X40" i="35"/>
  <c r="W40" i="35"/>
  <c r="V40" i="35"/>
  <c r="U40" i="35"/>
  <c r="T40" i="35"/>
  <c r="S40" i="35"/>
  <c r="Q40" i="35"/>
  <c r="O40" i="35"/>
  <c r="M40" i="35"/>
  <c r="K40" i="35"/>
  <c r="X39" i="35"/>
  <c r="W39" i="35"/>
  <c r="V39" i="35"/>
  <c r="U39" i="35"/>
  <c r="T39" i="35"/>
  <c r="S39" i="35"/>
  <c r="Q39" i="35"/>
  <c r="O39" i="35"/>
  <c r="M39" i="35"/>
  <c r="K39" i="35"/>
  <c r="X38" i="35"/>
  <c r="W38" i="35"/>
  <c r="V38" i="35"/>
  <c r="U38" i="35"/>
  <c r="T38" i="35"/>
  <c r="S38" i="35"/>
  <c r="Q38" i="35"/>
  <c r="O38" i="35"/>
  <c r="M38" i="35"/>
  <c r="K38" i="35"/>
  <c r="X37" i="35"/>
  <c r="W37" i="35"/>
  <c r="V37" i="35"/>
  <c r="U37" i="35"/>
  <c r="T37" i="35"/>
  <c r="S37" i="35"/>
  <c r="Q37" i="35"/>
  <c r="O37" i="35"/>
  <c r="M37" i="35"/>
  <c r="K37" i="35"/>
  <c r="X36" i="35"/>
  <c r="W36" i="35"/>
  <c r="V36" i="35"/>
  <c r="U36" i="35"/>
  <c r="T36" i="35"/>
  <c r="S36" i="35"/>
  <c r="Q36" i="35"/>
  <c r="O36" i="35"/>
  <c r="M36" i="35"/>
  <c r="K36" i="35"/>
  <c r="X35" i="35"/>
  <c r="W35" i="35"/>
  <c r="V35" i="35"/>
  <c r="U35" i="35"/>
  <c r="T35" i="35"/>
  <c r="S35" i="35"/>
  <c r="Q35" i="35"/>
  <c r="O35" i="35"/>
  <c r="M35" i="35"/>
  <c r="K35" i="35"/>
  <c r="X34" i="35"/>
  <c r="W34" i="35"/>
  <c r="V34" i="35"/>
  <c r="U34" i="35"/>
  <c r="T34" i="35"/>
  <c r="S34" i="35"/>
  <c r="Q34" i="35"/>
  <c r="O34" i="35"/>
  <c r="M34" i="35"/>
  <c r="K34" i="35"/>
  <c r="X33" i="35"/>
  <c r="W33" i="35"/>
  <c r="V33" i="35"/>
  <c r="U33" i="35"/>
  <c r="T33" i="35"/>
  <c r="S33" i="35"/>
  <c r="Q33" i="35"/>
  <c r="O33" i="35"/>
  <c r="M33" i="35"/>
  <c r="K33" i="35"/>
  <c r="X32" i="35"/>
  <c r="W32" i="35"/>
  <c r="V32" i="35"/>
  <c r="U32" i="35"/>
  <c r="T32" i="35"/>
  <c r="S32" i="35"/>
  <c r="Q32" i="35"/>
  <c r="O32" i="35"/>
  <c r="M32" i="35"/>
  <c r="K32" i="35"/>
  <c r="X31" i="35"/>
  <c r="W31" i="35"/>
  <c r="V31" i="35"/>
  <c r="U31" i="35"/>
  <c r="T31" i="35"/>
  <c r="S31" i="35"/>
  <c r="Q31" i="35"/>
  <c r="O31" i="35"/>
  <c r="M31" i="35"/>
  <c r="K31" i="35"/>
  <c r="X30" i="35"/>
  <c r="W30" i="35"/>
  <c r="V30" i="35"/>
  <c r="U30" i="35"/>
  <c r="T30" i="35"/>
  <c r="S30" i="35"/>
  <c r="Q30" i="35"/>
  <c r="O30" i="35"/>
  <c r="M30" i="35"/>
  <c r="K30" i="35"/>
  <c r="X29" i="35"/>
  <c r="W29" i="35"/>
  <c r="V29" i="35"/>
  <c r="U29" i="35"/>
  <c r="T29" i="35"/>
  <c r="S29" i="35"/>
  <c r="Q29" i="35"/>
  <c r="O29" i="35"/>
  <c r="M29" i="35"/>
  <c r="K29" i="35"/>
  <c r="X28" i="35"/>
  <c r="W28" i="35"/>
  <c r="V28" i="35"/>
  <c r="U28" i="35"/>
  <c r="T28" i="35"/>
  <c r="S28" i="35"/>
  <c r="Q28" i="35"/>
  <c r="O28" i="35"/>
  <c r="M28" i="35"/>
  <c r="K28" i="35"/>
  <c r="X27" i="35"/>
  <c r="W27" i="35"/>
  <c r="V27" i="35"/>
  <c r="U27" i="35"/>
  <c r="T27" i="35"/>
  <c r="S27" i="35"/>
  <c r="Q27" i="35"/>
  <c r="O27" i="35"/>
  <c r="M27" i="35"/>
  <c r="K27" i="35"/>
  <c r="X26" i="35"/>
  <c r="W26" i="35"/>
  <c r="V26" i="35"/>
  <c r="U26" i="35"/>
  <c r="T26" i="35"/>
  <c r="S26" i="35"/>
  <c r="Q26" i="35"/>
  <c r="O26" i="35"/>
  <c r="M26" i="35"/>
  <c r="K26" i="35"/>
  <c r="X25" i="35"/>
  <c r="W25" i="35"/>
  <c r="V25" i="35"/>
  <c r="U25" i="35"/>
  <c r="T25" i="35"/>
  <c r="S25" i="35"/>
  <c r="Q25" i="35"/>
  <c r="O25" i="35"/>
  <c r="M25" i="35"/>
  <c r="K25" i="35"/>
  <c r="X24" i="35"/>
  <c r="W24" i="35"/>
  <c r="V24" i="35"/>
  <c r="U24" i="35"/>
  <c r="T24" i="35"/>
  <c r="S24" i="35"/>
  <c r="Q24" i="35"/>
  <c r="O24" i="35"/>
  <c r="M24" i="35"/>
  <c r="K24" i="35"/>
  <c r="X23" i="35"/>
  <c r="W23" i="35"/>
  <c r="V23" i="35"/>
  <c r="U23" i="35"/>
  <c r="T23" i="35"/>
  <c r="S23" i="35"/>
  <c r="Q23" i="35"/>
  <c r="O23" i="35"/>
  <c r="M23" i="35"/>
  <c r="K23" i="35"/>
  <c r="X22" i="35"/>
  <c r="W22" i="35"/>
  <c r="V22" i="35"/>
  <c r="U22" i="35"/>
  <c r="T22" i="35"/>
  <c r="S22" i="35"/>
  <c r="Q22" i="35"/>
  <c r="O22" i="35"/>
  <c r="M22" i="35"/>
  <c r="K22" i="35"/>
  <c r="X21" i="35"/>
  <c r="W21" i="35"/>
  <c r="V21" i="35"/>
  <c r="U21" i="35"/>
  <c r="T21" i="35"/>
  <c r="S21" i="35"/>
  <c r="Q21" i="35"/>
  <c r="O21" i="35"/>
  <c r="M21" i="35"/>
  <c r="K21" i="35"/>
  <c r="X20" i="35"/>
  <c r="W20" i="35"/>
  <c r="V20" i="35"/>
  <c r="U20" i="35"/>
  <c r="T20" i="35"/>
  <c r="S20" i="35"/>
  <c r="Q20" i="35"/>
  <c r="O20" i="35"/>
  <c r="M20" i="35"/>
  <c r="K20" i="35"/>
  <c r="X19" i="35"/>
  <c r="W19" i="35"/>
  <c r="V19" i="35"/>
  <c r="U19" i="35"/>
  <c r="T19" i="35"/>
  <c r="S19" i="35"/>
  <c r="Q19" i="35"/>
  <c r="O19" i="35"/>
  <c r="M19" i="35"/>
  <c r="K19" i="35"/>
  <c r="X18" i="35"/>
  <c r="W18" i="35"/>
  <c r="V18" i="35"/>
  <c r="U18" i="35"/>
  <c r="T18" i="35"/>
  <c r="S18" i="35"/>
  <c r="Q18" i="35"/>
  <c r="O18" i="35"/>
  <c r="M18" i="35"/>
  <c r="K18" i="35"/>
  <c r="X17" i="35"/>
  <c r="W17" i="35"/>
  <c r="V17" i="35"/>
  <c r="U17" i="35"/>
  <c r="T17" i="35"/>
  <c r="S17" i="35"/>
  <c r="Q17" i="35"/>
  <c r="O17" i="35"/>
  <c r="M17" i="35"/>
  <c r="K17" i="35"/>
  <c r="X16" i="35"/>
  <c r="W16" i="35"/>
  <c r="V16" i="35"/>
  <c r="U16" i="35"/>
  <c r="T16" i="35"/>
  <c r="S16" i="35"/>
  <c r="Q16" i="35"/>
  <c r="O16" i="35"/>
  <c r="M16" i="35"/>
  <c r="K16" i="35"/>
  <c r="X15" i="35"/>
  <c r="W15" i="35"/>
  <c r="V15" i="35"/>
  <c r="U15" i="35"/>
  <c r="T15" i="35"/>
  <c r="S15" i="35"/>
  <c r="Q15" i="35"/>
  <c r="O15" i="35"/>
  <c r="M15" i="35"/>
  <c r="K15" i="35"/>
  <c r="X14" i="35"/>
  <c r="W14" i="35"/>
  <c r="V14" i="35"/>
  <c r="U14" i="35"/>
  <c r="T14" i="35"/>
  <c r="S14" i="35"/>
  <c r="Q14" i="35"/>
  <c r="O14" i="35"/>
  <c r="M14" i="35"/>
  <c r="K14" i="35"/>
  <c r="X13" i="35"/>
  <c r="W13" i="35"/>
  <c r="V13" i="35"/>
  <c r="U13" i="35"/>
  <c r="T13" i="35"/>
  <c r="S13" i="35"/>
  <c r="Q13" i="35"/>
  <c r="O13" i="35"/>
  <c r="M13" i="35"/>
  <c r="K13" i="35"/>
  <c r="X12" i="35"/>
  <c r="W12" i="35"/>
  <c r="V12" i="35"/>
  <c r="U12" i="35"/>
  <c r="T12" i="35"/>
  <c r="S12" i="35"/>
  <c r="Q12" i="35"/>
  <c r="O12" i="35"/>
  <c r="M12" i="35"/>
  <c r="K12" i="35"/>
  <c r="X11" i="35"/>
  <c r="W11" i="35"/>
  <c r="V11" i="35"/>
  <c r="U11" i="35"/>
  <c r="T11" i="35"/>
  <c r="S11" i="35"/>
  <c r="Q11" i="35"/>
  <c r="O11" i="35"/>
  <c r="M11" i="35"/>
  <c r="K11" i="35"/>
  <c r="X10" i="35"/>
  <c r="W10" i="35"/>
  <c r="V10" i="35"/>
  <c r="U10" i="35"/>
  <c r="T10" i="35"/>
  <c r="S10" i="35"/>
  <c r="Q10" i="35"/>
  <c r="O10" i="35"/>
  <c r="M10" i="35"/>
  <c r="K10" i="35"/>
  <c r="X9" i="35"/>
  <c r="W9" i="35"/>
  <c r="V9" i="35"/>
  <c r="U9" i="35"/>
  <c r="T9" i="35"/>
  <c r="S9" i="35"/>
  <c r="Q9" i="35"/>
  <c r="O9" i="35"/>
  <c r="M9" i="35"/>
  <c r="K9" i="35"/>
  <c r="X8" i="35"/>
  <c r="W8" i="35"/>
  <c r="V8" i="35"/>
  <c r="U8" i="35"/>
  <c r="T8" i="35"/>
  <c r="S8" i="35"/>
  <c r="Q8" i="35"/>
  <c r="O8" i="35"/>
  <c r="M8" i="35"/>
  <c r="K8" i="35"/>
  <c r="X7" i="35"/>
  <c r="W7" i="35"/>
  <c r="V7" i="35"/>
  <c r="U7" i="35"/>
  <c r="T7" i="35"/>
  <c r="S7" i="35"/>
  <c r="Q7" i="35"/>
  <c r="O7" i="35"/>
  <c r="M7" i="35"/>
  <c r="K7" i="35"/>
  <c r="K7" i="34"/>
  <c r="M7" i="34"/>
  <c r="O7" i="34"/>
  <c r="Q7" i="34"/>
  <c r="S7" i="34"/>
  <c r="T7" i="34"/>
  <c r="U7" i="34"/>
  <c r="V7" i="34"/>
  <c r="W7" i="34"/>
  <c r="X7" i="34"/>
  <c r="K8" i="34"/>
  <c r="M8" i="34"/>
  <c r="O8" i="34"/>
  <c r="Q8" i="34"/>
  <c r="S8" i="34"/>
  <c r="T8" i="34"/>
  <c r="U8" i="34"/>
  <c r="V8" i="34"/>
  <c r="W8" i="34"/>
  <c r="X8" i="34"/>
  <c r="K9" i="34"/>
  <c r="M9" i="34"/>
  <c r="O9" i="34"/>
  <c r="Q9" i="34"/>
  <c r="S9" i="34"/>
  <c r="T9" i="34"/>
  <c r="U9" i="34"/>
  <c r="V9" i="34"/>
  <c r="W9" i="34"/>
  <c r="X9" i="34"/>
  <c r="K10" i="34"/>
  <c r="M10" i="34"/>
  <c r="O10" i="34"/>
  <c r="Q10" i="34"/>
  <c r="S10" i="34"/>
  <c r="T10" i="34"/>
  <c r="U10" i="34"/>
  <c r="V10" i="34"/>
  <c r="W10" i="34"/>
  <c r="X10" i="34"/>
  <c r="K11" i="34"/>
  <c r="M11" i="34"/>
  <c r="O11" i="34"/>
  <c r="Q11" i="34"/>
  <c r="S11" i="34"/>
  <c r="T11" i="34"/>
  <c r="U11" i="34"/>
  <c r="V11" i="34"/>
  <c r="W11" i="34"/>
  <c r="X11" i="34"/>
  <c r="K12" i="34"/>
  <c r="M12" i="34"/>
  <c r="O12" i="34"/>
  <c r="Q12" i="34"/>
  <c r="S12" i="34"/>
  <c r="T12" i="34"/>
  <c r="U12" i="34"/>
  <c r="V12" i="34"/>
  <c r="W12" i="34"/>
  <c r="X12" i="34"/>
  <c r="K13" i="34"/>
  <c r="M13" i="34"/>
  <c r="O13" i="34"/>
  <c r="Q13" i="34"/>
  <c r="S13" i="34"/>
  <c r="T13" i="34"/>
  <c r="U13" i="34"/>
  <c r="V13" i="34"/>
  <c r="W13" i="34"/>
  <c r="X13" i="34"/>
  <c r="K14" i="34"/>
  <c r="M14" i="34"/>
  <c r="O14" i="34"/>
  <c r="Q14" i="34"/>
  <c r="S14" i="34"/>
  <c r="T14" i="34"/>
  <c r="U14" i="34"/>
  <c r="V14" i="34"/>
  <c r="W14" i="34"/>
  <c r="X14" i="34"/>
  <c r="K15" i="34"/>
  <c r="M15" i="34"/>
  <c r="O15" i="34"/>
  <c r="Q15" i="34"/>
  <c r="S15" i="34"/>
  <c r="T15" i="34"/>
  <c r="U15" i="34"/>
  <c r="V15" i="34"/>
  <c r="W15" i="34"/>
  <c r="X15" i="34"/>
  <c r="K16" i="34"/>
  <c r="M16" i="34"/>
  <c r="O16" i="34"/>
  <c r="Q16" i="34"/>
  <c r="S16" i="34"/>
  <c r="T16" i="34"/>
  <c r="U16" i="34"/>
  <c r="V16" i="34"/>
  <c r="W16" i="34"/>
  <c r="X16" i="34"/>
  <c r="K17" i="34"/>
  <c r="M17" i="34"/>
  <c r="O17" i="34"/>
  <c r="Q17" i="34"/>
  <c r="S17" i="34"/>
  <c r="T17" i="34"/>
  <c r="U17" i="34"/>
  <c r="V17" i="34"/>
  <c r="W17" i="34"/>
  <c r="X17" i="34"/>
  <c r="K18" i="34"/>
  <c r="M18" i="34"/>
  <c r="O18" i="34"/>
  <c r="Q18" i="34"/>
  <c r="S18" i="34"/>
  <c r="T18" i="34"/>
  <c r="U18" i="34"/>
  <c r="V18" i="34"/>
  <c r="W18" i="34"/>
  <c r="X18" i="34"/>
  <c r="K19" i="34"/>
  <c r="M19" i="34"/>
  <c r="O19" i="34"/>
  <c r="Q19" i="34"/>
  <c r="S19" i="34"/>
  <c r="T19" i="34"/>
  <c r="U19" i="34"/>
  <c r="V19" i="34"/>
  <c r="W19" i="34"/>
  <c r="X19" i="34"/>
  <c r="K20" i="34"/>
  <c r="M20" i="34"/>
  <c r="O20" i="34"/>
  <c r="Q20" i="34"/>
  <c r="S20" i="34"/>
  <c r="T20" i="34"/>
  <c r="U20" i="34"/>
  <c r="V20" i="34"/>
  <c r="W20" i="34"/>
  <c r="X20" i="34"/>
  <c r="K21" i="34"/>
  <c r="M21" i="34"/>
  <c r="O21" i="34"/>
  <c r="Q21" i="34"/>
  <c r="S21" i="34"/>
  <c r="T21" i="34"/>
  <c r="U21" i="34"/>
  <c r="V21" i="34"/>
  <c r="W21" i="34"/>
  <c r="X21" i="34"/>
  <c r="K22" i="34"/>
  <c r="M22" i="34"/>
  <c r="O22" i="34"/>
  <c r="Q22" i="34"/>
  <c r="S22" i="34"/>
  <c r="T22" i="34"/>
  <c r="U22" i="34"/>
  <c r="V22" i="34"/>
  <c r="W22" i="34"/>
  <c r="X22" i="34"/>
  <c r="K23" i="34"/>
  <c r="M23" i="34"/>
  <c r="O23" i="34"/>
  <c r="Q23" i="34"/>
  <c r="S23" i="34"/>
  <c r="T23" i="34"/>
  <c r="U23" i="34"/>
  <c r="V23" i="34"/>
  <c r="W23" i="34"/>
  <c r="X23" i="34"/>
  <c r="K24" i="34"/>
  <c r="M24" i="34"/>
  <c r="O24" i="34"/>
  <c r="Q24" i="34"/>
  <c r="S24" i="34"/>
  <c r="T24" i="34"/>
  <c r="U24" i="34"/>
  <c r="V24" i="34"/>
  <c r="W24" i="34"/>
  <c r="X24" i="34"/>
  <c r="K25" i="34"/>
  <c r="M25" i="34"/>
  <c r="O25" i="34"/>
  <c r="Q25" i="34"/>
  <c r="S25" i="34"/>
  <c r="T25" i="34"/>
  <c r="U25" i="34"/>
  <c r="V25" i="34"/>
  <c r="W25" i="34"/>
  <c r="X25" i="34"/>
  <c r="K26" i="34"/>
  <c r="M26" i="34"/>
  <c r="O26" i="34"/>
  <c r="Q26" i="34"/>
  <c r="S26" i="34"/>
  <c r="T26" i="34"/>
  <c r="U26" i="34"/>
  <c r="V26" i="34"/>
  <c r="W26" i="34"/>
  <c r="X26" i="34"/>
  <c r="K27" i="34"/>
  <c r="M27" i="34"/>
  <c r="O27" i="34"/>
  <c r="Q27" i="34"/>
  <c r="S27" i="34"/>
  <c r="T27" i="34"/>
  <c r="U27" i="34"/>
  <c r="V27" i="34"/>
  <c r="W27" i="34"/>
  <c r="X27" i="34"/>
  <c r="K28" i="34"/>
  <c r="M28" i="34"/>
  <c r="O28" i="34"/>
  <c r="Q28" i="34"/>
  <c r="S28" i="34"/>
  <c r="T28" i="34"/>
  <c r="U28" i="34"/>
  <c r="V28" i="34"/>
  <c r="W28" i="34"/>
  <c r="X28" i="34"/>
  <c r="K29" i="34"/>
  <c r="M29" i="34"/>
  <c r="O29" i="34"/>
  <c r="Q29" i="34"/>
  <c r="S29" i="34"/>
  <c r="T29" i="34"/>
  <c r="U29" i="34"/>
  <c r="V29" i="34"/>
  <c r="W29" i="34"/>
  <c r="X29" i="34"/>
  <c r="K30" i="34"/>
  <c r="M30" i="34"/>
  <c r="O30" i="34"/>
  <c r="Q30" i="34"/>
  <c r="S30" i="34"/>
  <c r="T30" i="34"/>
  <c r="U30" i="34"/>
  <c r="V30" i="34"/>
  <c r="W30" i="34"/>
  <c r="X30" i="34"/>
  <c r="K31" i="34"/>
  <c r="M31" i="34"/>
  <c r="O31" i="34"/>
  <c r="Q31" i="34"/>
  <c r="S31" i="34"/>
  <c r="T31" i="34"/>
  <c r="U31" i="34"/>
  <c r="V31" i="34"/>
  <c r="W31" i="34"/>
  <c r="X31" i="34"/>
  <c r="K32" i="34"/>
  <c r="M32" i="34"/>
  <c r="O32" i="34"/>
  <c r="Q32" i="34"/>
  <c r="S32" i="34"/>
  <c r="T32" i="34"/>
  <c r="U32" i="34"/>
  <c r="V32" i="34"/>
  <c r="W32" i="34"/>
  <c r="X32" i="34"/>
  <c r="K33" i="34"/>
  <c r="M33" i="34"/>
  <c r="O33" i="34"/>
  <c r="Q33" i="34"/>
  <c r="S33" i="34"/>
  <c r="T33" i="34"/>
  <c r="U33" i="34"/>
  <c r="V33" i="34"/>
  <c r="W33" i="34"/>
  <c r="X33" i="34"/>
  <c r="K34" i="34"/>
  <c r="M34" i="34"/>
  <c r="O34" i="34"/>
  <c r="Q34" i="34"/>
  <c r="S34" i="34"/>
  <c r="T34" i="34"/>
  <c r="U34" i="34"/>
  <c r="V34" i="34"/>
  <c r="W34" i="34"/>
  <c r="X34" i="34"/>
  <c r="K35" i="34"/>
  <c r="M35" i="34"/>
  <c r="O35" i="34"/>
  <c r="Q35" i="34"/>
  <c r="S35" i="34"/>
  <c r="T35" i="34"/>
  <c r="U35" i="34"/>
  <c r="V35" i="34"/>
  <c r="W35" i="34"/>
  <c r="X35" i="34"/>
  <c r="K36" i="34"/>
  <c r="M36" i="34"/>
  <c r="O36" i="34"/>
  <c r="Q36" i="34"/>
  <c r="S36" i="34"/>
  <c r="T36" i="34"/>
  <c r="U36" i="34"/>
  <c r="V36" i="34"/>
  <c r="W36" i="34"/>
  <c r="X36" i="34"/>
  <c r="K37" i="34"/>
  <c r="M37" i="34"/>
  <c r="O37" i="34"/>
  <c r="Q37" i="34"/>
  <c r="S37" i="34"/>
  <c r="T37" i="34"/>
  <c r="U37" i="34"/>
  <c r="V37" i="34"/>
  <c r="W37" i="34"/>
  <c r="X37" i="34"/>
  <c r="K38" i="34"/>
  <c r="M38" i="34"/>
  <c r="O38" i="34"/>
  <c r="Q38" i="34"/>
  <c r="S38" i="34"/>
  <c r="T38" i="34"/>
  <c r="U38" i="34"/>
  <c r="V38" i="34"/>
  <c r="W38" i="34"/>
  <c r="X38" i="34"/>
  <c r="K39" i="34"/>
  <c r="M39" i="34"/>
  <c r="O39" i="34"/>
  <c r="Q39" i="34"/>
  <c r="S39" i="34"/>
  <c r="T39" i="34"/>
  <c r="U39" i="34"/>
  <c r="V39" i="34"/>
  <c r="W39" i="34"/>
  <c r="X39" i="34"/>
  <c r="K40" i="34"/>
  <c r="M40" i="34"/>
  <c r="O40" i="34"/>
  <c r="Q40" i="34"/>
  <c r="S40" i="34"/>
  <c r="T40" i="34"/>
  <c r="U40" i="34"/>
  <c r="V40" i="34"/>
  <c r="W40" i="34"/>
  <c r="X40" i="34"/>
  <c r="K41" i="34"/>
  <c r="M41" i="34"/>
  <c r="O41" i="34"/>
  <c r="Q41" i="34"/>
  <c r="S41" i="34"/>
  <c r="T41" i="34"/>
  <c r="U41" i="34"/>
  <c r="V41" i="34"/>
  <c r="W41" i="34"/>
  <c r="X41" i="34"/>
  <c r="K42" i="34"/>
  <c r="M42" i="34"/>
  <c r="O42" i="34"/>
  <c r="Q42" i="34"/>
  <c r="S42" i="34"/>
  <c r="T42" i="34"/>
  <c r="U42" i="34"/>
  <c r="V42" i="34"/>
  <c r="W42" i="34"/>
  <c r="X42" i="34"/>
  <c r="K43" i="34"/>
  <c r="M43" i="34"/>
  <c r="O43" i="34"/>
  <c r="Q43" i="34"/>
  <c r="S43" i="34"/>
  <c r="T43" i="34"/>
  <c r="U43" i="34"/>
  <c r="V43" i="34"/>
  <c r="W43" i="34"/>
  <c r="X43" i="34"/>
  <c r="K44" i="34"/>
  <c r="M44" i="34"/>
  <c r="O44" i="34"/>
  <c r="Q44" i="34"/>
  <c r="S44" i="34"/>
  <c r="T44" i="34"/>
  <c r="U44" i="34"/>
  <c r="V44" i="34"/>
  <c r="W44" i="34"/>
  <c r="X44" i="34"/>
  <c r="K45" i="34"/>
  <c r="M45" i="34"/>
  <c r="O45" i="34"/>
  <c r="Q45" i="34"/>
  <c r="S45" i="34"/>
  <c r="T45" i="34"/>
  <c r="U45" i="34"/>
  <c r="V45" i="34"/>
  <c r="W45" i="34"/>
  <c r="X45" i="34"/>
  <c r="K46" i="34"/>
  <c r="M46" i="34"/>
  <c r="O46" i="34"/>
  <c r="Q46" i="34"/>
  <c r="S46" i="34"/>
  <c r="T46" i="34"/>
  <c r="U46" i="34"/>
  <c r="V46" i="34"/>
  <c r="W46" i="34"/>
  <c r="X46" i="34"/>
  <c r="K47" i="34"/>
  <c r="M47" i="34"/>
  <c r="O47" i="34"/>
  <c r="Q47" i="34"/>
  <c r="S47" i="34"/>
  <c r="T47" i="34"/>
  <c r="U47" i="34"/>
  <c r="V47" i="34"/>
  <c r="W47" i="34"/>
  <c r="X47" i="34"/>
  <c r="K48" i="34"/>
  <c r="M48" i="34"/>
  <c r="O48" i="34"/>
  <c r="Q48" i="34"/>
  <c r="S48" i="34"/>
  <c r="T48" i="34"/>
  <c r="U48" i="34"/>
  <c r="V48" i="34"/>
  <c r="W48" i="34"/>
  <c r="X48" i="34"/>
  <c r="K49" i="34"/>
  <c r="M49" i="34"/>
  <c r="O49" i="34"/>
  <c r="Q49" i="34"/>
  <c r="S49" i="34"/>
  <c r="T49" i="34"/>
  <c r="U49" i="34"/>
  <c r="V49" i="34"/>
  <c r="W49" i="34"/>
  <c r="X49" i="34"/>
  <c r="K50" i="34"/>
  <c r="M50" i="34"/>
  <c r="O50" i="34"/>
  <c r="Q50" i="34"/>
  <c r="S50" i="34"/>
  <c r="T50" i="34"/>
  <c r="U50" i="34"/>
  <c r="V50" i="34"/>
  <c r="W50" i="34"/>
  <c r="X50" i="34"/>
  <c r="K51" i="34"/>
  <c r="M51" i="34"/>
  <c r="O51" i="34"/>
  <c r="Q51" i="34"/>
  <c r="S51" i="34"/>
  <c r="T51" i="34"/>
  <c r="U51" i="34"/>
  <c r="V51" i="34"/>
  <c r="W51" i="34"/>
  <c r="X51" i="34"/>
  <c r="K52" i="34"/>
  <c r="M52" i="34"/>
  <c r="O52" i="34"/>
  <c r="Q52" i="34"/>
  <c r="S52" i="34"/>
  <c r="T52" i="34"/>
  <c r="U52" i="34"/>
  <c r="V52" i="34"/>
  <c r="W52" i="34"/>
  <c r="X52" i="34"/>
  <c r="K53" i="34"/>
  <c r="M53" i="34"/>
  <c r="O53" i="34"/>
  <c r="Q53" i="34"/>
  <c r="S53" i="34"/>
  <c r="T53" i="34"/>
  <c r="U53" i="34"/>
  <c r="V53" i="34"/>
  <c r="W53" i="34"/>
  <c r="X53" i="34"/>
  <c r="K54" i="34"/>
  <c r="M54" i="34"/>
  <c r="O54" i="34"/>
  <c r="Q54" i="34"/>
  <c r="S54" i="34"/>
  <c r="T54" i="34"/>
  <c r="U54" i="34"/>
  <c r="V54" i="34"/>
  <c r="W54" i="34"/>
  <c r="X54" i="34"/>
  <c r="K55" i="34"/>
  <c r="M55" i="34"/>
  <c r="O55" i="34"/>
  <c r="Q55" i="34"/>
  <c r="S55" i="34"/>
  <c r="T55" i="34"/>
  <c r="U55" i="34"/>
  <c r="V55" i="34"/>
  <c r="W55" i="34"/>
  <c r="X55" i="34"/>
  <c r="K56" i="34"/>
  <c r="M56" i="34"/>
  <c r="O56" i="34"/>
  <c r="Q56" i="34"/>
  <c r="S56" i="34"/>
  <c r="T56" i="34"/>
  <c r="U56" i="34"/>
  <c r="V56" i="34"/>
  <c r="W56" i="34"/>
  <c r="X56" i="34"/>
  <c r="K57" i="34"/>
  <c r="M57" i="34"/>
  <c r="O57" i="34"/>
  <c r="Q57" i="34"/>
  <c r="S57" i="34"/>
  <c r="T57" i="34"/>
  <c r="U57" i="34"/>
  <c r="V57" i="34"/>
  <c r="W57" i="34"/>
  <c r="X57" i="34"/>
  <c r="K58" i="34"/>
  <c r="M58" i="34"/>
  <c r="O58" i="34"/>
  <c r="Q58" i="34"/>
  <c r="S58" i="34"/>
  <c r="T58" i="34"/>
  <c r="U58" i="34"/>
  <c r="V58" i="34"/>
  <c r="W58" i="34"/>
  <c r="X58" i="34"/>
  <c r="K59" i="34"/>
  <c r="M59" i="34"/>
  <c r="O59" i="34"/>
  <c r="Q59" i="34"/>
  <c r="S59" i="34"/>
  <c r="T59" i="34"/>
  <c r="U59" i="34"/>
  <c r="V59" i="34"/>
  <c r="W59" i="34"/>
  <c r="X59" i="34"/>
  <c r="K60" i="34"/>
  <c r="M60" i="34"/>
  <c r="O60" i="34"/>
  <c r="Q60" i="34"/>
  <c r="S60" i="34"/>
  <c r="T60" i="34"/>
  <c r="U60" i="34"/>
  <c r="V60" i="34"/>
  <c r="W60" i="34"/>
  <c r="X60" i="34"/>
  <c r="K61" i="34"/>
  <c r="M61" i="34"/>
  <c r="O61" i="34"/>
  <c r="Q61" i="34"/>
  <c r="S61" i="34"/>
  <c r="T61" i="34"/>
  <c r="U61" i="34"/>
  <c r="V61" i="34"/>
  <c r="W61" i="34"/>
  <c r="X61" i="34"/>
  <c r="K62" i="34"/>
  <c r="M62" i="34"/>
  <c r="O62" i="34"/>
  <c r="Q62" i="34"/>
  <c r="S62" i="34"/>
  <c r="T62" i="34"/>
  <c r="U62" i="34"/>
  <c r="V62" i="34"/>
  <c r="W62" i="34"/>
  <c r="X62" i="34"/>
  <c r="K63" i="34"/>
  <c r="M63" i="34"/>
  <c r="O63" i="34"/>
  <c r="Q63" i="34"/>
  <c r="S63" i="34"/>
  <c r="T63" i="34"/>
  <c r="U63" i="34"/>
  <c r="V63" i="34"/>
  <c r="W63" i="34"/>
  <c r="X63" i="34"/>
  <c r="K64" i="34"/>
  <c r="M64" i="34"/>
  <c r="O64" i="34"/>
  <c r="Q64" i="34"/>
  <c r="S64" i="34"/>
  <c r="T64" i="34"/>
  <c r="U64" i="34"/>
  <c r="V64" i="34"/>
  <c r="W64" i="34"/>
  <c r="X64" i="34"/>
  <c r="K65" i="34"/>
  <c r="M65" i="34"/>
  <c r="O65" i="34"/>
  <c r="Q65" i="34"/>
  <c r="S65" i="34"/>
  <c r="T65" i="34"/>
  <c r="U65" i="34"/>
  <c r="V65" i="34"/>
  <c r="W65" i="34"/>
  <c r="X65" i="34"/>
  <c r="K66" i="34"/>
  <c r="M66" i="34"/>
  <c r="O66" i="34"/>
  <c r="Q66" i="34"/>
  <c r="S66" i="34"/>
  <c r="T66" i="34"/>
  <c r="U66" i="34"/>
  <c r="V66" i="34"/>
  <c r="W66" i="34"/>
  <c r="X66" i="34"/>
  <c r="K67" i="34"/>
  <c r="M67" i="34"/>
  <c r="O67" i="34"/>
  <c r="Q67" i="34"/>
  <c r="S67" i="34"/>
  <c r="T67" i="34"/>
  <c r="U67" i="34"/>
  <c r="V67" i="34"/>
  <c r="W67" i="34"/>
  <c r="X67" i="34"/>
  <c r="K68" i="34"/>
  <c r="M68" i="34"/>
  <c r="O68" i="34"/>
  <c r="Q68" i="34"/>
  <c r="S68" i="34"/>
  <c r="T68" i="34"/>
  <c r="U68" i="34"/>
  <c r="V68" i="34"/>
  <c r="W68" i="34"/>
  <c r="X68" i="34"/>
  <c r="K69" i="34"/>
  <c r="M69" i="34"/>
  <c r="O69" i="34"/>
  <c r="Q69" i="34"/>
  <c r="S69" i="34"/>
  <c r="T69" i="34"/>
  <c r="U69" i="34"/>
  <c r="V69" i="34"/>
  <c r="W69" i="34"/>
  <c r="X69" i="34"/>
  <c r="K70" i="34"/>
  <c r="M70" i="34"/>
  <c r="O70" i="34"/>
  <c r="Q70" i="34"/>
  <c r="S70" i="34"/>
  <c r="T70" i="34"/>
  <c r="U70" i="34"/>
  <c r="V70" i="34"/>
  <c r="W70" i="34"/>
  <c r="X70" i="34"/>
  <c r="K71" i="34"/>
  <c r="M71" i="34"/>
  <c r="O71" i="34"/>
  <c r="Q71" i="34"/>
  <c r="S71" i="34"/>
  <c r="T71" i="34"/>
  <c r="U71" i="34"/>
  <c r="V71" i="34"/>
  <c r="W71" i="34"/>
  <c r="X71" i="34"/>
  <c r="K72" i="34"/>
  <c r="M72" i="34"/>
  <c r="O72" i="34"/>
  <c r="Q72" i="34"/>
  <c r="S72" i="34"/>
  <c r="T72" i="34"/>
  <c r="U72" i="34"/>
  <c r="V72" i="34"/>
  <c r="W72" i="34"/>
  <c r="X72" i="34"/>
  <c r="K73" i="34"/>
  <c r="M73" i="34"/>
  <c r="O73" i="34"/>
  <c r="Q73" i="34"/>
  <c r="S73" i="34"/>
  <c r="T73" i="34"/>
  <c r="U73" i="34"/>
  <c r="V73" i="34"/>
  <c r="W73" i="34"/>
  <c r="X73" i="34"/>
  <c r="K74" i="34"/>
  <c r="M74" i="34"/>
  <c r="O74" i="34"/>
  <c r="Q74" i="34"/>
  <c r="S74" i="34"/>
  <c r="T74" i="34"/>
  <c r="U74" i="34"/>
  <c r="V74" i="34"/>
  <c r="W74" i="34"/>
  <c r="X74" i="34"/>
  <c r="K75" i="34"/>
  <c r="M75" i="34"/>
  <c r="O75" i="34"/>
  <c r="Q75" i="34"/>
  <c r="S75" i="34"/>
  <c r="T75" i="34"/>
  <c r="U75" i="34"/>
  <c r="V75" i="34"/>
  <c r="W75" i="34"/>
  <c r="X75" i="34"/>
  <c r="K76" i="34"/>
  <c r="M76" i="34"/>
  <c r="O76" i="34"/>
  <c r="Q76" i="34"/>
  <c r="S76" i="34"/>
  <c r="T76" i="34"/>
  <c r="U76" i="34"/>
  <c r="V76" i="34"/>
  <c r="W76" i="34"/>
  <c r="X76" i="34"/>
  <c r="K77" i="34"/>
  <c r="M77" i="34"/>
  <c r="O77" i="34"/>
  <c r="Q77" i="34"/>
  <c r="S77" i="34"/>
  <c r="T77" i="34"/>
  <c r="U77" i="34"/>
  <c r="V77" i="34"/>
  <c r="W77" i="34"/>
  <c r="X77" i="34"/>
  <c r="K78" i="34"/>
  <c r="M78" i="34"/>
  <c r="O78" i="34"/>
  <c r="Q78" i="34"/>
  <c r="S78" i="34"/>
  <c r="T78" i="34"/>
  <c r="U78" i="34"/>
  <c r="V78" i="34"/>
  <c r="W78" i="34"/>
  <c r="X78" i="34"/>
  <c r="K79" i="34"/>
  <c r="M79" i="34"/>
  <c r="O79" i="34"/>
  <c r="Q79" i="34"/>
  <c r="S79" i="34"/>
  <c r="T79" i="34"/>
  <c r="U79" i="34"/>
  <c r="V79" i="34"/>
  <c r="W79" i="34"/>
  <c r="X79" i="34"/>
  <c r="K80" i="34"/>
  <c r="M80" i="34"/>
  <c r="O80" i="34"/>
  <c r="Q80" i="34"/>
  <c r="S80" i="34"/>
  <c r="T80" i="34"/>
  <c r="U80" i="34"/>
  <c r="V80" i="34"/>
  <c r="W80" i="34"/>
  <c r="X80" i="34"/>
  <c r="K81" i="34"/>
  <c r="M81" i="34"/>
  <c r="O81" i="34"/>
  <c r="Q81" i="34"/>
  <c r="S81" i="34"/>
  <c r="T81" i="34"/>
  <c r="U81" i="34"/>
  <c r="V81" i="34"/>
  <c r="W81" i="34"/>
  <c r="X81" i="34"/>
  <c r="K82" i="34"/>
  <c r="M82" i="34"/>
  <c r="O82" i="34"/>
  <c r="Q82" i="34"/>
  <c r="S82" i="34"/>
  <c r="T82" i="34"/>
  <c r="U82" i="34"/>
  <c r="V82" i="34"/>
  <c r="W82" i="34"/>
  <c r="X82" i="34"/>
  <c r="K83" i="34"/>
  <c r="M83" i="34"/>
  <c r="O83" i="34"/>
  <c r="Q83" i="34"/>
  <c r="S83" i="34"/>
  <c r="T83" i="34"/>
  <c r="U83" i="34"/>
  <c r="V83" i="34"/>
  <c r="W83" i="34"/>
  <c r="X83" i="34"/>
  <c r="K84" i="34"/>
  <c r="M84" i="34"/>
  <c r="O84" i="34"/>
  <c r="Q84" i="34"/>
  <c r="S84" i="34"/>
  <c r="T84" i="34"/>
  <c r="U84" i="34"/>
  <c r="V84" i="34"/>
  <c r="W84" i="34"/>
  <c r="X84" i="34"/>
  <c r="K85" i="34"/>
  <c r="M85" i="34"/>
  <c r="O85" i="34"/>
  <c r="Q85" i="34"/>
  <c r="S85" i="34"/>
  <c r="T85" i="34"/>
  <c r="U85" i="34"/>
  <c r="V85" i="34"/>
  <c r="W85" i="34"/>
  <c r="X85" i="34"/>
  <c r="K86" i="34"/>
  <c r="M86" i="34"/>
  <c r="O86" i="34"/>
  <c r="Q86" i="34"/>
  <c r="S86" i="34"/>
  <c r="T86" i="34"/>
  <c r="U86" i="34"/>
  <c r="V86" i="34"/>
  <c r="W86" i="34"/>
  <c r="X86" i="34"/>
  <c r="K87" i="34"/>
  <c r="M87" i="34"/>
  <c r="O87" i="34"/>
  <c r="Q87" i="34"/>
  <c r="S87" i="34"/>
  <c r="T87" i="34"/>
  <c r="U87" i="34"/>
  <c r="V87" i="34"/>
  <c r="W87" i="34"/>
  <c r="X87" i="34"/>
  <c r="K88" i="34"/>
  <c r="M88" i="34"/>
  <c r="O88" i="34"/>
  <c r="Q88" i="34"/>
  <c r="S88" i="34"/>
  <c r="T88" i="34"/>
  <c r="U88" i="34"/>
  <c r="V88" i="34"/>
  <c r="W88" i="34"/>
  <c r="X88" i="34"/>
  <c r="K89" i="34"/>
  <c r="M89" i="34"/>
  <c r="O89" i="34"/>
  <c r="Q89" i="34"/>
  <c r="S89" i="34"/>
  <c r="T89" i="34"/>
  <c r="U89" i="34"/>
  <c r="V89" i="34"/>
  <c r="W89" i="34"/>
  <c r="X89" i="34"/>
  <c r="K90" i="34"/>
  <c r="M90" i="34"/>
  <c r="O90" i="34"/>
  <c r="Q90" i="34"/>
  <c r="S90" i="34"/>
  <c r="T90" i="34"/>
  <c r="U90" i="34"/>
  <c r="V90" i="34"/>
  <c r="W90" i="34"/>
  <c r="X90" i="34"/>
  <c r="K91" i="34"/>
  <c r="M91" i="34"/>
  <c r="O91" i="34"/>
  <c r="Q91" i="34"/>
  <c r="S91" i="34"/>
  <c r="T91" i="34"/>
  <c r="U91" i="34"/>
  <c r="V91" i="34"/>
  <c r="W91" i="34"/>
  <c r="X91" i="34"/>
  <c r="K92" i="34"/>
  <c r="M92" i="34"/>
  <c r="O92" i="34"/>
  <c r="Q92" i="34"/>
  <c r="S92" i="34"/>
  <c r="T92" i="34"/>
  <c r="U92" i="34"/>
  <c r="V92" i="34"/>
  <c r="W92" i="34"/>
  <c r="X92" i="34"/>
  <c r="K93" i="34"/>
  <c r="M93" i="34"/>
  <c r="O93" i="34"/>
  <c r="Q93" i="34"/>
  <c r="S93" i="34"/>
  <c r="T93" i="34"/>
  <c r="U93" i="34"/>
  <c r="V93" i="34"/>
  <c r="W93" i="34"/>
  <c r="X93" i="34"/>
  <c r="K94" i="34"/>
  <c r="M94" i="34"/>
  <c r="O94" i="34"/>
  <c r="Q94" i="34"/>
  <c r="S94" i="34"/>
  <c r="T94" i="34"/>
  <c r="U94" i="34"/>
  <c r="V94" i="34"/>
  <c r="W94" i="34"/>
  <c r="X94" i="34"/>
  <c r="K95" i="34"/>
  <c r="M95" i="34"/>
  <c r="O95" i="34"/>
  <c r="Q95" i="34"/>
  <c r="S95" i="34"/>
  <c r="T95" i="34"/>
  <c r="U95" i="34"/>
  <c r="V95" i="34"/>
  <c r="W95" i="34"/>
  <c r="X95" i="34"/>
  <c r="K96" i="34"/>
  <c r="M96" i="34"/>
  <c r="O96" i="34"/>
  <c r="Q96" i="34"/>
  <c r="S96" i="34"/>
  <c r="T96" i="34"/>
  <c r="U96" i="34"/>
  <c r="V96" i="34"/>
  <c r="W96" i="34"/>
  <c r="X96" i="34"/>
  <c r="K97" i="34"/>
  <c r="M97" i="34"/>
  <c r="O97" i="34"/>
  <c r="Q97" i="34"/>
  <c r="S97" i="34"/>
  <c r="T97" i="34"/>
  <c r="U97" i="34"/>
  <c r="V97" i="34"/>
  <c r="W97" i="34"/>
  <c r="X97" i="34"/>
  <c r="K98" i="34"/>
  <c r="M98" i="34"/>
  <c r="O98" i="34"/>
  <c r="Q98" i="34"/>
  <c r="S98" i="34"/>
  <c r="T98" i="34"/>
  <c r="U98" i="34"/>
  <c r="V98" i="34"/>
  <c r="W98" i="34"/>
  <c r="X98" i="34"/>
  <c r="K99" i="34"/>
  <c r="M99" i="34"/>
  <c r="O99" i="34"/>
  <c r="Q99" i="34"/>
  <c r="S99" i="34"/>
  <c r="T99" i="34"/>
  <c r="U99" i="34"/>
  <c r="V99" i="34"/>
  <c r="W99" i="34"/>
  <c r="X99" i="34"/>
  <c r="K100" i="34"/>
  <c r="M100" i="34"/>
  <c r="O100" i="34"/>
  <c r="Q100" i="34"/>
  <c r="S100" i="34"/>
  <c r="T100" i="34"/>
  <c r="U100" i="34"/>
  <c r="V100" i="34"/>
  <c r="W100" i="34"/>
  <c r="X100" i="34"/>
  <c r="K101" i="34"/>
  <c r="M101" i="34"/>
  <c r="O101" i="34"/>
  <c r="Q101" i="34"/>
  <c r="S101" i="34"/>
  <c r="T101" i="34"/>
  <c r="U101" i="34"/>
  <c r="V101" i="34"/>
  <c r="W101" i="34"/>
  <c r="X101" i="34"/>
  <c r="K102" i="34"/>
  <c r="M102" i="34"/>
  <c r="O102" i="34"/>
  <c r="Q102" i="34"/>
  <c r="S102" i="34"/>
  <c r="T102" i="34"/>
  <c r="U102" i="34"/>
  <c r="V102" i="34"/>
  <c r="W102" i="34"/>
  <c r="X102" i="34"/>
  <c r="K103" i="34"/>
  <c r="M103" i="34"/>
  <c r="O103" i="34"/>
  <c r="Q103" i="34"/>
  <c r="S103" i="34"/>
  <c r="T103" i="34"/>
  <c r="U103" i="34"/>
  <c r="V103" i="34"/>
  <c r="W103" i="34"/>
  <c r="X103" i="34"/>
  <c r="K104" i="34"/>
  <c r="M104" i="34"/>
  <c r="O104" i="34"/>
  <c r="Q104" i="34"/>
  <c r="S104" i="34"/>
  <c r="T104" i="34"/>
  <c r="U104" i="34"/>
  <c r="V104" i="34"/>
  <c r="W104" i="34"/>
  <c r="X104" i="34"/>
  <c r="K105" i="34"/>
  <c r="M105" i="34"/>
  <c r="O105" i="34"/>
  <c r="Q105" i="34"/>
  <c r="S105" i="34"/>
  <c r="T105" i="34"/>
  <c r="U105" i="34"/>
  <c r="V105" i="34"/>
  <c r="W105" i="34"/>
  <c r="X105" i="34"/>
  <c r="K106" i="34"/>
  <c r="M106" i="34"/>
  <c r="O106" i="34"/>
  <c r="Q106" i="34"/>
  <c r="S106" i="34"/>
  <c r="T106" i="34"/>
  <c r="U106" i="34"/>
  <c r="V106" i="34"/>
  <c r="W106" i="34"/>
  <c r="X106" i="34"/>
  <c r="K107" i="34"/>
  <c r="M107" i="34"/>
  <c r="O107" i="34"/>
  <c r="Q107" i="34"/>
  <c r="S107" i="34"/>
  <c r="T107" i="34"/>
  <c r="U107" i="34"/>
  <c r="V107" i="34"/>
  <c r="W107" i="34"/>
  <c r="X107" i="34"/>
  <c r="K108" i="34"/>
  <c r="M108" i="34"/>
  <c r="O108" i="34"/>
  <c r="Q108" i="34"/>
  <c r="S108" i="34"/>
  <c r="T108" i="34"/>
  <c r="U108" i="34"/>
  <c r="V108" i="34"/>
  <c r="W108" i="34"/>
  <c r="X108" i="34"/>
  <c r="K109" i="34"/>
  <c r="M109" i="34"/>
  <c r="O109" i="34"/>
  <c r="Q109" i="34"/>
  <c r="S109" i="34"/>
  <c r="T109" i="34"/>
  <c r="U109" i="34"/>
  <c r="V109" i="34"/>
  <c r="W109" i="34"/>
  <c r="X109" i="34"/>
  <c r="K110" i="34"/>
  <c r="M110" i="34"/>
  <c r="O110" i="34"/>
  <c r="Q110" i="34"/>
  <c r="S110" i="34"/>
  <c r="T110" i="34"/>
  <c r="U110" i="34"/>
  <c r="V110" i="34"/>
  <c r="W110" i="34"/>
  <c r="X110" i="34"/>
  <c r="K111" i="34"/>
  <c r="M111" i="34"/>
  <c r="O111" i="34"/>
  <c r="Q111" i="34"/>
  <c r="S111" i="34"/>
  <c r="T111" i="34"/>
  <c r="U111" i="34"/>
  <c r="V111" i="34"/>
  <c r="W111" i="34"/>
  <c r="X111" i="34"/>
  <c r="K112" i="34"/>
  <c r="M112" i="34"/>
  <c r="O112" i="34"/>
  <c r="Q112" i="34"/>
  <c r="S112" i="34"/>
  <c r="T112" i="34"/>
  <c r="U112" i="34"/>
  <c r="V112" i="34"/>
  <c r="W112" i="34"/>
  <c r="X112" i="34"/>
  <c r="K113" i="34"/>
  <c r="M113" i="34"/>
  <c r="O113" i="34"/>
  <c r="Q113" i="34"/>
  <c r="S113" i="34"/>
  <c r="T113" i="34"/>
  <c r="U113" i="34"/>
  <c r="V113" i="34"/>
  <c r="W113" i="34"/>
  <c r="X113" i="34"/>
  <c r="K114" i="34"/>
  <c r="M114" i="34"/>
  <c r="O114" i="34"/>
  <c r="Q114" i="34"/>
  <c r="S114" i="34"/>
  <c r="T114" i="34"/>
  <c r="U114" i="34"/>
  <c r="V114" i="34"/>
  <c r="W114" i="34"/>
  <c r="X114" i="34"/>
  <c r="K115" i="34"/>
  <c r="M115" i="34"/>
  <c r="O115" i="34"/>
  <c r="Q115" i="34"/>
  <c r="S115" i="34"/>
  <c r="T115" i="34"/>
  <c r="U115" i="34"/>
  <c r="V115" i="34"/>
  <c r="W115" i="34"/>
  <c r="X115" i="34"/>
  <c r="K116" i="34"/>
  <c r="M116" i="34"/>
  <c r="O116" i="34"/>
  <c r="Q116" i="34"/>
  <c r="S116" i="34"/>
  <c r="T116" i="34"/>
  <c r="U116" i="34"/>
  <c r="V116" i="34"/>
  <c r="W116" i="34"/>
  <c r="X116" i="34"/>
  <c r="K117" i="34"/>
  <c r="M117" i="34"/>
  <c r="O117" i="34"/>
  <c r="Q117" i="34"/>
  <c r="S117" i="34"/>
  <c r="T117" i="34"/>
  <c r="U117" i="34"/>
  <c r="V117" i="34"/>
  <c r="W117" i="34"/>
  <c r="X117" i="34"/>
  <c r="K118" i="34"/>
  <c r="M118" i="34"/>
  <c r="O118" i="34"/>
  <c r="Q118" i="34"/>
  <c r="S118" i="34"/>
  <c r="T118" i="34"/>
  <c r="U118" i="34"/>
  <c r="V118" i="34"/>
  <c r="W118" i="34"/>
  <c r="X118" i="34"/>
  <c r="K119" i="34"/>
  <c r="M119" i="34"/>
  <c r="O119" i="34"/>
  <c r="Q119" i="34"/>
  <c r="S119" i="34"/>
  <c r="T119" i="34"/>
  <c r="U119" i="34"/>
  <c r="V119" i="34"/>
  <c r="W119" i="34"/>
  <c r="X119" i="34"/>
  <c r="K120" i="34"/>
  <c r="M120" i="34"/>
  <c r="O120" i="34"/>
  <c r="Q120" i="34"/>
  <c r="S120" i="34"/>
  <c r="T120" i="34"/>
  <c r="U120" i="34"/>
  <c r="V120" i="34"/>
  <c r="W120" i="34"/>
  <c r="X120" i="34"/>
  <c r="K121" i="34"/>
  <c r="M121" i="34"/>
  <c r="O121" i="34"/>
  <c r="Q121" i="34"/>
  <c r="S121" i="34"/>
  <c r="T121" i="34"/>
  <c r="U121" i="34"/>
  <c r="V121" i="34"/>
  <c r="W121" i="34"/>
  <c r="X121" i="34"/>
  <c r="K122" i="34"/>
  <c r="M122" i="34"/>
  <c r="O122" i="34"/>
  <c r="Q122" i="34"/>
  <c r="S122" i="34"/>
  <c r="T122" i="34"/>
  <c r="U122" i="34"/>
  <c r="V122" i="34"/>
  <c r="W122" i="34"/>
  <c r="X122" i="34"/>
  <c r="K123" i="34"/>
  <c r="M123" i="34"/>
  <c r="O123" i="34"/>
  <c r="Q123" i="34"/>
  <c r="S123" i="34"/>
  <c r="T123" i="34"/>
  <c r="U123" i="34"/>
  <c r="V123" i="34"/>
  <c r="W123" i="34"/>
  <c r="X123" i="34"/>
  <c r="K124" i="34"/>
  <c r="M124" i="34"/>
  <c r="O124" i="34"/>
  <c r="Q124" i="34"/>
  <c r="S124" i="34"/>
  <c r="T124" i="34"/>
  <c r="U124" i="34"/>
  <c r="V124" i="34"/>
  <c r="W124" i="34"/>
  <c r="X124" i="34"/>
  <c r="K125" i="34"/>
  <c r="M125" i="34"/>
  <c r="O125" i="34"/>
  <c r="Q125" i="34"/>
  <c r="S125" i="34"/>
  <c r="T125" i="34"/>
  <c r="U125" i="34"/>
  <c r="V125" i="34"/>
  <c r="W125" i="34"/>
  <c r="X125" i="34"/>
  <c r="K126" i="34"/>
  <c r="M126" i="34"/>
  <c r="O126" i="34"/>
  <c r="Q126" i="34"/>
  <c r="S126" i="34"/>
  <c r="T126" i="34"/>
  <c r="U126" i="34"/>
  <c r="V126" i="34"/>
  <c r="W126" i="34"/>
  <c r="X126" i="34"/>
  <c r="K127" i="34"/>
  <c r="M127" i="34"/>
  <c r="O127" i="34"/>
  <c r="Q127" i="34"/>
  <c r="S127" i="34"/>
  <c r="T127" i="34"/>
  <c r="U127" i="34"/>
  <c r="V127" i="34"/>
  <c r="W127" i="34"/>
  <c r="X127" i="34"/>
  <c r="K128" i="34"/>
  <c r="M128" i="34"/>
  <c r="O128" i="34"/>
  <c r="Q128" i="34"/>
  <c r="S128" i="34"/>
  <c r="T128" i="34"/>
  <c r="U128" i="34"/>
  <c r="V128" i="34"/>
  <c r="W128" i="34"/>
  <c r="X128" i="34"/>
  <c r="K129" i="34"/>
  <c r="M129" i="34"/>
  <c r="O129" i="34"/>
  <c r="Q129" i="34"/>
  <c r="S129" i="34"/>
  <c r="T129" i="34"/>
  <c r="U129" i="34"/>
  <c r="V129" i="34"/>
  <c r="W129" i="34"/>
  <c r="X129" i="34"/>
  <c r="K130" i="34"/>
  <c r="M130" i="34"/>
  <c r="O130" i="34"/>
  <c r="Q130" i="34"/>
  <c r="S130" i="34"/>
  <c r="T130" i="34"/>
  <c r="U130" i="34"/>
  <c r="V130" i="34"/>
  <c r="W130" i="34"/>
  <c r="X130" i="34"/>
  <c r="K131" i="34"/>
  <c r="M131" i="34"/>
  <c r="O131" i="34"/>
  <c r="Q131" i="34"/>
  <c r="S131" i="34"/>
  <c r="T131" i="34"/>
  <c r="U131" i="34"/>
  <c r="V131" i="34"/>
  <c r="W131" i="34"/>
  <c r="X131" i="34"/>
  <c r="K132" i="34"/>
  <c r="M132" i="34"/>
  <c r="O132" i="34"/>
  <c r="Q132" i="34"/>
  <c r="S132" i="34"/>
  <c r="T132" i="34"/>
  <c r="U132" i="34"/>
  <c r="V132" i="34"/>
  <c r="W132" i="34"/>
  <c r="X132" i="34"/>
  <c r="K133" i="34"/>
  <c r="M133" i="34"/>
  <c r="O133" i="34"/>
  <c r="Q133" i="34"/>
  <c r="S133" i="34"/>
  <c r="T133" i="34"/>
  <c r="U133" i="34"/>
  <c r="V133" i="34"/>
  <c r="W133" i="34"/>
  <c r="X133" i="34"/>
  <c r="K134" i="34"/>
  <c r="M134" i="34"/>
  <c r="O134" i="34"/>
  <c r="Q134" i="34"/>
  <c r="S134" i="34"/>
  <c r="T134" i="34"/>
  <c r="U134" i="34"/>
  <c r="V134" i="34"/>
  <c r="W134" i="34"/>
  <c r="X134" i="34"/>
  <c r="K135" i="34"/>
  <c r="M135" i="34"/>
  <c r="O135" i="34"/>
  <c r="Q135" i="34"/>
  <c r="S135" i="34"/>
  <c r="T135" i="34"/>
  <c r="U135" i="34"/>
  <c r="V135" i="34"/>
  <c r="W135" i="34"/>
  <c r="X135" i="34"/>
  <c r="K136" i="34"/>
  <c r="M136" i="34"/>
  <c r="O136" i="34"/>
  <c r="Q136" i="34"/>
  <c r="S136" i="34"/>
  <c r="T136" i="34"/>
  <c r="U136" i="34"/>
  <c r="V136" i="34"/>
  <c r="W136" i="34"/>
  <c r="X136" i="34"/>
  <c r="K137" i="34"/>
  <c r="M137" i="34"/>
  <c r="O137" i="34"/>
  <c r="Q137" i="34"/>
  <c r="S137" i="34"/>
  <c r="T137" i="34"/>
  <c r="U137" i="34"/>
  <c r="V137" i="34"/>
  <c r="W137" i="34"/>
  <c r="X137" i="34"/>
  <c r="K138" i="34"/>
  <c r="M138" i="34"/>
  <c r="O138" i="34"/>
  <c r="Q138" i="34"/>
  <c r="S138" i="34"/>
  <c r="T138" i="34"/>
  <c r="U138" i="34"/>
  <c r="V138" i="34"/>
  <c r="W138" i="34"/>
  <c r="X138" i="34"/>
  <c r="K139" i="34"/>
  <c r="M139" i="34"/>
  <c r="O139" i="34"/>
  <c r="Q139" i="34"/>
  <c r="S139" i="34"/>
  <c r="T139" i="34"/>
  <c r="U139" i="34"/>
  <c r="V139" i="34"/>
  <c r="W139" i="34"/>
  <c r="X139" i="34"/>
  <c r="K140" i="34"/>
  <c r="M140" i="34"/>
  <c r="O140" i="34"/>
  <c r="Q140" i="34"/>
  <c r="S140" i="34"/>
  <c r="T140" i="34"/>
  <c r="U140" i="34"/>
  <c r="V140" i="34"/>
  <c r="W140" i="34"/>
  <c r="X140" i="34"/>
  <c r="K141" i="34"/>
  <c r="M141" i="34"/>
  <c r="O141" i="34"/>
  <c r="Q141" i="34"/>
  <c r="S141" i="34"/>
  <c r="T141" i="34"/>
  <c r="U141" i="34"/>
  <c r="V141" i="34"/>
  <c r="W141" i="34"/>
  <c r="X141" i="34"/>
  <c r="K142" i="34"/>
  <c r="M142" i="34"/>
  <c r="O142" i="34"/>
  <c r="Q142" i="34"/>
  <c r="S142" i="34"/>
  <c r="T142" i="34"/>
  <c r="U142" i="34"/>
  <c r="V142" i="34"/>
  <c r="W142" i="34"/>
  <c r="X142" i="34"/>
  <c r="K143" i="34"/>
  <c r="M143" i="34"/>
  <c r="O143" i="34"/>
  <c r="Q143" i="34"/>
  <c r="S143" i="34"/>
  <c r="T143" i="34"/>
  <c r="U143" i="34"/>
  <c r="V143" i="34"/>
  <c r="W143" i="34"/>
  <c r="X143" i="34"/>
  <c r="K144" i="34"/>
  <c r="M144" i="34"/>
  <c r="O144" i="34"/>
  <c r="Q144" i="34"/>
  <c r="S144" i="34"/>
  <c r="T144" i="34"/>
  <c r="U144" i="34"/>
  <c r="V144" i="34"/>
  <c r="W144" i="34"/>
  <c r="X144" i="34"/>
  <c r="K145" i="34"/>
  <c r="M145" i="34"/>
  <c r="O145" i="34"/>
  <c r="Q145" i="34"/>
  <c r="S145" i="34"/>
  <c r="T145" i="34"/>
  <c r="U145" i="34"/>
  <c r="V145" i="34"/>
  <c r="W145" i="34"/>
  <c r="X145" i="34"/>
  <c r="K146" i="34"/>
  <c r="M146" i="34"/>
  <c r="O146" i="34"/>
  <c r="Q146" i="34"/>
  <c r="S146" i="34"/>
  <c r="T146" i="34"/>
  <c r="U146" i="34"/>
  <c r="V146" i="34"/>
  <c r="W146" i="34"/>
  <c r="X146" i="34"/>
  <c r="K147" i="34"/>
  <c r="M147" i="34"/>
  <c r="O147" i="34"/>
  <c r="Q147" i="34"/>
  <c r="S147" i="34"/>
  <c r="T147" i="34"/>
  <c r="U147" i="34"/>
  <c r="V147" i="34"/>
  <c r="W147" i="34"/>
  <c r="X147" i="34"/>
  <c r="K148" i="34"/>
  <c r="M148" i="34"/>
  <c r="O148" i="34"/>
  <c r="Q148" i="34"/>
  <c r="S148" i="34"/>
  <c r="T148" i="34"/>
  <c r="U148" i="34"/>
  <c r="V148" i="34"/>
  <c r="W148" i="34"/>
  <c r="X148" i="34"/>
  <c r="K149" i="34"/>
  <c r="M149" i="34"/>
  <c r="O149" i="34"/>
  <c r="Q149" i="34"/>
  <c r="S149" i="34"/>
  <c r="T149" i="34"/>
  <c r="U149" i="34"/>
  <c r="V149" i="34"/>
  <c r="W149" i="34"/>
  <c r="X149" i="34"/>
  <c r="K150" i="34"/>
  <c r="M150" i="34"/>
  <c r="O150" i="34"/>
  <c r="Q150" i="34"/>
  <c r="S150" i="34"/>
  <c r="T150" i="34"/>
  <c r="U150" i="34"/>
  <c r="V150" i="34"/>
  <c r="W150" i="34"/>
  <c r="X150" i="34"/>
  <c r="K151" i="34"/>
  <c r="M151" i="34"/>
  <c r="O151" i="34"/>
  <c r="Q151" i="34"/>
  <c r="S151" i="34"/>
  <c r="T151" i="34"/>
  <c r="U151" i="34"/>
  <c r="V151" i="34"/>
  <c r="W151" i="34"/>
  <c r="X151" i="34"/>
  <c r="K152" i="34"/>
  <c r="M152" i="34"/>
  <c r="O152" i="34"/>
  <c r="Q152" i="34"/>
  <c r="S152" i="34"/>
  <c r="T152" i="34"/>
  <c r="U152" i="34"/>
  <c r="V152" i="34"/>
  <c r="W152" i="34"/>
  <c r="X152" i="34"/>
  <c r="K153" i="34"/>
  <c r="M153" i="34"/>
  <c r="O153" i="34"/>
  <c r="Q153" i="34"/>
  <c r="S153" i="34"/>
  <c r="T153" i="34"/>
  <c r="U153" i="34"/>
  <c r="V153" i="34"/>
  <c r="W153" i="34"/>
  <c r="X153" i="34"/>
  <c r="K154" i="34"/>
  <c r="M154" i="34"/>
  <c r="O154" i="34"/>
  <c r="Q154" i="34"/>
  <c r="S154" i="34"/>
  <c r="T154" i="34"/>
  <c r="U154" i="34"/>
  <c r="V154" i="34"/>
  <c r="W154" i="34"/>
  <c r="X154" i="34"/>
  <c r="K155" i="34"/>
  <c r="M155" i="34"/>
  <c r="O155" i="34"/>
  <c r="Q155" i="34"/>
  <c r="S155" i="34"/>
  <c r="T155" i="34"/>
  <c r="U155" i="34"/>
  <c r="V155" i="34"/>
  <c r="W155" i="34"/>
  <c r="X155" i="34"/>
  <c r="K156" i="34"/>
  <c r="M156" i="34"/>
  <c r="O156" i="34"/>
  <c r="Q156" i="34"/>
  <c r="S156" i="34"/>
  <c r="T156" i="34"/>
  <c r="U156" i="34"/>
  <c r="V156" i="34"/>
  <c r="W156" i="34"/>
  <c r="X156" i="34"/>
  <c r="K157" i="34"/>
  <c r="M157" i="34"/>
  <c r="O157" i="34"/>
  <c r="Q157" i="34"/>
  <c r="S157" i="34"/>
  <c r="T157" i="34"/>
  <c r="U157" i="34"/>
  <c r="V157" i="34"/>
  <c r="W157" i="34"/>
  <c r="X157" i="34"/>
  <c r="K158" i="34"/>
  <c r="M158" i="34"/>
  <c r="O158" i="34"/>
  <c r="Q158" i="34"/>
  <c r="S158" i="34"/>
  <c r="T158" i="34"/>
  <c r="U158" i="34"/>
  <c r="V158" i="34"/>
  <c r="W158" i="34"/>
  <c r="X158" i="34"/>
  <c r="K159" i="34"/>
  <c r="M159" i="34"/>
  <c r="O159" i="34"/>
  <c r="Q159" i="34"/>
  <c r="S159" i="34"/>
  <c r="T159" i="34"/>
  <c r="U159" i="34"/>
  <c r="V159" i="34"/>
  <c r="W159" i="34"/>
  <c r="X159" i="34"/>
  <c r="K160" i="34"/>
  <c r="M160" i="34"/>
  <c r="O160" i="34"/>
  <c r="Q160" i="34"/>
  <c r="S160" i="34"/>
  <c r="T160" i="34"/>
  <c r="U160" i="34"/>
  <c r="V160" i="34"/>
  <c r="W160" i="34"/>
  <c r="X160" i="34"/>
  <c r="K161" i="34"/>
  <c r="M161" i="34"/>
  <c r="O161" i="34"/>
  <c r="Q161" i="34"/>
  <c r="S161" i="34"/>
  <c r="T161" i="34"/>
  <c r="U161" i="34"/>
  <c r="V161" i="34"/>
  <c r="W161" i="34"/>
  <c r="X161" i="34"/>
  <c r="K162" i="34"/>
  <c r="M162" i="34"/>
  <c r="O162" i="34"/>
  <c r="Q162" i="34"/>
  <c r="S162" i="34"/>
  <c r="T162" i="34"/>
  <c r="U162" i="34"/>
  <c r="V162" i="34"/>
  <c r="W162" i="34"/>
  <c r="X162" i="34"/>
  <c r="K163" i="34"/>
  <c r="M163" i="34"/>
  <c r="O163" i="34"/>
  <c r="Q163" i="34"/>
  <c r="S163" i="34"/>
  <c r="T163" i="34"/>
  <c r="U163" i="34"/>
  <c r="V163" i="34"/>
  <c r="W163" i="34"/>
  <c r="X163" i="34"/>
  <c r="K164" i="34"/>
  <c r="M164" i="34"/>
  <c r="O164" i="34"/>
  <c r="Q164" i="34"/>
  <c r="S164" i="34"/>
  <c r="T164" i="34"/>
  <c r="U164" i="34"/>
  <c r="V164" i="34"/>
  <c r="W164" i="34"/>
  <c r="X164" i="34"/>
  <c r="K165" i="34"/>
  <c r="M165" i="34"/>
  <c r="O165" i="34"/>
  <c r="Q165" i="34"/>
  <c r="S165" i="34"/>
  <c r="T165" i="34"/>
  <c r="U165" i="34"/>
  <c r="V165" i="34"/>
  <c r="W165" i="34"/>
  <c r="X165" i="34"/>
  <c r="K166" i="34"/>
  <c r="M166" i="34"/>
  <c r="O166" i="34"/>
  <c r="Q166" i="34"/>
  <c r="S166" i="34"/>
  <c r="T166" i="34"/>
  <c r="U166" i="34"/>
  <c r="V166" i="34"/>
  <c r="W166" i="34"/>
  <c r="X166" i="34"/>
  <c r="K167" i="34"/>
  <c r="M167" i="34"/>
  <c r="O167" i="34"/>
  <c r="Q167" i="34"/>
  <c r="S167" i="34"/>
  <c r="T167" i="34"/>
  <c r="U167" i="34"/>
  <c r="V167" i="34"/>
  <c r="W167" i="34"/>
  <c r="X167" i="34"/>
  <c r="K168" i="34"/>
  <c r="M168" i="34"/>
  <c r="O168" i="34"/>
  <c r="Q168" i="34"/>
  <c r="S168" i="34"/>
  <c r="T168" i="34"/>
  <c r="U168" i="34"/>
  <c r="V168" i="34"/>
  <c r="W168" i="34"/>
  <c r="X168" i="34"/>
  <c r="K169" i="34"/>
  <c r="M169" i="34"/>
  <c r="O169" i="34"/>
  <c r="Q169" i="34"/>
  <c r="S169" i="34"/>
  <c r="T169" i="34"/>
  <c r="U169" i="34"/>
  <c r="V169" i="34"/>
  <c r="W169" i="34"/>
  <c r="X169" i="34"/>
  <c r="K170" i="34"/>
  <c r="M170" i="34"/>
  <c r="O170" i="34"/>
  <c r="Q170" i="34"/>
  <c r="S170" i="34"/>
  <c r="T170" i="34"/>
  <c r="U170" i="34"/>
  <c r="V170" i="34"/>
  <c r="W170" i="34"/>
  <c r="X170" i="34"/>
  <c r="K171" i="34"/>
  <c r="M171" i="34"/>
  <c r="O171" i="34"/>
  <c r="Q171" i="34"/>
  <c r="S171" i="34"/>
  <c r="T171" i="34"/>
  <c r="U171" i="34"/>
  <c r="V171" i="34"/>
  <c r="W171" i="34"/>
  <c r="X171" i="34"/>
  <c r="K172" i="34"/>
  <c r="M172" i="34"/>
  <c r="O172" i="34"/>
  <c r="Q172" i="34"/>
  <c r="S172" i="34"/>
  <c r="T172" i="34"/>
  <c r="U172" i="34"/>
  <c r="V172" i="34"/>
  <c r="W172" i="34"/>
  <c r="X172" i="34"/>
  <c r="K173" i="34"/>
  <c r="M173" i="34"/>
  <c r="O173" i="34"/>
  <c r="Q173" i="34"/>
  <c r="S173" i="34"/>
  <c r="T173" i="34"/>
  <c r="U173" i="34"/>
  <c r="V173" i="34"/>
  <c r="W173" i="34"/>
  <c r="X173" i="34"/>
  <c r="K174" i="34"/>
  <c r="M174" i="34"/>
  <c r="O174" i="34"/>
  <c r="Q174" i="34"/>
  <c r="S174" i="34"/>
  <c r="T174" i="34"/>
  <c r="U174" i="34"/>
  <c r="V174" i="34"/>
  <c r="W174" i="34"/>
  <c r="X174" i="34"/>
  <c r="K175" i="34"/>
  <c r="M175" i="34"/>
  <c r="O175" i="34"/>
  <c r="Q175" i="34"/>
  <c r="S175" i="34"/>
  <c r="T175" i="34"/>
  <c r="U175" i="34"/>
  <c r="V175" i="34"/>
  <c r="W175" i="34"/>
  <c r="X175" i="34"/>
  <c r="K176" i="34"/>
  <c r="M176" i="34"/>
  <c r="O176" i="34"/>
  <c r="Q176" i="34"/>
  <c r="S176" i="34"/>
  <c r="T176" i="34"/>
  <c r="U176" i="34"/>
  <c r="V176" i="34"/>
  <c r="W176" i="34"/>
  <c r="X176" i="34"/>
  <c r="K177" i="34"/>
  <c r="M177" i="34"/>
  <c r="O177" i="34"/>
  <c r="Q177" i="34"/>
  <c r="S177" i="34"/>
  <c r="T177" i="34"/>
  <c r="U177" i="34"/>
  <c r="V177" i="34"/>
  <c r="W177" i="34"/>
  <c r="X177" i="34"/>
  <c r="K178" i="34"/>
  <c r="M178" i="34"/>
  <c r="O178" i="34"/>
  <c r="Q178" i="34"/>
  <c r="S178" i="34"/>
  <c r="T178" i="34"/>
  <c r="U178" i="34"/>
  <c r="V178" i="34"/>
  <c r="W178" i="34"/>
  <c r="X178" i="34"/>
  <c r="K179" i="34"/>
  <c r="M179" i="34"/>
  <c r="O179" i="34"/>
  <c r="Q179" i="34"/>
  <c r="S179" i="34"/>
  <c r="T179" i="34"/>
  <c r="U179" i="34"/>
  <c r="V179" i="34"/>
  <c r="W179" i="34"/>
  <c r="X179" i="34"/>
  <c r="K180" i="34"/>
  <c r="M180" i="34"/>
  <c r="O180" i="34"/>
  <c r="Q180" i="34"/>
  <c r="S180" i="34"/>
  <c r="T180" i="34"/>
  <c r="U180" i="34"/>
  <c r="V180" i="34"/>
  <c r="W180" i="34"/>
  <c r="X180" i="34"/>
  <c r="K181" i="34"/>
  <c r="M181" i="34"/>
  <c r="O181" i="34"/>
  <c r="Q181" i="34"/>
  <c r="S181" i="34"/>
  <c r="T181" i="34"/>
  <c r="U181" i="34"/>
  <c r="V181" i="34"/>
  <c r="W181" i="34"/>
  <c r="X181" i="34"/>
  <c r="K182" i="34"/>
  <c r="M182" i="34"/>
  <c r="O182" i="34"/>
  <c r="Q182" i="34"/>
  <c r="S182" i="34"/>
  <c r="T182" i="34"/>
  <c r="U182" i="34"/>
  <c r="V182" i="34"/>
  <c r="W182" i="34"/>
  <c r="X182" i="34"/>
  <c r="K183" i="34"/>
  <c r="M183" i="34"/>
  <c r="O183" i="34"/>
  <c r="Q183" i="34"/>
  <c r="S183" i="34"/>
  <c r="T183" i="34"/>
  <c r="U183" i="34"/>
  <c r="V183" i="34"/>
  <c r="W183" i="34"/>
  <c r="X183" i="34"/>
  <c r="K184" i="34"/>
  <c r="M184" i="34"/>
  <c r="O184" i="34"/>
  <c r="Q184" i="34"/>
  <c r="S184" i="34"/>
  <c r="T184" i="34"/>
  <c r="U184" i="34"/>
  <c r="V184" i="34"/>
  <c r="W184" i="34"/>
  <c r="X184" i="34"/>
  <c r="K185" i="34"/>
  <c r="M185" i="34"/>
  <c r="O185" i="34"/>
  <c r="Q185" i="34"/>
  <c r="S185" i="34"/>
  <c r="T185" i="34"/>
  <c r="U185" i="34"/>
  <c r="V185" i="34"/>
  <c r="W185" i="34"/>
  <c r="X185" i="34"/>
  <c r="K186" i="34"/>
  <c r="M186" i="34"/>
  <c r="O186" i="34"/>
  <c r="Q186" i="34"/>
  <c r="S186" i="34"/>
  <c r="T186" i="34"/>
  <c r="U186" i="34"/>
  <c r="V186" i="34"/>
  <c r="W186" i="34"/>
  <c r="X186" i="34"/>
  <c r="K187" i="34"/>
  <c r="M187" i="34"/>
  <c r="O187" i="34"/>
  <c r="Q187" i="34"/>
  <c r="S187" i="34"/>
  <c r="T187" i="34"/>
  <c r="U187" i="34"/>
  <c r="V187" i="34"/>
  <c r="W187" i="34"/>
  <c r="X187" i="34"/>
  <c r="K188" i="34"/>
  <c r="M188" i="34"/>
  <c r="O188" i="34"/>
  <c r="Q188" i="34"/>
  <c r="S188" i="34"/>
  <c r="T188" i="34"/>
  <c r="U188" i="34"/>
  <c r="V188" i="34"/>
  <c r="W188" i="34"/>
  <c r="X188" i="34"/>
  <c r="K189" i="34"/>
  <c r="M189" i="34"/>
  <c r="O189" i="34"/>
  <c r="Q189" i="34"/>
  <c r="S189" i="34"/>
  <c r="T189" i="34"/>
  <c r="U189" i="34"/>
  <c r="V189" i="34"/>
  <c r="W189" i="34"/>
  <c r="X189" i="34"/>
  <c r="K190" i="34"/>
  <c r="M190" i="34"/>
  <c r="O190" i="34"/>
  <c r="Q190" i="34"/>
  <c r="S190" i="34"/>
  <c r="T190" i="34"/>
  <c r="U190" i="34"/>
  <c r="V190" i="34"/>
  <c r="W190" i="34"/>
  <c r="X190" i="34"/>
  <c r="K191" i="34"/>
  <c r="M191" i="34"/>
  <c r="O191" i="34"/>
  <c r="Q191" i="34"/>
  <c r="S191" i="34"/>
  <c r="T191" i="34"/>
  <c r="U191" i="34"/>
  <c r="V191" i="34"/>
  <c r="W191" i="34"/>
  <c r="X191" i="34"/>
  <c r="K192" i="34"/>
  <c r="M192" i="34"/>
  <c r="O192" i="34"/>
  <c r="Q192" i="34"/>
  <c r="S192" i="34"/>
  <c r="T192" i="34"/>
  <c r="U192" i="34"/>
  <c r="V192" i="34"/>
  <c r="W192" i="34"/>
  <c r="X192" i="34"/>
  <c r="K193" i="34"/>
  <c r="M193" i="34"/>
  <c r="O193" i="34"/>
  <c r="Q193" i="34"/>
  <c r="S193" i="34"/>
  <c r="T193" i="34"/>
  <c r="U193" i="34"/>
  <c r="V193" i="34"/>
  <c r="W193" i="34"/>
  <c r="X193" i="34"/>
  <c r="K194" i="34"/>
  <c r="M194" i="34"/>
  <c r="O194" i="34"/>
  <c r="Q194" i="34"/>
  <c r="S194" i="34"/>
  <c r="T194" i="34"/>
  <c r="U194" i="34"/>
  <c r="V194" i="34"/>
  <c r="W194" i="34"/>
  <c r="X194" i="34"/>
  <c r="K195" i="34"/>
  <c r="M195" i="34"/>
  <c r="O195" i="34"/>
  <c r="Q195" i="34"/>
  <c r="S195" i="34"/>
  <c r="T195" i="34"/>
  <c r="U195" i="34"/>
  <c r="V195" i="34"/>
  <c r="W195" i="34"/>
  <c r="X195" i="34"/>
  <c r="K196" i="34"/>
  <c r="M196" i="34"/>
  <c r="O196" i="34"/>
  <c r="Q196" i="34"/>
  <c r="S196" i="34"/>
  <c r="T196" i="34"/>
  <c r="U196" i="34"/>
  <c r="V196" i="34"/>
  <c r="W196" i="34"/>
  <c r="X196" i="34"/>
  <c r="K197" i="34"/>
  <c r="M197" i="34"/>
  <c r="O197" i="34"/>
  <c r="Q197" i="34"/>
  <c r="S197" i="34"/>
  <c r="T197" i="34"/>
  <c r="U197" i="34"/>
  <c r="V197" i="34"/>
  <c r="W197" i="34"/>
  <c r="X197" i="34"/>
  <c r="K198" i="34"/>
  <c r="M198" i="34"/>
  <c r="O198" i="34"/>
  <c r="Q198" i="34"/>
  <c r="S198" i="34"/>
  <c r="T198" i="34"/>
  <c r="U198" i="34"/>
  <c r="V198" i="34"/>
  <c r="W198" i="34"/>
  <c r="X198" i="34"/>
  <c r="K199" i="34"/>
  <c r="M199" i="34"/>
  <c r="O199" i="34"/>
  <c r="Q199" i="34"/>
  <c r="S199" i="34"/>
  <c r="T199" i="34"/>
  <c r="U199" i="34"/>
  <c r="V199" i="34"/>
  <c r="W199" i="34"/>
  <c r="X199" i="34"/>
  <c r="K200" i="34"/>
  <c r="M200" i="34"/>
  <c r="O200" i="34"/>
  <c r="Q200" i="34"/>
  <c r="S200" i="34"/>
  <c r="T200" i="34"/>
  <c r="U200" i="34"/>
  <c r="V200" i="34"/>
  <c r="W200" i="34"/>
  <c r="X200" i="34"/>
  <c r="K201" i="34"/>
  <c r="M201" i="34"/>
  <c r="O201" i="34"/>
  <c r="Q201" i="34"/>
  <c r="S201" i="34"/>
  <c r="T201" i="34"/>
  <c r="U201" i="34"/>
  <c r="V201" i="34"/>
  <c r="W201" i="34"/>
  <c r="X201" i="34"/>
  <c r="K202" i="34"/>
  <c r="M202" i="34"/>
  <c r="O202" i="34"/>
  <c r="Q202" i="34"/>
  <c r="S202" i="34"/>
  <c r="T202" i="34"/>
  <c r="U202" i="34"/>
  <c r="V202" i="34"/>
  <c r="W202" i="34"/>
  <c r="X202" i="34"/>
  <c r="K203" i="34"/>
  <c r="M203" i="34"/>
  <c r="O203" i="34"/>
  <c r="Q203" i="34"/>
  <c r="S203" i="34"/>
  <c r="T203" i="34"/>
  <c r="U203" i="34"/>
  <c r="V203" i="34"/>
  <c r="W203" i="34"/>
  <c r="X203" i="34"/>
  <c r="K204" i="34"/>
  <c r="M204" i="34"/>
  <c r="O204" i="34"/>
  <c r="Q204" i="34"/>
  <c r="S204" i="34"/>
  <c r="T204" i="34"/>
  <c r="U204" i="34"/>
  <c r="V204" i="34"/>
  <c r="W204" i="34"/>
  <c r="X204" i="34"/>
  <c r="K205" i="34"/>
  <c r="M205" i="34"/>
  <c r="O205" i="34"/>
  <c r="Q205" i="34"/>
  <c r="S205" i="34"/>
  <c r="T205" i="34"/>
  <c r="U205" i="34"/>
  <c r="V205" i="34"/>
  <c r="W205" i="34"/>
  <c r="X205" i="34"/>
  <c r="K206" i="34"/>
  <c r="M206" i="34"/>
  <c r="O206" i="34"/>
  <c r="Q206" i="34"/>
  <c r="S206" i="34"/>
  <c r="T206" i="34"/>
  <c r="U206" i="34"/>
  <c r="V206" i="34"/>
  <c r="W206" i="34"/>
  <c r="X206" i="34"/>
  <c r="K207" i="34"/>
  <c r="M207" i="34"/>
  <c r="O207" i="34"/>
  <c r="Q207" i="34"/>
  <c r="S207" i="34"/>
  <c r="T207" i="34"/>
  <c r="U207" i="34"/>
  <c r="V207" i="34"/>
  <c r="W207" i="34"/>
  <c r="X207" i="34"/>
  <c r="K208" i="34"/>
  <c r="M208" i="34"/>
  <c r="O208" i="34"/>
  <c r="Q208" i="34"/>
  <c r="S208" i="34"/>
  <c r="T208" i="34"/>
  <c r="U208" i="34"/>
  <c r="V208" i="34"/>
  <c r="W208" i="34"/>
  <c r="X208" i="34"/>
  <c r="K209" i="34"/>
  <c r="M209" i="34"/>
  <c r="O209" i="34"/>
  <c r="Q209" i="34"/>
  <c r="S209" i="34"/>
  <c r="T209" i="34"/>
  <c r="U209" i="34"/>
  <c r="V209" i="34"/>
  <c r="W209" i="34"/>
  <c r="X209" i="34"/>
  <c r="K210" i="34"/>
  <c r="M210" i="34"/>
  <c r="O210" i="34"/>
  <c r="Q210" i="34"/>
  <c r="S210" i="34"/>
  <c r="T210" i="34"/>
  <c r="U210" i="34"/>
  <c r="V210" i="34"/>
  <c r="W210" i="34"/>
  <c r="X210" i="34"/>
  <c r="K211" i="34"/>
  <c r="M211" i="34"/>
  <c r="O211" i="34"/>
  <c r="Q211" i="34"/>
  <c r="S211" i="34"/>
  <c r="T211" i="34"/>
  <c r="U211" i="34"/>
  <c r="V211" i="34"/>
  <c r="W211" i="34"/>
  <c r="X211" i="34"/>
  <c r="K212" i="34"/>
  <c r="M212" i="34"/>
  <c r="O212" i="34"/>
  <c r="Q212" i="34"/>
  <c r="S212" i="34"/>
  <c r="T212" i="34"/>
  <c r="U212" i="34"/>
  <c r="V212" i="34"/>
  <c r="W212" i="34"/>
  <c r="X212" i="34"/>
  <c r="K213" i="34"/>
  <c r="M213" i="34"/>
  <c r="O213" i="34"/>
  <c r="Q213" i="34"/>
  <c r="S213" i="34"/>
  <c r="T213" i="34"/>
  <c r="U213" i="34"/>
  <c r="V213" i="34"/>
  <c r="W213" i="34"/>
  <c r="X213" i="34"/>
  <c r="K214" i="34"/>
  <c r="M214" i="34"/>
  <c r="O214" i="34"/>
  <c r="Q214" i="34"/>
  <c r="S214" i="34"/>
  <c r="T214" i="34"/>
  <c r="U214" i="34"/>
  <c r="V214" i="34"/>
  <c r="W214" i="34"/>
  <c r="X214" i="34"/>
  <c r="K215" i="34"/>
  <c r="M215" i="34"/>
  <c r="O215" i="34"/>
  <c r="Q215" i="34"/>
  <c r="S215" i="34"/>
  <c r="T215" i="34"/>
  <c r="U215" i="34"/>
  <c r="V215" i="34"/>
  <c r="W215" i="34"/>
  <c r="X215" i="34"/>
  <c r="K216" i="34"/>
  <c r="M216" i="34"/>
  <c r="O216" i="34"/>
  <c r="Q216" i="34"/>
  <c r="S216" i="34"/>
  <c r="T216" i="34"/>
  <c r="U216" i="34"/>
  <c r="V216" i="34"/>
  <c r="W216" i="34"/>
  <c r="X216" i="34"/>
  <c r="K217" i="34"/>
  <c r="M217" i="34"/>
  <c r="O217" i="34"/>
  <c r="Q217" i="34"/>
  <c r="S217" i="34"/>
  <c r="T217" i="34"/>
  <c r="U217" i="34"/>
  <c r="V217" i="34"/>
  <c r="W217" i="34"/>
  <c r="X217" i="34"/>
  <c r="K218" i="34"/>
  <c r="M218" i="34"/>
  <c r="O218" i="34"/>
  <c r="Q218" i="34"/>
  <c r="S218" i="34"/>
  <c r="T218" i="34"/>
  <c r="U218" i="34"/>
  <c r="V218" i="34"/>
  <c r="W218" i="34"/>
  <c r="X218" i="34"/>
  <c r="K219" i="34"/>
  <c r="M219" i="34"/>
  <c r="O219" i="34"/>
  <c r="Q219" i="34"/>
  <c r="S219" i="34"/>
  <c r="T219" i="34"/>
  <c r="U219" i="34"/>
  <c r="V219" i="34"/>
  <c r="W219" i="34"/>
  <c r="X219" i="34"/>
  <c r="K220" i="34"/>
  <c r="M220" i="34"/>
  <c r="O220" i="34"/>
  <c r="Q220" i="34"/>
  <c r="S220" i="34"/>
  <c r="T220" i="34"/>
  <c r="U220" i="34"/>
  <c r="V220" i="34"/>
  <c r="W220" i="34"/>
  <c r="X220" i="34"/>
  <c r="K221" i="34"/>
  <c r="M221" i="34"/>
  <c r="O221" i="34"/>
  <c r="Q221" i="34"/>
  <c r="S221" i="34"/>
  <c r="T221" i="34"/>
  <c r="U221" i="34"/>
  <c r="V221" i="34"/>
  <c r="W221" i="34"/>
  <c r="X221" i="34"/>
  <c r="K222" i="34"/>
  <c r="M222" i="34"/>
  <c r="O222" i="34"/>
  <c r="Q222" i="34"/>
  <c r="S222" i="34"/>
  <c r="T222" i="34"/>
  <c r="U222" i="34"/>
  <c r="V222" i="34"/>
  <c r="W222" i="34"/>
  <c r="X222" i="34"/>
  <c r="K223" i="34"/>
  <c r="M223" i="34"/>
  <c r="O223" i="34"/>
  <c r="Q223" i="34"/>
  <c r="S223" i="34"/>
  <c r="T223" i="34"/>
  <c r="U223" i="34"/>
  <c r="V223" i="34"/>
  <c r="W223" i="34"/>
  <c r="X223" i="34"/>
  <c r="K224" i="34"/>
  <c r="M224" i="34"/>
  <c r="O224" i="34"/>
  <c r="Q224" i="34"/>
  <c r="S224" i="34"/>
  <c r="T224" i="34"/>
  <c r="U224" i="34"/>
  <c r="V224" i="34"/>
  <c r="W224" i="34"/>
  <c r="X224" i="34"/>
  <c r="K225" i="34"/>
  <c r="M225" i="34"/>
  <c r="O225" i="34"/>
  <c r="Q225" i="34"/>
  <c r="S225" i="34"/>
  <c r="T225" i="34"/>
  <c r="U225" i="34"/>
  <c r="V225" i="34"/>
  <c r="W225" i="34"/>
  <c r="X225" i="34"/>
  <c r="K226" i="34"/>
  <c r="M226" i="34"/>
  <c r="O226" i="34"/>
  <c r="Q226" i="34"/>
  <c r="S226" i="34"/>
  <c r="T226" i="34"/>
  <c r="U226" i="34"/>
  <c r="V226" i="34"/>
  <c r="W226" i="34"/>
  <c r="X226" i="34"/>
  <c r="K227" i="34"/>
  <c r="M227" i="34"/>
  <c r="O227" i="34"/>
  <c r="Q227" i="34"/>
  <c r="S227" i="34"/>
  <c r="T227" i="34"/>
  <c r="U227" i="34"/>
  <c r="V227" i="34"/>
  <c r="W227" i="34"/>
  <c r="X227" i="34"/>
  <c r="K228" i="34"/>
  <c r="M228" i="34"/>
  <c r="O228" i="34"/>
  <c r="Q228" i="34"/>
  <c r="S228" i="34"/>
  <c r="T228" i="34"/>
  <c r="U228" i="34"/>
  <c r="V228" i="34"/>
  <c r="W228" i="34"/>
  <c r="X228" i="34"/>
  <c r="K229" i="34"/>
  <c r="M229" i="34"/>
  <c r="O229" i="34"/>
  <c r="Q229" i="34"/>
  <c r="S229" i="34"/>
  <c r="T229" i="34"/>
  <c r="U229" i="34"/>
  <c r="V229" i="34"/>
  <c r="W229" i="34"/>
  <c r="X229" i="34"/>
  <c r="K230" i="34"/>
  <c r="M230" i="34"/>
  <c r="O230" i="34"/>
  <c r="Q230" i="34"/>
  <c r="S230" i="34"/>
  <c r="T230" i="34"/>
  <c r="U230" i="34"/>
  <c r="V230" i="34"/>
  <c r="W230" i="34"/>
  <c r="X230" i="34"/>
  <c r="K231" i="34"/>
  <c r="M231" i="34"/>
  <c r="O231" i="34"/>
  <c r="Q231" i="34"/>
  <c r="S231" i="34"/>
  <c r="T231" i="34"/>
  <c r="U231" i="34"/>
  <c r="V231" i="34"/>
  <c r="W231" i="34"/>
  <c r="X231" i="34"/>
  <c r="K232" i="34"/>
  <c r="M232" i="34"/>
  <c r="O232" i="34"/>
  <c r="Q232" i="34"/>
  <c r="S232" i="34"/>
  <c r="T232" i="34"/>
  <c r="U232" i="34"/>
  <c r="V232" i="34"/>
  <c r="W232" i="34"/>
  <c r="X232" i="34"/>
  <c r="K233" i="34"/>
  <c r="M233" i="34"/>
  <c r="O233" i="34"/>
  <c r="Q233" i="34"/>
  <c r="S233" i="34"/>
  <c r="T233" i="34"/>
  <c r="U233" i="34"/>
  <c r="V233" i="34"/>
  <c r="W233" i="34"/>
  <c r="X233" i="34"/>
  <c r="K234" i="34"/>
  <c r="M234" i="34"/>
  <c r="O234" i="34"/>
  <c r="Q234" i="34"/>
  <c r="S234" i="34"/>
  <c r="T234" i="34"/>
  <c r="U234" i="34"/>
  <c r="V234" i="34"/>
  <c r="W234" i="34"/>
  <c r="X234" i="34"/>
  <c r="K235" i="34"/>
  <c r="M235" i="34"/>
  <c r="O235" i="34"/>
  <c r="Q235" i="34"/>
  <c r="S235" i="34"/>
  <c r="T235" i="34"/>
  <c r="U235" i="34"/>
  <c r="V235" i="34"/>
  <c r="W235" i="34"/>
  <c r="X235" i="34"/>
  <c r="K236" i="34"/>
  <c r="M236" i="34"/>
  <c r="O236" i="34"/>
  <c r="Q236" i="34"/>
  <c r="S236" i="34"/>
  <c r="T236" i="34"/>
  <c r="U236" i="34"/>
  <c r="V236" i="34"/>
  <c r="W236" i="34"/>
  <c r="X236" i="34"/>
  <c r="K237" i="34"/>
  <c r="M237" i="34"/>
  <c r="O237" i="34"/>
  <c r="Q237" i="34"/>
  <c r="S237" i="34"/>
  <c r="T237" i="34"/>
  <c r="U237" i="34"/>
  <c r="V237" i="34"/>
  <c r="W237" i="34"/>
  <c r="X237" i="34"/>
  <c r="K238" i="34"/>
  <c r="M238" i="34"/>
  <c r="O238" i="34"/>
  <c r="Q238" i="34"/>
  <c r="S238" i="34"/>
  <c r="T238" i="34"/>
  <c r="U238" i="34"/>
  <c r="V238" i="34"/>
  <c r="W238" i="34"/>
  <c r="X238" i="34"/>
  <c r="K239" i="34"/>
  <c r="M239" i="34"/>
  <c r="O239" i="34"/>
  <c r="Q239" i="34"/>
  <c r="S239" i="34"/>
  <c r="T239" i="34"/>
  <c r="U239" i="34"/>
  <c r="V239" i="34"/>
  <c r="W239" i="34"/>
  <c r="X239" i="34"/>
  <c r="K240" i="34"/>
  <c r="M240" i="34"/>
  <c r="O240" i="34"/>
  <c r="Q240" i="34"/>
  <c r="S240" i="34"/>
  <c r="T240" i="34"/>
  <c r="U240" i="34"/>
  <c r="V240" i="34"/>
  <c r="W240" i="34"/>
  <c r="X240" i="34"/>
  <c r="K241" i="34"/>
  <c r="M241" i="34"/>
  <c r="O241" i="34"/>
  <c r="Q241" i="34"/>
  <c r="S241" i="34"/>
  <c r="T241" i="34"/>
  <c r="U241" i="34"/>
  <c r="V241" i="34"/>
  <c r="W241" i="34"/>
  <c r="X241" i="34"/>
  <c r="K242" i="34"/>
  <c r="M242" i="34"/>
  <c r="O242" i="34"/>
  <c r="Q242" i="34"/>
  <c r="S242" i="34"/>
  <c r="T242" i="34"/>
  <c r="U242" i="34"/>
  <c r="V242" i="34"/>
  <c r="W242" i="34"/>
  <c r="X242" i="34"/>
  <c r="K243" i="34"/>
  <c r="M243" i="34"/>
  <c r="O243" i="34"/>
  <c r="Q243" i="34"/>
  <c r="S243" i="34"/>
  <c r="T243" i="34"/>
  <c r="U243" i="34"/>
  <c r="V243" i="34"/>
  <c r="W243" i="34"/>
  <c r="X243" i="34"/>
  <c r="K244" i="34"/>
  <c r="M244" i="34"/>
  <c r="O244" i="34"/>
  <c r="Q244" i="34"/>
  <c r="S244" i="34"/>
  <c r="T244" i="34"/>
  <c r="U244" i="34"/>
  <c r="V244" i="34"/>
  <c r="W244" i="34"/>
  <c r="X244" i="34"/>
  <c r="K245" i="34"/>
  <c r="M245" i="34"/>
  <c r="O245" i="34"/>
  <c r="Q245" i="34"/>
  <c r="S245" i="34"/>
  <c r="T245" i="34"/>
  <c r="U245" i="34"/>
  <c r="V245" i="34"/>
  <c r="W245" i="34"/>
  <c r="X245" i="34"/>
  <c r="K246" i="34"/>
  <c r="M246" i="34"/>
  <c r="O246" i="34"/>
  <c r="Q246" i="34"/>
  <c r="S246" i="34"/>
  <c r="T246" i="34"/>
  <c r="U246" i="34"/>
  <c r="V246" i="34"/>
  <c r="W246" i="34"/>
  <c r="X246" i="34"/>
  <c r="K247" i="34"/>
  <c r="M247" i="34"/>
  <c r="O247" i="34"/>
  <c r="Q247" i="34"/>
  <c r="S247" i="34"/>
  <c r="T247" i="34"/>
  <c r="U247" i="34"/>
  <c r="V247" i="34"/>
  <c r="W247" i="34"/>
  <c r="X247" i="34"/>
  <c r="K248" i="34"/>
  <c r="M248" i="34"/>
  <c r="O248" i="34"/>
  <c r="Q248" i="34"/>
  <c r="S248" i="34"/>
  <c r="T248" i="34"/>
  <c r="U248" i="34"/>
  <c r="V248" i="34"/>
  <c r="W248" i="34"/>
  <c r="X248" i="34"/>
  <c r="K249" i="34"/>
  <c r="M249" i="34"/>
  <c r="O249" i="34"/>
  <c r="Q249" i="34"/>
  <c r="S249" i="34"/>
  <c r="T249" i="34"/>
  <c r="U249" i="34"/>
  <c r="V249" i="34"/>
  <c r="W249" i="34"/>
  <c r="X249" i="34"/>
  <c r="K250" i="34"/>
  <c r="M250" i="34"/>
  <c r="O250" i="34"/>
  <c r="Q250" i="34"/>
  <c r="S250" i="34"/>
  <c r="T250" i="34"/>
  <c r="U250" i="34"/>
  <c r="V250" i="34"/>
  <c r="W250" i="34"/>
  <c r="X250" i="34"/>
  <c r="K251" i="34"/>
  <c r="M251" i="34"/>
  <c r="O251" i="34"/>
  <c r="Q251" i="34"/>
  <c r="S251" i="34"/>
  <c r="T251" i="34"/>
  <c r="U251" i="34"/>
  <c r="V251" i="34"/>
  <c r="W251" i="34"/>
  <c r="X251" i="34"/>
  <c r="K252" i="34"/>
  <c r="M252" i="34"/>
  <c r="O252" i="34"/>
  <c r="Q252" i="34"/>
  <c r="S252" i="34"/>
  <c r="T252" i="34"/>
  <c r="U252" i="34"/>
  <c r="V252" i="34"/>
  <c r="W252" i="34"/>
  <c r="X252" i="34"/>
  <c r="K253" i="34"/>
  <c r="M253" i="34"/>
  <c r="O253" i="34"/>
  <c r="Q253" i="34"/>
  <c r="S253" i="34"/>
  <c r="T253" i="34"/>
  <c r="U253" i="34"/>
  <c r="V253" i="34"/>
  <c r="W253" i="34"/>
  <c r="X253" i="34"/>
  <c r="K254" i="34"/>
  <c r="M254" i="34"/>
  <c r="O254" i="34"/>
  <c r="Q254" i="34"/>
  <c r="S254" i="34"/>
  <c r="T254" i="34"/>
  <c r="U254" i="34"/>
  <c r="V254" i="34"/>
  <c r="W254" i="34"/>
  <c r="X254" i="34"/>
  <c r="K255" i="34"/>
  <c r="M255" i="34"/>
  <c r="O255" i="34"/>
  <c r="Q255" i="34"/>
  <c r="S255" i="34"/>
  <c r="T255" i="34"/>
  <c r="U255" i="34"/>
  <c r="V255" i="34"/>
  <c r="W255" i="34"/>
  <c r="X255" i="34"/>
  <c r="K256" i="34"/>
  <c r="M256" i="34"/>
  <c r="O256" i="34"/>
  <c r="Q256" i="34"/>
  <c r="S256" i="34"/>
  <c r="T256" i="34"/>
  <c r="U256" i="34"/>
  <c r="V256" i="34"/>
  <c r="W256" i="34"/>
  <c r="X256" i="34"/>
  <c r="K257" i="34"/>
  <c r="M257" i="34"/>
  <c r="O257" i="34"/>
  <c r="Q257" i="34"/>
  <c r="S257" i="34"/>
  <c r="T257" i="34"/>
  <c r="U257" i="34"/>
  <c r="V257" i="34"/>
  <c r="W257" i="34"/>
  <c r="X257" i="34"/>
  <c r="K258" i="34"/>
  <c r="M258" i="34"/>
  <c r="O258" i="34"/>
  <c r="Q258" i="34"/>
  <c r="S258" i="34"/>
  <c r="T258" i="34"/>
  <c r="U258" i="34"/>
  <c r="V258" i="34"/>
  <c r="W258" i="34"/>
  <c r="X258" i="34"/>
  <c r="K259" i="34"/>
  <c r="M259" i="34"/>
  <c r="O259" i="34"/>
  <c r="Q259" i="34"/>
  <c r="S259" i="34"/>
  <c r="T259" i="34"/>
  <c r="U259" i="34"/>
  <c r="V259" i="34"/>
  <c r="W259" i="34"/>
  <c r="X259" i="34"/>
  <c r="K260" i="34"/>
  <c r="M260" i="34"/>
  <c r="O260" i="34"/>
  <c r="Q260" i="34"/>
  <c r="S260" i="34"/>
  <c r="T260" i="34"/>
  <c r="U260" i="34"/>
  <c r="V260" i="34"/>
  <c r="W260" i="34"/>
  <c r="X260" i="34"/>
  <c r="K261" i="34"/>
  <c r="M261" i="34"/>
  <c r="O261" i="34"/>
  <c r="Q261" i="34"/>
  <c r="S261" i="34"/>
  <c r="T261" i="34"/>
  <c r="U261" i="34"/>
  <c r="V261" i="34"/>
  <c r="W261" i="34"/>
  <c r="X261" i="34"/>
  <c r="K262" i="34"/>
  <c r="M262" i="34"/>
  <c r="O262" i="34"/>
  <c r="Q262" i="34"/>
  <c r="S262" i="34"/>
  <c r="T262" i="34"/>
  <c r="U262" i="34"/>
  <c r="V262" i="34"/>
  <c r="W262" i="34"/>
  <c r="X262" i="34"/>
  <c r="K263" i="34"/>
  <c r="M263" i="34"/>
  <c r="O263" i="34"/>
  <c r="Q263" i="34"/>
  <c r="S263" i="34"/>
  <c r="T263" i="34"/>
  <c r="U263" i="34"/>
  <c r="V263" i="34"/>
  <c r="W263" i="34"/>
  <c r="X263" i="34"/>
  <c r="K264" i="34"/>
  <c r="M264" i="34"/>
  <c r="O264" i="34"/>
  <c r="Q264" i="34"/>
  <c r="S264" i="34"/>
  <c r="T264" i="34"/>
  <c r="U264" i="34"/>
  <c r="V264" i="34"/>
  <c r="W264" i="34"/>
  <c r="X264" i="34"/>
  <c r="K265" i="34"/>
  <c r="M265" i="34"/>
  <c r="O265" i="34"/>
  <c r="Q265" i="34"/>
  <c r="S265" i="34"/>
  <c r="T265" i="34"/>
  <c r="U265" i="34"/>
  <c r="V265" i="34"/>
  <c r="W265" i="34"/>
  <c r="X265" i="34"/>
  <c r="K266" i="34"/>
  <c r="M266" i="34"/>
  <c r="O266" i="34"/>
  <c r="Q266" i="34"/>
  <c r="S266" i="34"/>
  <c r="T266" i="34"/>
  <c r="U266" i="34"/>
  <c r="V266" i="34"/>
  <c r="W266" i="34"/>
  <c r="X266" i="34"/>
  <c r="K267" i="34"/>
  <c r="M267" i="34"/>
  <c r="O267" i="34"/>
  <c r="Q267" i="34"/>
  <c r="S267" i="34"/>
  <c r="T267" i="34"/>
  <c r="U267" i="34"/>
  <c r="V267" i="34"/>
  <c r="W267" i="34"/>
  <c r="X267" i="34"/>
  <c r="K268" i="34"/>
  <c r="M268" i="34"/>
  <c r="O268" i="34"/>
  <c r="Q268" i="34"/>
  <c r="S268" i="34"/>
  <c r="T268" i="34"/>
  <c r="U268" i="34"/>
  <c r="V268" i="34"/>
  <c r="W268" i="34"/>
  <c r="X268" i="34"/>
  <c r="K269" i="34"/>
  <c r="M269" i="34"/>
  <c r="O269" i="34"/>
  <c r="Q269" i="34"/>
  <c r="S269" i="34"/>
  <c r="T269" i="34"/>
  <c r="U269" i="34"/>
  <c r="V269" i="34"/>
  <c r="W269" i="34"/>
  <c r="X269" i="34"/>
  <c r="K270" i="34"/>
  <c r="M270" i="34"/>
  <c r="O270" i="34"/>
  <c r="Q270" i="34"/>
  <c r="S270" i="34"/>
  <c r="T270" i="34"/>
  <c r="U270" i="34"/>
  <c r="V270" i="34"/>
  <c r="W270" i="34"/>
  <c r="X270" i="34"/>
  <c r="K271" i="34"/>
  <c r="M271" i="34"/>
  <c r="O271" i="34"/>
  <c r="Q271" i="34"/>
  <c r="S271" i="34"/>
  <c r="T271" i="34"/>
  <c r="U271" i="34"/>
  <c r="V271" i="34"/>
  <c r="W271" i="34"/>
  <c r="X271" i="34"/>
  <c r="K272" i="34"/>
  <c r="M272" i="34"/>
  <c r="O272" i="34"/>
  <c r="Q272" i="34"/>
  <c r="S272" i="34"/>
  <c r="T272" i="34"/>
  <c r="U272" i="34"/>
  <c r="V272" i="34"/>
  <c r="W272" i="34"/>
  <c r="X272" i="34"/>
  <c r="K273" i="34"/>
  <c r="M273" i="34"/>
  <c r="O273" i="34"/>
  <c r="Q273" i="34"/>
  <c r="S273" i="34"/>
  <c r="T273" i="34"/>
  <c r="U273" i="34"/>
  <c r="V273" i="34"/>
  <c r="W273" i="34"/>
  <c r="X273" i="34"/>
  <c r="K274" i="34"/>
  <c r="M274" i="34"/>
  <c r="O274" i="34"/>
  <c r="Q274" i="34"/>
  <c r="S274" i="34"/>
  <c r="T274" i="34"/>
  <c r="U274" i="34"/>
  <c r="V274" i="34"/>
  <c r="W274" i="34"/>
  <c r="X274" i="34"/>
  <c r="K275" i="34"/>
  <c r="M275" i="34"/>
  <c r="O275" i="34"/>
  <c r="Q275" i="34"/>
  <c r="S275" i="34"/>
  <c r="T275" i="34"/>
  <c r="U275" i="34"/>
  <c r="V275" i="34"/>
  <c r="W275" i="34"/>
  <c r="X275" i="34"/>
  <c r="K276" i="34"/>
  <c r="M276" i="34"/>
  <c r="O276" i="34"/>
  <c r="Q276" i="34"/>
  <c r="S276" i="34"/>
  <c r="T276" i="34"/>
  <c r="U276" i="34"/>
  <c r="V276" i="34"/>
  <c r="W276" i="34"/>
  <c r="X276" i="34"/>
  <c r="K277" i="34"/>
  <c r="M277" i="34"/>
  <c r="O277" i="34"/>
  <c r="Q277" i="34"/>
  <c r="S277" i="34"/>
  <c r="T277" i="34"/>
  <c r="U277" i="34"/>
  <c r="V277" i="34"/>
  <c r="W277" i="34"/>
  <c r="X277" i="34"/>
  <c r="K278" i="34"/>
  <c r="M278" i="34"/>
  <c r="O278" i="34"/>
  <c r="Q278" i="34"/>
  <c r="S278" i="34"/>
  <c r="T278" i="34"/>
  <c r="U278" i="34"/>
  <c r="V278" i="34"/>
  <c r="W278" i="34"/>
  <c r="X278" i="34"/>
  <c r="K279" i="34"/>
  <c r="M279" i="34"/>
  <c r="O279" i="34"/>
  <c r="Q279" i="34"/>
  <c r="S279" i="34"/>
  <c r="T279" i="34"/>
  <c r="U279" i="34"/>
  <c r="V279" i="34"/>
  <c r="W279" i="34"/>
  <c r="X279" i="34"/>
  <c r="K280" i="34"/>
  <c r="M280" i="34"/>
  <c r="O280" i="34"/>
  <c r="Q280" i="34"/>
  <c r="S280" i="34"/>
  <c r="T280" i="34"/>
  <c r="U280" i="34"/>
  <c r="V280" i="34"/>
  <c r="W280" i="34"/>
  <c r="X280" i="34"/>
  <c r="K281" i="34"/>
  <c r="M281" i="34"/>
  <c r="O281" i="34"/>
  <c r="Q281" i="34"/>
  <c r="S281" i="34"/>
  <c r="T281" i="34"/>
  <c r="U281" i="34"/>
  <c r="V281" i="34"/>
  <c r="W281" i="34"/>
  <c r="X281" i="34"/>
  <c r="K282" i="34"/>
  <c r="M282" i="34"/>
  <c r="O282" i="34"/>
  <c r="Q282" i="34"/>
  <c r="S282" i="34"/>
  <c r="T282" i="34"/>
  <c r="U282" i="34"/>
  <c r="V282" i="34"/>
  <c r="W282" i="34"/>
  <c r="X282" i="34"/>
  <c r="K283" i="34"/>
  <c r="M283" i="34"/>
  <c r="O283" i="34"/>
  <c r="Q283" i="34"/>
  <c r="S283" i="34"/>
  <c r="T283" i="34"/>
  <c r="U283" i="34"/>
  <c r="V283" i="34"/>
  <c r="W283" i="34"/>
  <c r="X283" i="34"/>
  <c r="K284" i="34"/>
  <c r="M284" i="34"/>
  <c r="O284" i="34"/>
  <c r="Q284" i="34"/>
  <c r="S284" i="34"/>
  <c r="T284" i="34"/>
  <c r="U284" i="34"/>
  <c r="V284" i="34"/>
  <c r="W284" i="34"/>
  <c r="X284" i="34"/>
  <c r="K285" i="34"/>
  <c r="M285" i="34"/>
  <c r="O285" i="34"/>
  <c r="Q285" i="34"/>
  <c r="S285" i="34"/>
  <c r="T285" i="34"/>
  <c r="U285" i="34"/>
  <c r="V285" i="34"/>
  <c r="W285" i="34"/>
  <c r="X285" i="34"/>
  <c r="K286" i="34"/>
  <c r="M286" i="34"/>
  <c r="O286" i="34"/>
  <c r="Q286" i="34"/>
  <c r="S286" i="34"/>
  <c r="T286" i="34"/>
  <c r="U286" i="34"/>
  <c r="V286" i="34"/>
  <c r="W286" i="34"/>
  <c r="X286" i="34"/>
  <c r="K287" i="34"/>
  <c r="M287" i="34"/>
  <c r="O287" i="34"/>
  <c r="Q287" i="34"/>
  <c r="S287" i="34"/>
  <c r="T287" i="34"/>
  <c r="U287" i="34"/>
  <c r="V287" i="34"/>
  <c r="W287" i="34"/>
  <c r="X287" i="34"/>
  <c r="K288" i="34"/>
  <c r="M288" i="34"/>
  <c r="O288" i="34"/>
  <c r="Q288" i="34"/>
  <c r="S288" i="34"/>
  <c r="T288" i="34"/>
  <c r="U288" i="34"/>
  <c r="V288" i="34"/>
  <c r="W288" i="34"/>
  <c r="X288" i="34"/>
  <c r="K289" i="34"/>
  <c r="M289" i="34"/>
  <c r="O289" i="34"/>
  <c r="Q289" i="34"/>
  <c r="S289" i="34"/>
  <c r="T289" i="34"/>
  <c r="U289" i="34"/>
  <c r="V289" i="34"/>
  <c r="W289" i="34"/>
  <c r="X289" i="34"/>
  <c r="K290" i="34"/>
  <c r="M290" i="34"/>
  <c r="O290" i="34"/>
  <c r="Q290" i="34"/>
  <c r="S290" i="34"/>
  <c r="T290" i="34"/>
  <c r="U290" i="34"/>
  <c r="V290" i="34"/>
  <c r="W290" i="34"/>
  <c r="X290" i="34"/>
  <c r="K291" i="34"/>
  <c r="M291" i="34"/>
  <c r="O291" i="34"/>
  <c r="Q291" i="34"/>
  <c r="S291" i="34"/>
  <c r="T291" i="34"/>
  <c r="U291" i="34"/>
  <c r="V291" i="34"/>
  <c r="W291" i="34"/>
  <c r="X291" i="34"/>
  <c r="K292" i="34"/>
  <c r="M292" i="34"/>
  <c r="O292" i="34"/>
  <c r="Q292" i="34"/>
  <c r="S292" i="34"/>
  <c r="T292" i="34"/>
  <c r="U292" i="34"/>
  <c r="V292" i="34"/>
  <c r="W292" i="34"/>
  <c r="X292" i="34"/>
  <c r="K293" i="34"/>
  <c r="M293" i="34"/>
  <c r="O293" i="34"/>
  <c r="Q293" i="34"/>
  <c r="S293" i="34"/>
  <c r="T293" i="34"/>
  <c r="U293" i="34"/>
  <c r="V293" i="34"/>
  <c r="W293" i="34"/>
  <c r="X293" i="34"/>
  <c r="K294" i="34"/>
  <c r="M294" i="34"/>
  <c r="O294" i="34"/>
  <c r="Q294" i="34"/>
  <c r="S294" i="34"/>
  <c r="T294" i="34"/>
  <c r="U294" i="34"/>
  <c r="V294" i="34"/>
  <c r="W294" i="34"/>
  <c r="X294" i="34"/>
  <c r="K295" i="34"/>
  <c r="M295" i="34"/>
  <c r="O295" i="34"/>
  <c r="Q295" i="34"/>
  <c r="S295" i="34"/>
  <c r="T295" i="34"/>
  <c r="U295" i="34"/>
  <c r="V295" i="34"/>
  <c r="W295" i="34"/>
  <c r="X295" i="34"/>
  <c r="K296" i="34"/>
  <c r="M296" i="34"/>
  <c r="O296" i="34"/>
  <c r="Q296" i="34"/>
  <c r="S296" i="34"/>
  <c r="T296" i="34"/>
  <c r="U296" i="34"/>
  <c r="V296" i="34"/>
  <c r="W296" i="34"/>
  <c r="X296" i="34"/>
  <c r="K297" i="34"/>
  <c r="M297" i="34"/>
  <c r="O297" i="34"/>
  <c r="Q297" i="34"/>
  <c r="S297" i="34"/>
  <c r="T297" i="34"/>
  <c r="U297" i="34"/>
  <c r="V297" i="34"/>
  <c r="W297" i="34"/>
  <c r="X297" i="34"/>
  <c r="K298" i="34"/>
  <c r="M298" i="34"/>
  <c r="O298" i="34"/>
  <c r="Q298" i="34"/>
  <c r="S298" i="34"/>
  <c r="T298" i="34"/>
  <c r="U298" i="34"/>
  <c r="V298" i="34"/>
  <c r="W298" i="34"/>
  <c r="X298" i="34"/>
  <c r="K299" i="34"/>
  <c r="M299" i="34"/>
  <c r="O299" i="34"/>
  <c r="Q299" i="34"/>
  <c r="S299" i="34"/>
  <c r="T299" i="34"/>
  <c r="U299" i="34"/>
  <c r="V299" i="34"/>
  <c r="W299" i="34"/>
  <c r="X299" i="34"/>
  <c r="K300" i="34"/>
  <c r="M300" i="34"/>
  <c r="O300" i="34"/>
  <c r="Q300" i="34"/>
  <c r="S300" i="34"/>
  <c r="T300" i="34"/>
  <c r="U300" i="34"/>
  <c r="V300" i="34"/>
  <c r="W300" i="34"/>
  <c r="X300" i="34"/>
  <c r="K301" i="34"/>
  <c r="M301" i="34"/>
  <c r="O301" i="34"/>
  <c r="Q301" i="34"/>
  <c r="S301" i="34"/>
  <c r="T301" i="34"/>
  <c r="U301" i="34"/>
  <c r="V301" i="34"/>
  <c r="W301" i="34"/>
  <c r="X301" i="34"/>
  <c r="K302" i="34"/>
  <c r="M302" i="34"/>
  <c r="O302" i="34"/>
  <c r="Q302" i="34"/>
  <c r="S302" i="34"/>
  <c r="T302" i="34"/>
  <c r="U302" i="34"/>
  <c r="V302" i="34"/>
  <c r="W302" i="34"/>
  <c r="X302" i="34"/>
  <c r="K303" i="34"/>
  <c r="M303" i="34"/>
  <c r="O303" i="34"/>
  <c r="Q303" i="34"/>
  <c r="S303" i="34"/>
  <c r="T303" i="34"/>
  <c r="U303" i="34"/>
  <c r="V303" i="34"/>
  <c r="W303" i="34"/>
  <c r="X303" i="34"/>
  <c r="K304" i="34"/>
  <c r="M304" i="34"/>
  <c r="O304" i="34"/>
  <c r="Q304" i="34"/>
  <c r="S304" i="34"/>
  <c r="T304" i="34"/>
  <c r="U304" i="34"/>
  <c r="V304" i="34"/>
  <c r="W304" i="34"/>
  <c r="X304" i="34"/>
  <c r="K305" i="34"/>
  <c r="M305" i="34"/>
  <c r="O305" i="34"/>
  <c r="Q305" i="34"/>
  <c r="S305" i="34"/>
  <c r="T305" i="34"/>
  <c r="U305" i="34"/>
  <c r="V305" i="34"/>
  <c r="W305" i="34"/>
  <c r="X305" i="34"/>
  <c r="K306" i="34"/>
  <c r="M306" i="34"/>
  <c r="O306" i="34"/>
  <c r="Q306" i="34"/>
  <c r="S306" i="34"/>
  <c r="T306" i="34"/>
  <c r="U306" i="34"/>
  <c r="V306" i="34"/>
  <c r="W306" i="34"/>
  <c r="X306" i="34"/>
  <c r="K307" i="34"/>
  <c r="M307" i="34"/>
  <c r="O307" i="34"/>
  <c r="Q307" i="34"/>
  <c r="S307" i="34"/>
  <c r="T307" i="34"/>
  <c r="U307" i="34"/>
  <c r="V307" i="34"/>
  <c r="W307" i="34"/>
  <c r="X307" i="34"/>
  <c r="K308" i="34"/>
  <c r="M308" i="34"/>
  <c r="O308" i="34"/>
  <c r="Q308" i="34"/>
  <c r="S308" i="34"/>
  <c r="T308" i="34"/>
  <c r="U308" i="34"/>
  <c r="V308" i="34"/>
  <c r="W308" i="34"/>
  <c r="X308" i="34"/>
  <c r="K309" i="34"/>
  <c r="M309" i="34"/>
  <c r="O309" i="34"/>
  <c r="Q309" i="34"/>
  <c r="S309" i="34"/>
  <c r="T309" i="34"/>
  <c r="U309" i="34"/>
  <c r="V309" i="34"/>
  <c r="W309" i="34"/>
  <c r="X309" i="34"/>
  <c r="K310" i="34"/>
  <c r="M310" i="34"/>
  <c r="O310" i="34"/>
  <c r="Q310" i="34"/>
  <c r="S310" i="34"/>
  <c r="T310" i="34"/>
  <c r="U310" i="34"/>
  <c r="V310" i="34"/>
  <c r="W310" i="34"/>
  <c r="X310" i="34"/>
  <c r="K311" i="34"/>
  <c r="M311" i="34"/>
  <c r="O311" i="34"/>
  <c r="Q311" i="34"/>
  <c r="S311" i="34"/>
  <c r="T311" i="34"/>
  <c r="U311" i="34"/>
  <c r="V311" i="34"/>
  <c r="W311" i="34"/>
  <c r="X311" i="34"/>
  <c r="K312" i="34"/>
  <c r="M312" i="34"/>
  <c r="O312" i="34"/>
  <c r="Q312" i="34"/>
  <c r="S312" i="34"/>
  <c r="T312" i="34"/>
  <c r="U312" i="34"/>
  <c r="V312" i="34"/>
  <c r="W312" i="34"/>
  <c r="X312" i="34"/>
  <c r="K313" i="34"/>
  <c r="M313" i="34"/>
  <c r="O313" i="34"/>
  <c r="Q313" i="34"/>
  <c r="S313" i="34"/>
  <c r="T313" i="34"/>
  <c r="U313" i="34"/>
  <c r="V313" i="34"/>
  <c r="W313" i="34"/>
  <c r="X313" i="34"/>
  <c r="K314" i="34"/>
  <c r="M314" i="34"/>
  <c r="O314" i="34"/>
  <c r="Q314" i="34"/>
  <c r="S314" i="34"/>
  <c r="T314" i="34"/>
  <c r="U314" i="34"/>
  <c r="V314" i="34"/>
  <c r="W314" i="34"/>
  <c r="X314" i="34"/>
  <c r="K315" i="34"/>
  <c r="M315" i="34"/>
  <c r="O315" i="34"/>
  <c r="Q315" i="34"/>
  <c r="S315" i="34"/>
  <c r="T315" i="34"/>
  <c r="U315" i="34"/>
  <c r="V315" i="34"/>
  <c r="W315" i="34"/>
  <c r="X315" i="34"/>
  <c r="K316" i="34"/>
  <c r="M316" i="34"/>
  <c r="O316" i="34"/>
  <c r="Q316" i="34"/>
  <c r="S316" i="34"/>
  <c r="T316" i="34"/>
  <c r="U316" i="34"/>
  <c r="V316" i="34"/>
  <c r="W316" i="34"/>
  <c r="X316" i="34"/>
  <c r="K317" i="34"/>
  <c r="M317" i="34"/>
  <c r="O317" i="34"/>
  <c r="Q317" i="34"/>
  <c r="S317" i="34"/>
  <c r="T317" i="34"/>
  <c r="U317" i="34"/>
  <c r="V317" i="34"/>
  <c r="W317" i="34"/>
  <c r="X317" i="34"/>
  <c r="K318" i="34"/>
  <c r="M318" i="34"/>
  <c r="O318" i="34"/>
  <c r="Q318" i="34"/>
  <c r="S318" i="34"/>
  <c r="T318" i="34"/>
  <c r="U318" i="34"/>
  <c r="V318" i="34"/>
  <c r="W318" i="34"/>
  <c r="X318" i="34"/>
  <c r="K319" i="34"/>
  <c r="M319" i="34"/>
  <c r="O319" i="34"/>
  <c r="Q319" i="34"/>
  <c r="S319" i="34"/>
  <c r="T319" i="34"/>
  <c r="U319" i="34"/>
  <c r="V319" i="34"/>
  <c r="W319" i="34"/>
  <c r="X319" i="34"/>
  <c r="K320" i="34"/>
  <c r="M320" i="34"/>
  <c r="O320" i="34"/>
  <c r="Q320" i="34"/>
  <c r="S320" i="34"/>
  <c r="T320" i="34"/>
  <c r="U320" i="34"/>
  <c r="V320" i="34"/>
  <c r="W320" i="34"/>
  <c r="X320" i="34"/>
  <c r="K321" i="34"/>
  <c r="M321" i="34"/>
  <c r="O321" i="34"/>
  <c r="Q321" i="34"/>
  <c r="S321" i="34"/>
  <c r="T321" i="34"/>
  <c r="U321" i="34"/>
  <c r="V321" i="34"/>
  <c r="W321" i="34"/>
  <c r="X321" i="34"/>
  <c r="K322" i="34"/>
  <c r="M322" i="34"/>
  <c r="O322" i="34"/>
  <c r="Q322" i="34"/>
  <c r="S322" i="34"/>
  <c r="T322" i="34"/>
  <c r="U322" i="34"/>
  <c r="V322" i="34"/>
  <c r="W322" i="34"/>
  <c r="X322" i="34"/>
  <c r="K323" i="34"/>
  <c r="M323" i="34"/>
  <c r="O323" i="34"/>
  <c r="Q323" i="34"/>
  <c r="S323" i="34"/>
  <c r="T323" i="34"/>
  <c r="U323" i="34"/>
  <c r="V323" i="34"/>
  <c r="W323" i="34"/>
  <c r="X323" i="34"/>
  <c r="K324" i="34"/>
  <c r="M324" i="34"/>
  <c r="O324" i="34"/>
  <c r="Q324" i="34"/>
  <c r="S324" i="34"/>
  <c r="T324" i="34"/>
  <c r="U324" i="34"/>
  <c r="V324" i="34"/>
  <c r="W324" i="34"/>
  <c r="X324" i="34"/>
  <c r="K325" i="34"/>
  <c r="M325" i="34"/>
  <c r="O325" i="34"/>
  <c r="Q325" i="34"/>
  <c r="S325" i="34"/>
  <c r="T325" i="34"/>
  <c r="U325" i="34"/>
  <c r="V325" i="34"/>
  <c r="W325" i="34"/>
  <c r="X325" i="34"/>
  <c r="K326" i="34"/>
  <c r="M326" i="34"/>
  <c r="O326" i="34"/>
  <c r="Q326" i="34"/>
  <c r="S326" i="34"/>
  <c r="T326" i="34"/>
  <c r="U326" i="34"/>
  <c r="V326" i="34"/>
  <c r="W326" i="34"/>
  <c r="X326" i="34"/>
  <c r="K327" i="34"/>
  <c r="M327" i="34"/>
  <c r="O327" i="34"/>
  <c r="Q327" i="34"/>
  <c r="S327" i="34"/>
  <c r="T327" i="34"/>
  <c r="U327" i="34"/>
  <c r="V327" i="34"/>
  <c r="W327" i="34"/>
  <c r="X327" i="34"/>
  <c r="K328" i="34"/>
  <c r="M328" i="34"/>
  <c r="O328" i="34"/>
  <c r="Q328" i="34"/>
  <c r="S328" i="34"/>
  <c r="T328" i="34"/>
  <c r="U328" i="34"/>
  <c r="V328" i="34"/>
  <c r="W328" i="34"/>
  <c r="X328" i="34"/>
  <c r="K329" i="34"/>
  <c r="M329" i="34"/>
  <c r="O329" i="34"/>
  <c r="Q329" i="34"/>
  <c r="S329" i="34"/>
  <c r="T329" i="34"/>
  <c r="U329" i="34"/>
  <c r="V329" i="34"/>
  <c r="W329" i="34"/>
  <c r="X329" i="34"/>
  <c r="K330" i="34"/>
  <c r="M330" i="34"/>
  <c r="O330" i="34"/>
  <c r="Q330" i="34"/>
  <c r="S330" i="34"/>
  <c r="T330" i="34"/>
  <c r="U330" i="34"/>
  <c r="V330" i="34"/>
  <c r="W330" i="34"/>
  <c r="X330" i="34"/>
  <c r="K331" i="34"/>
  <c r="M331" i="34"/>
  <c r="O331" i="34"/>
  <c r="Q331" i="34"/>
  <c r="S331" i="34"/>
  <c r="T331" i="34"/>
  <c r="U331" i="34"/>
  <c r="V331" i="34"/>
  <c r="W331" i="34"/>
  <c r="X331" i="34"/>
  <c r="K332" i="34"/>
  <c r="M332" i="34"/>
  <c r="O332" i="34"/>
  <c r="Q332" i="34"/>
  <c r="S332" i="34"/>
  <c r="T332" i="34"/>
  <c r="U332" i="34"/>
  <c r="V332" i="34"/>
  <c r="W332" i="34"/>
  <c r="X332" i="34"/>
  <c r="K333" i="34"/>
  <c r="M333" i="34"/>
  <c r="O333" i="34"/>
  <c r="Q333" i="34"/>
  <c r="S333" i="34"/>
  <c r="T333" i="34"/>
  <c r="U333" i="34"/>
  <c r="V333" i="34"/>
  <c r="W333" i="34"/>
  <c r="X333" i="34"/>
  <c r="K334" i="34"/>
  <c r="M334" i="34"/>
  <c r="O334" i="34"/>
  <c r="Q334" i="34"/>
  <c r="S334" i="34"/>
  <c r="T334" i="34"/>
  <c r="U334" i="34"/>
  <c r="V334" i="34"/>
  <c r="W334" i="34"/>
  <c r="X334" i="34"/>
  <c r="K335" i="34"/>
  <c r="M335" i="34"/>
  <c r="O335" i="34"/>
  <c r="Q335" i="34"/>
  <c r="S335" i="34"/>
  <c r="T335" i="34"/>
  <c r="U335" i="34"/>
  <c r="V335" i="34"/>
  <c r="W335" i="34"/>
  <c r="X335" i="34"/>
  <c r="K336" i="34"/>
  <c r="M336" i="34"/>
  <c r="O336" i="34"/>
  <c r="Q336" i="34"/>
  <c r="S336" i="34"/>
  <c r="T336" i="34"/>
  <c r="U336" i="34"/>
  <c r="V336" i="34"/>
  <c r="W336" i="34"/>
  <c r="X336" i="34"/>
  <c r="X330" i="32" l="1"/>
  <c r="W330" i="32"/>
  <c r="V330" i="32"/>
  <c r="U330" i="32"/>
  <c r="T330" i="32"/>
  <c r="S330" i="32"/>
  <c r="Q330" i="32"/>
  <c r="O330" i="32"/>
  <c r="M330" i="32"/>
  <c r="K330" i="32"/>
  <c r="X329" i="32"/>
  <c r="W329" i="32"/>
  <c r="V329" i="32"/>
  <c r="U329" i="32"/>
  <c r="T329" i="32"/>
  <c r="S329" i="32"/>
  <c r="Q329" i="32"/>
  <c r="O329" i="32"/>
  <c r="M329" i="32"/>
  <c r="K329" i="32"/>
  <c r="X328" i="32"/>
  <c r="W328" i="32"/>
  <c r="V328" i="32"/>
  <c r="U328" i="32"/>
  <c r="T328" i="32"/>
  <c r="S328" i="32"/>
  <c r="Q328" i="32"/>
  <c r="O328" i="32"/>
  <c r="M328" i="32"/>
  <c r="K328" i="32"/>
  <c r="X327" i="32"/>
  <c r="W327" i="32"/>
  <c r="V327" i="32"/>
  <c r="U327" i="32"/>
  <c r="T327" i="32"/>
  <c r="S327" i="32"/>
  <c r="Q327" i="32"/>
  <c r="O327" i="32"/>
  <c r="M327" i="32"/>
  <c r="K327" i="32"/>
  <c r="X326" i="32"/>
  <c r="W326" i="32"/>
  <c r="V326" i="32"/>
  <c r="U326" i="32"/>
  <c r="T326" i="32"/>
  <c r="S326" i="32"/>
  <c r="Q326" i="32"/>
  <c r="O326" i="32"/>
  <c r="M326" i="32"/>
  <c r="K326" i="32"/>
  <c r="X325" i="32"/>
  <c r="W325" i="32"/>
  <c r="V325" i="32"/>
  <c r="U325" i="32"/>
  <c r="T325" i="32"/>
  <c r="S325" i="32"/>
  <c r="Q325" i="32"/>
  <c r="O325" i="32"/>
  <c r="M325" i="32"/>
  <c r="K325" i="32"/>
  <c r="X324" i="32"/>
  <c r="W324" i="32"/>
  <c r="V324" i="32"/>
  <c r="U324" i="32"/>
  <c r="T324" i="32"/>
  <c r="S324" i="32"/>
  <c r="Q324" i="32"/>
  <c r="O324" i="32"/>
  <c r="M324" i="32"/>
  <c r="K324" i="32"/>
  <c r="X323" i="32"/>
  <c r="W323" i="32"/>
  <c r="V323" i="32"/>
  <c r="U323" i="32"/>
  <c r="T323" i="32"/>
  <c r="S323" i="32"/>
  <c r="Q323" i="32"/>
  <c r="O323" i="32"/>
  <c r="M323" i="32"/>
  <c r="K323" i="32"/>
  <c r="X322" i="32"/>
  <c r="W322" i="32"/>
  <c r="V322" i="32"/>
  <c r="U322" i="32"/>
  <c r="T322" i="32"/>
  <c r="S322" i="32"/>
  <c r="Q322" i="32"/>
  <c r="O322" i="32"/>
  <c r="M322" i="32"/>
  <c r="K322" i="32"/>
  <c r="X321" i="32"/>
  <c r="W321" i="32"/>
  <c r="V321" i="32"/>
  <c r="U321" i="32"/>
  <c r="T321" i="32"/>
  <c r="S321" i="32"/>
  <c r="Q321" i="32"/>
  <c r="O321" i="32"/>
  <c r="M321" i="32"/>
  <c r="K321" i="32"/>
  <c r="X320" i="32"/>
  <c r="W320" i="32"/>
  <c r="V320" i="32"/>
  <c r="U320" i="32"/>
  <c r="T320" i="32"/>
  <c r="S320" i="32"/>
  <c r="Q320" i="32"/>
  <c r="O320" i="32"/>
  <c r="M320" i="32"/>
  <c r="K320" i="32"/>
  <c r="X319" i="32"/>
  <c r="W319" i="32"/>
  <c r="V319" i="32"/>
  <c r="U319" i="32"/>
  <c r="T319" i="32"/>
  <c r="S319" i="32"/>
  <c r="Q319" i="32"/>
  <c r="O319" i="32"/>
  <c r="M319" i="32"/>
  <c r="K319" i="32"/>
  <c r="X318" i="32"/>
  <c r="W318" i="32"/>
  <c r="V318" i="32"/>
  <c r="U318" i="32"/>
  <c r="T318" i="32"/>
  <c r="S318" i="32"/>
  <c r="Q318" i="32"/>
  <c r="O318" i="32"/>
  <c r="M318" i="32"/>
  <c r="K318" i="32"/>
  <c r="X317" i="32"/>
  <c r="W317" i="32"/>
  <c r="V317" i="32"/>
  <c r="U317" i="32"/>
  <c r="T317" i="32"/>
  <c r="S317" i="32"/>
  <c r="Q317" i="32"/>
  <c r="O317" i="32"/>
  <c r="M317" i="32"/>
  <c r="K317" i="32"/>
  <c r="X316" i="32"/>
  <c r="W316" i="32"/>
  <c r="V316" i="32"/>
  <c r="U316" i="32"/>
  <c r="T316" i="32"/>
  <c r="S316" i="32"/>
  <c r="Q316" i="32"/>
  <c r="O316" i="32"/>
  <c r="M316" i="32"/>
  <c r="K316" i="32"/>
  <c r="X315" i="32"/>
  <c r="W315" i="32"/>
  <c r="V315" i="32"/>
  <c r="U315" i="32"/>
  <c r="T315" i="32"/>
  <c r="S315" i="32"/>
  <c r="Q315" i="32"/>
  <c r="O315" i="32"/>
  <c r="M315" i="32"/>
  <c r="K315" i="32"/>
  <c r="X314" i="32"/>
  <c r="W314" i="32"/>
  <c r="V314" i="32"/>
  <c r="U314" i="32"/>
  <c r="T314" i="32"/>
  <c r="S314" i="32"/>
  <c r="Q314" i="32"/>
  <c r="O314" i="32"/>
  <c r="M314" i="32"/>
  <c r="K314" i="32"/>
  <c r="X313" i="32"/>
  <c r="W313" i="32"/>
  <c r="V313" i="32"/>
  <c r="U313" i="32"/>
  <c r="T313" i="32"/>
  <c r="S313" i="32"/>
  <c r="Q313" i="32"/>
  <c r="O313" i="32"/>
  <c r="M313" i="32"/>
  <c r="K313" i="32"/>
  <c r="X312" i="32"/>
  <c r="W312" i="32"/>
  <c r="V312" i="32"/>
  <c r="U312" i="32"/>
  <c r="T312" i="32"/>
  <c r="S312" i="32"/>
  <c r="Q312" i="32"/>
  <c r="O312" i="32"/>
  <c r="M312" i="32"/>
  <c r="K312" i="32"/>
  <c r="X311" i="32"/>
  <c r="W311" i="32"/>
  <c r="V311" i="32"/>
  <c r="U311" i="32"/>
  <c r="T311" i="32"/>
  <c r="S311" i="32"/>
  <c r="Q311" i="32"/>
  <c r="O311" i="32"/>
  <c r="M311" i="32"/>
  <c r="K311" i="32"/>
  <c r="X310" i="32"/>
  <c r="W310" i="32"/>
  <c r="V310" i="32"/>
  <c r="U310" i="32"/>
  <c r="T310" i="32"/>
  <c r="S310" i="32"/>
  <c r="Q310" i="32"/>
  <c r="O310" i="32"/>
  <c r="M310" i="32"/>
  <c r="K310" i="32"/>
  <c r="X309" i="32"/>
  <c r="W309" i="32"/>
  <c r="V309" i="32"/>
  <c r="U309" i="32"/>
  <c r="T309" i="32"/>
  <c r="S309" i="32"/>
  <c r="Q309" i="32"/>
  <c r="O309" i="32"/>
  <c r="M309" i="32"/>
  <c r="K309" i="32"/>
  <c r="X308" i="32"/>
  <c r="W308" i="32"/>
  <c r="V308" i="32"/>
  <c r="U308" i="32"/>
  <c r="T308" i="32"/>
  <c r="S308" i="32"/>
  <c r="Q308" i="32"/>
  <c r="O308" i="32"/>
  <c r="M308" i="32"/>
  <c r="K308" i="32"/>
  <c r="X307" i="32"/>
  <c r="W307" i="32"/>
  <c r="V307" i="32"/>
  <c r="U307" i="32"/>
  <c r="T307" i="32"/>
  <c r="S307" i="32"/>
  <c r="Q307" i="32"/>
  <c r="O307" i="32"/>
  <c r="M307" i="32"/>
  <c r="K307" i="32"/>
  <c r="X306" i="32"/>
  <c r="W306" i="32"/>
  <c r="V306" i="32"/>
  <c r="U306" i="32"/>
  <c r="T306" i="32"/>
  <c r="S306" i="32"/>
  <c r="Q306" i="32"/>
  <c r="O306" i="32"/>
  <c r="M306" i="32"/>
  <c r="K306" i="32"/>
  <c r="X305" i="32"/>
  <c r="W305" i="32"/>
  <c r="V305" i="32"/>
  <c r="U305" i="32"/>
  <c r="T305" i="32"/>
  <c r="S305" i="32"/>
  <c r="Q305" i="32"/>
  <c r="O305" i="32"/>
  <c r="M305" i="32"/>
  <c r="K305" i="32"/>
  <c r="X304" i="32"/>
  <c r="W304" i="32"/>
  <c r="V304" i="32"/>
  <c r="U304" i="32"/>
  <c r="T304" i="32"/>
  <c r="S304" i="32"/>
  <c r="Q304" i="32"/>
  <c r="O304" i="32"/>
  <c r="M304" i="32"/>
  <c r="K304" i="32"/>
  <c r="X303" i="32"/>
  <c r="W303" i="32"/>
  <c r="V303" i="32"/>
  <c r="U303" i="32"/>
  <c r="T303" i="32"/>
  <c r="S303" i="32"/>
  <c r="Q303" i="32"/>
  <c r="O303" i="32"/>
  <c r="M303" i="32"/>
  <c r="K303" i="32"/>
  <c r="X302" i="32"/>
  <c r="W302" i="32"/>
  <c r="V302" i="32"/>
  <c r="U302" i="32"/>
  <c r="T302" i="32"/>
  <c r="S302" i="32"/>
  <c r="Q302" i="32"/>
  <c r="O302" i="32"/>
  <c r="M302" i="32"/>
  <c r="K302" i="32"/>
  <c r="X301" i="32"/>
  <c r="W301" i="32"/>
  <c r="V301" i="32"/>
  <c r="U301" i="32"/>
  <c r="T301" i="32"/>
  <c r="S301" i="32"/>
  <c r="Q301" i="32"/>
  <c r="O301" i="32"/>
  <c r="M301" i="32"/>
  <c r="K301" i="32"/>
  <c r="X300" i="32"/>
  <c r="W300" i="32"/>
  <c r="V300" i="32"/>
  <c r="U300" i="32"/>
  <c r="T300" i="32"/>
  <c r="S300" i="32"/>
  <c r="Q300" i="32"/>
  <c r="O300" i="32"/>
  <c r="M300" i="32"/>
  <c r="K300" i="32"/>
  <c r="X299" i="32"/>
  <c r="W299" i="32"/>
  <c r="V299" i="32"/>
  <c r="U299" i="32"/>
  <c r="T299" i="32"/>
  <c r="S299" i="32"/>
  <c r="Q299" i="32"/>
  <c r="O299" i="32"/>
  <c r="M299" i="32"/>
  <c r="K299" i="32"/>
  <c r="X298" i="32"/>
  <c r="W298" i="32"/>
  <c r="V298" i="32"/>
  <c r="U298" i="32"/>
  <c r="T298" i="32"/>
  <c r="S298" i="32"/>
  <c r="Q298" i="32"/>
  <c r="O298" i="32"/>
  <c r="M298" i="32"/>
  <c r="K298" i="32"/>
  <c r="X297" i="32"/>
  <c r="W297" i="32"/>
  <c r="V297" i="32"/>
  <c r="U297" i="32"/>
  <c r="T297" i="32"/>
  <c r="S297" i="32"/>
  <c r="Q297" i="32"/>
  <c r="O297" i="32"/>
  <c r="M297" i="32"/>
  <c r="K297" i="32"/>
  <c r="X296" i="32"/>
  <c r="W296" i="32"/>
  <c r="V296" i="32"/>
  <c r="U296" i="32"/>
  <c r="T296" i="32"/>
  <c r="S296" i="32"/>
  <c r="Q296" i="32"/>
  <c r="O296" i="32"/>
  <c r="M296" i="32"/>
  <c r="K296" i="32"/>
  <c r="X295" i="32"/>
  <c r="W295" i="32"/>
  <c r="V295" i="32"/>
  <c r="U295" i="32"/>
  <c r="T295" i="32"/>
  <c r="S295" i="32"/>
  <c r="Q295" i="32"/>
  <c r="O295" i="32"/>
  <c r="M295" i="32"/>
  <c r="K295" i="32"/>
  <c r="X294" i="32"/>
  <c r="W294" i="32"/>
  <c r="V294" i="32"/>
  <c r="U294" i="32"/>
  <c r="T294" i="32"/>
  <c r="S294" i="32"/>
  <c r="Q294" i="32"/>
  <c r="O294" i="32"/>
  <c r="M294" i="32"/>
  <c r="K294" i="32"/>
  <c r="X293" i="32"/>
  <c r="W293" i="32"/>
  <c r="V293" i="32"/>
  <c r="U293" i="32"/>
  <c r="T293" i="32"/>
  <c r="S293" i="32"/>
  <c r="Q293" i="32"/>
  <c r="O293" i="32"/>
  <c r="M293" i="32"/>
  <c r="K293" i="32"/>
  <c r="X292" i="32"/>
  <c r="W292" i="32"/>
  <c r="V292" i="32"/>
  <c r="U292" i="32"/>
  <c r="T292" i="32"/>
  <c r="S292" i="32"/>
  <c r="Q292" i="32"/>
  <c r="O292" i="32"/>
  <c r="M292" i="32"/>
  <c r="K292" i="32"/>
  <c r="X291" i="32"/>
  <c r="W291" i="32"/>
  <c r="V291" i="32"/>
  <c r="U291" i="32"/>
  <c r="T291" i="32"/>
  <c r="S291" i="32"/>
  <c r="Q291" i="32"/>
  <c r="O291" i="32"/>
  <c r="M291" i="32"/>
  <c r="K291" i="32"/>
  <c r="X290" i="32"/>
  <c r="W290" i="32"/>
  <c r="V290" i="32"/>
  <c r="U290" i="32"/>
  <c r="T290" i="32"/>
  <c r="S290" i="32"/>
  <c r="Q290" i="32"/>
  <c r="O290" i="32"/>
  <c r="M290" i="32"/>
  <c r="K290" i="32"/>
  <c r="X289" i="32"/>
  <c r="W289" i="32"/>
  <c r="V289" i="32"/>
  <c r="U289" i="32"/>
  <c r="T289" i="32"/>
  <c r="S289" i="32"/>
  <c r="Q289" i="32"/>
  <c r="O289" i="32"/>
  <c r="M289" i="32"/>
  <c r="K289" i="32"/>
  <c r="X288" i="32"/>
  <c r="W288" i="32"/>
  <c r="V288" i="32"/>
  <c r="U288" i="32"/>
  <c r="T288" i="32"/>
  <c r="S288" i="32"/>
  <c r="Q288" i="32"/>
  <c r="O288" i="32"/>
  <c r="M288" i="32"/>
  <c r="K288" i="32"/>
  <c r="X287" i="32"/>
  <c r="W287" i="32"/>
  <c r="V287" i="32"/>
  <c r="U287" i="32"/>
  <c r="T287" i="32"/>
  <c r="S287" i="32"/>
  <c r="Q287" i="32"/>
  <c r="O287" i="32"/>
  <c r="M287" i="32"/>
  <c r="K287" i="32"/>
  <c r="X286" i="32"/>
  <c r="W286" i="32"/>
  <c r="V286" i="32"/>
  <c r="U286" i="32"/>
  <c r="T286" i="32"/>
  <c r="S286" i="32"/>
  <c r="Q286" i="32"/>
  <c r="O286" i="32"/>
  <c r="M286" i="32"/>
  <c r="K286" i="32"/>
  <c r="X285" i="32"/>
  <c r="W285" i="32"/>
  <c r="V285" i="32"/>
  <c r="U285" i="32"/>
  <c r="T285" i="32"/>
  <c r="S285" i="32"/>
  <c r="Q285" i="32"/>
  <c r="O285" i="32"/>
  <c r="M285" i="32"/>
  <c r="K285" i="32"/>
  <c r="X284" i="32"/>
  <c r="W284" i="32"/>
  <c r="V284" i="32"/>
  <c r="U284" i="32"/>
  <c r="T284" i="32"/>
  <c r="S284" i="32"/>
  <c r="Q284" i="32"/>
  <c r="O284" i="32"/>
  <c r="M284" i="32"/>
  <c r="K284" i="32"/>
  <c r="X283" i="32"/>
  <c r="W283" i="32"/>
  <c r="V283" i="32"/>
  <c r="U283" i="32"/>
  <c r="T283" i="32"/>
  <c r="S283" i="32"/>
  <c r="Q283" i="32"/>
  <c r="O283" i="32"/>
  <c r="M283" i="32"/>
  <c r="K283" i="32"/>
  <c r="X282" i="32"/>
  <c r="W282" i="32"/>
  <c r="V282" i="32"/>
  <c r="U282" i="32"/>
  <c r="T282" i="32"/>
  <c r="S282" i="32"/>
  <c r="Q282" i="32"/>
  <c r="O282" i="32"/>
  <c r="M282" i="32"/>
  <c r="K282" i="32"/>
  <c r="X281" i="32"/>
  <c r="W281" i="32"/>
  <c r="V281" i="32"/>
  <c r="U281" i="32"/>
  <c r="T281" i="32"/>
  <c r="S281" i="32"/>
  <c r="Q281" i="32"/>
  <c r="O281" i="32"/>
  <c r="M281" i="32"/>
  <c r="K281" i="32"/>
  <c r="X280" i="32"/>
  <c r="W280" i="32"/>
  <c r="V280" i="32"/>
  <c r="U280" i="32"/>
  <c r="T280" i="32"/>
  <c r="S280" i="32"/>
  <c r="Q280" i="32"/>
  <c r="O280" i="32"/>
  <c r="M280" i="32"/>
  <c r="K280" i="32"/>
  <c r="X279" i="32"/>
  <c r="W279" i="32"/>
  <c r="V279" i="32"/>
  <c r="U279" i="32"/>
  <c r="T279" i="32"/>
  <c r="S279" i="32"/>
  <c r="Q279" i="32"/>
  <c r="O279" i="32"/>
  <c r="M279" i="32"/>
  <c r="K279" i="32"/>
  <c r="X278" i="32"/>
  <c r="W278" i="32"/>
  <c r="V278" i="32"/>
  <c r="U278" i="32"/>
  <c r="T278" i="32"/>
  <c r="S278" i="32"/>
  <c r="Q278" i="32"/>
  <c r="O278" i="32"/>
  <c r="M278" i="32"/>
  <c r="K278" i="32"/>
  <c r="X277" i="32"/>
  <c r="W277" i="32"/>
  <c r="V277" i="32"/>
  <c r="U277" i="32"/>
  <c r="T277" i="32"/>
  <c r="S277" i="32"/>
  <c r="Q277" i="32"/>
  <c r="O277" i="32"/>
  <c r="M277" i="32"/>
  <c r="K277" i="32"/>
  <c r="X276" i="32"/>
  <c r="W276" i="32"/>
  <c r="V276" i="32"/>
  <c r="U276" i="32"/>
  <c r="T276" i="32"/>
  <c r="S276" i="32"/>
  <c r="Q276" i="32"/>
  <c r="O276" i="32"/>
  <c r="M276" i="32"/>
  <c r="K276" i="32"/>
  <c r="X275" i="32"/>
  <c r="W275" i="32"/>
  <c r="V275" i="32"/>
  <c r="U275" i="32"/>
  <c r="T275" i="32"/>
  <c r="S275" i="32"/>
  <c r="Q275" i="32"/>
  <c r="O275" i="32"/>
  <c r="M275" i="32"/>
  <c r="K275" i="32"/>
  <c r="X274" i="32"/>
  <c r="W274" i="32"/>
  <c r="V274" i="32"/>
  <c r="U274" i="32"/>
  <c r="T274" i="32"/>
  <c r="S274" i="32"/>
  <c r="Q274" i="32"/>
  <c r="O274" i="32"/>
  <c r="M274" i="32"/>
  <c r="K274" i="32"/>
  <c r="X273" i="32"/>
  <c r="W273" i="32"/>
  <c r="V273" i="32"/>
  <c r="U273" i="32"/>
  <c r="T273" i="32"/>
  <c r="S273" i="32"/>
  <c r="Q273" i="32"/>
  <c r="O273" i="32"/>
  <c r="M273" i="32"/>
  <c r="K273" i="32"/>
  <c r="X272" i="32"/>
  <c r="W272" i="32"/>
  <c r="V272" i="32"/>
  <c r="U272" i="32"/>
  <c r="T272" i="32"/>
  <c r="S272" i="32"/>
  <c r="Q272" i="32"/>
  <c r="O272" i="32"/>
  <c r="M272" i="32"/>
  <c r="K272" i="32"/>
  <c r="X271" i="32"/>
  <c r="W271" i="32"/>
  <c r="V271" i="32"/>
  <c r="U271" i="32"/>
  <c r="T271" i="32"/>
  <c r="S271" i="32"/>
  <c r="Q271" i="32"/>
  <c r="O271" i="32"/>
  <c r="M271" i="32"/>
  <c r="K271" i="32"/>
  <c r="X270" i="32"/>
  <c r="W270" i="32"/>
  <c r="V270" i="32"/>
  <c r="U270" i="32"/>
  <c r="T270" i="32"/>
  <c r="S270" i="32"/>
  <c r="Q270" i="32"/>
  <c r="O270" i="32"/>
  <c r="M270" i="32"/>
  <c r="K270" i="32"/>
  <c r="X269" i="32"/>
  <c r="W269" i="32"/>
  <c r="V269" i="32"/>
  <c r="U269" i="32"/>
  <c r="T269" i="32"/>
  <c r="S269" i="32"/>
  <c r="Q269" i="32"/>
  <c r="O269" i="32"/>
  <c r="M269" i="32"/>
  <c r="K269" i="32"/>
  <c r="X268" i="32"/>
  <c r="W268" i="32"/>
  <c r="V268" i="32"/>
  <c r="U268" i="32"/>
  <c r="T268" i="32"/>
  <c r="S268" i="32"/>
  <c r="Q268" i="32"/>
  <c r="O268" i="32"/>
  <c r="M268" i="32"/>
  <c r="K268" i="32"/>
  <c r="X267" i="32"/>
  <c r="W267" i="32"/>
  <c r="V267" i="32"/>
  <c r="U267" i="32"/>
  <c r="T267" i="32"/>
  <c r="S267" i="32"/>
  <c r="Q267" i="32"/>
  <c r="O267" i="32"/>
  <c r="M267" i="32"/>
  <c r="K267" i="32"/>
  <c r="X266" i="32"/>
  <c r="W266" i="32"/>
  <c r="V266" i="32"/>
  <c r="U266" i="32"/>
  <c r="T266" i="32"/>
  <c r="S266" i="32"/>
  <c r="Q266" i="32"/>
  <c r="O266" i="32"/>
  <c r="M266" i="32"/>
  <c r="K266" i="32"/>
  <c r="X265" i="32"/>
  <c r="W265" i="32"/>
  <c r="V265" i="32"/>
  <c r="U265" i="32"/>
  <c r="T265" i="32"/>
  <c r="S265" i="32"/>
  <c r="Q265" i="32"/>
  <c r="O265" i="32"/>
  <c r="M265" i="32"/>
  <c r="K265" i="32"/>
  <c r="X264" i="32"/>
  <c r="W264" i="32"/>
  <c r="V264" i="32"/>
  <c r="U264" i="32"/>
  <c r="T264" i="32"/>
  <c r="S264" i="32"/>
  <c r="Q264" i="32"/>
  <c r="O264" i="32"/>
  <c r="M264" i="32"/>
  <c r="K264" i="32"/>
  <c r="X263" i="32"/>
  <c r="W263" i="32"/>
  <c r="V263" i="32"/>
  <c r="U263" i="32"/>
  <c r="T263" i="32"/>
  <c r="S263" i="32"/>
  <c r="Q263" i="32"/>
  <c r="O263" i="32"/>
  <c r="M263" i="32"/>
  <c r="K263" i="32"/>
  <c r="X262" i="32"/>
  <c r="W262" i="32"/>
  <c r="V262" i="32"/>
  <c r="U262" i="32"/>
  <c r="T262" i="32"/>
  <c r="S262" i="32"/>
  <c r="Q262" i="32"/>
  <c r="O262" i="32"/>
  <c r="M262" i="32"/>
  <c r="K262" i="32"/>
  <c r="X261" i="32"/>
  <c r="W261" i="32"/>
  <c r="V261" i="32"/>
  <c r="U261" i="32"/>
  <c r="T261" i="32"/>
  <c r="S261" i="32"/>
  <c r="Q261" i="32"/>
  <c r="O261" i="32"/>
  <c r="M261" i="32"/>
  <c r="K261" i="32"/>
  <c r="X260" i="32"/>
  <c r="W260" i="32"/>
  <c r="V260" i="32"/>
  <c r="U260" i="32"/>
  <c r="T260" i="32"/>
  <c r="S260" i="32"/>
  <c r="Q260" i="32"/>
  <c r="O260" i="32"/>
  <c r="M260" i="32"/>
  <c r="K260" i="32"/>
  <c r="X259" i="32"/>
  <c r="W259" i="32"/>
  <c r="V259" i="32"/>
  <c r="U259" i="32"/>
  <c r="T259" i="32"/>
  <c r="S259" i="32"/>
  <c r="Q259" i="32"/>
  <c r="O259" i="32"/>
  <c r="M259" i="32"/>
  <c r="K259" i="32"/>
  <c r="X258" i="32"/>
  <c r="W258" i="32"/>
  <c r="V258" i="32"/>
  <c r="U258" i="32"/>
  <c r="T258" i="32"/>
  <c r="S258" i="32"/>
  <c r="Q258" i="32"/>
  <c r="O258" i="32"/>
  <c r="M258" i="32"/>
  <c r="K258" i="32"/>
  <c r="X257" i="32"/>
  <c r="W257" i="32"/>
  <c r="V257" i="32"/>
  <c r="U257" i="32"/>
  <c r="T257" i="32"/>
  <c r="S257" i="32"/>
  <c r="Q257" i="32"/>
  <c r="O257" i="32"/>
  <c r="M257" i="32"/>
  <c r="K257" i="32"/>
  <c r="X256" i="32"/>
  <c r="W256" i="32"/>
  <c r="V256" i="32"/>
  <c r="U256" i="32"/>
  <c r="T256" i="32"/>
  <c r="S256" i="32"/>
  <c r="Q256" i="32"/>
  <c r="O256" i="32"/>
  <c r="M256" i="32"/>
  <c r="K256" i="32"/>
  <c r="X255" i="32"/>
  <c r="W255" i="32"/>
  <c r="V255" i="32"/>
  <c r="U255" i="32"/>
  <c r="T255" i="32"/>
  <c r="S255" i="32"/>
  <c r="Q255" i="32"/>
  <c r="O255" i="32"/>
  <c r="M255" i="32"/>
  <c r="K255" i="32"/>
  <c r="X254" i="32"/>
  <c r="W254" i="32"/>
  <c r="V254" i="32"/>
  <c r="U254" i="32"/>
  <c r="T254" i="32"/>
  <c r="S254" i="32"/>
  <c r="Q254" i="32"/>
  <c r="O254" i="32"/>
  <c r="M254" i="32"/>
  <c r="K254" i="32"/>
  <c r="X253" i="32"/>
  <c r="W253" i="32"/>
  <c r="V253" i="32"/>
  <c r="U253" i="32"/>
  <c r="T253" i="32"/>
  <c r="S253" i="32"/>
  <c r="Q253" i="32"/>
  <c r="O253" i="32"/>
  <c r="M253" i="32"/>
  <c r="K253" i="32"/>
  <c r="X252" i="32"/>
  <c r="W252" i="32"/>
  <c r="V252" i="32"/>
  <c r="U252" i="32"/>
  <c r="T252" i="32"/>
  <c r="S252" i="32"/>
  <c r="Q252" i="32"/>
  <c r="O252" i="32"/>
  <c r="M252" i="32"/>
  <c r="K252" i="32"/>
  <c r="X251" i="32"/>
  <c r="W251" i="32"/>
  <c r="V251" i="32"/>
  <c r="U251" i="32"/>
  <c r="T251" i="32"/>
  <c r="S251" i="32"/>
  <c r="Q251" i="32"/>
  <c r="O251" i="32"/>
  <c r="M251" i="32"/>
  <c r="K251" i="32"/>
  <c r="X250" i="32"/>
  <c r="W250" i="32"/>
  <c r="V250" i="32"/>
  <c r="U250" i="32"/>
  <c r="T250" i="32"/>
  <c r="S250" i="32"/>
  <c r="Q250" i="32"/>
  <c r="O250" i="32"/>
  <c r="M250" i="32"/>
  <c r="K250" i="32"/>
  <c r="X249" i="32"/>
  <c r="W249" i="32"/>
  <c r="V249" i="32"/>
  <c r="U249" i="32"/>
  <c r="T249" i="32"/>
  <c r="S249" i="32"/>
  <c r="Q249" i="32"/>
  <c r="O249" i="32"/>
  <c r="M249" i="32"/>
  <c r="K249" i="32"/>
  <c r="X248" i="32"/>
  <c r="W248" i="32"/>
  <c r="V248" i="32"/>
  <c r="U248" i="32"/>
  <c r="T248" i="32"/>
  <c r="S248" i="32"/>
  <c r="Q248" i="32"/>
  <c r="O248" i="32"/>
  <c r="M248" i="32"/>
  <c r="K248" i="32"/>
  <c r="X247" i="32"/>
  <c r="W247" i="32"/>
  <c r="V247" i="32"/>
  <c r="U247" i="32"/>
  <c r="T247" i="32"/>
  <c r="S247" i="32"/>
  <c r="Q247" i="32"/>
  <c r="O247" i="32"/>
  <c r="M247" i="32"/>
  <c r="K247" i="32"/>
  <c r="X246" i="32"/>
  <c r="W246" i="32"/>
  <c r="V246" i="32"/>
  <c r="U246" i="32"/>
  <c r="T246" i="32"/>
  <c r="S246" i="32"/>
  <c r="Q246" i="32"/>
  <c r="O246" i="32"/>
  <c r="M246" i="32"/>
  <c r="K246" i="32"/>
  <c r="X245" i="32"/>
  <c r="W245" i="32"/>
  <c r="V245" i="32"/>
  <c r="U245" i="32"/>
  <c r="T245" i="32"/>
  <c r="S245" i="32"/>
  <c r="Q245" i="32"/>
  <c r="O245" i="32"/>
  <c r="M245" i="32"/>
  <c r="K245" i="32"/>
  <c r="X244" i="32"/>
  <c r="W244" i="32"/>
  <c r="V244" i="32"/>
  <c r="U244" i="32"/>
  <c r="T244" i="32"/>
  <c r="S244" i="32"/>
  <c r="Q244" i="32"/>
  <c r="O244" i="32"/>
  <c r="M244" i="32"/>
  <c r="K244" i="32"/>
  <c r="X243" i="32"/>
  <c r="W243" i="32"/>
  <c r="V243" i="32"/>
  <c r="U243" i="32"/>
  <c r="T243" i="32"/>
  <c r="S243" i="32"/>
  <c r="Q243" i="32"/>
  <c r="O243" i="32"/>
  <c r="M243" i="32"/>
  <c r="K243" i="32"/>
  <c r="X242" i="32"/>
  <c r="W242" i="32"/>
  <c r="V242" i="32"/>
  <c r="U242" i="32"/>
  <c r="T242" i="32"/>
  <c r="S242" i="32"/>
  <c r="Q242" i="32"/>
  <c r="O242" i="32"/>
  <c r="M242" i="32"/>
  <c r="K242" i="32"/>
  <c r="X241" i="32"/>
  <c r="W241" i="32"/>
  <c r="V241" i="32"/>
  <c r="U241" i="32"/>
  <c r="T241" i="32"/>
  <c r="S241" i="32"/>
  <c r="Q241" i="32"/>
  <c r="O241" i="32"/>
  <c r="M241" i="32"/>
  <c r="K241" i="32"/>
  <c r="X240" i="32"/>
  <c r="W240" i="32"/>
  <c r="V240" i="32"/>
  <c r="U240" i="32"/>
  <c r="T240" i="32"/>
  <c r="S240" i="32"/>
  <c r="Q240" i="32"/>
  <c r="O240" i="32"/>
  <c r="M240" i="32"/>
  <c r="K240" i="32"/>
  <c r="X239" i="32"/>
  <c r="W239" i="32"/>
  <c r="V239" i="32"/>
  <c r="U239" i="32"/>
  <c r="T239" i="32"/>
  <c r="S239" i="32"/>
  <c r="Q239" i="32"/>
  <c r="O239" i="32"/>
  <c r="M239" i="32"/>
  <c r="K239" i="32"/>
  <c r="X238" i="32"/>
  <c r="W238" i="32"/>
  <c r="V238" i="32"/>
  <c r="U238" i="32"/>
  <c r="T238" i="32"/>
  <c r="S238" i="32"/>
  <c r="Q238" i="32"/>
  <c r="O238" i="32"/>
  <c r="M238" i="32"/>
  <c r="K238" i="32"/>
  <c r="X237" i="32"/>
  <c r="W237" i="32"/>
  <c r="V237" i="32"/>
  <c r="U237" i="32"/>
  <c r="T237" i="32"/>
  <c r="S237" i="32"/>
  <c r="Q237" i="32"/>
  <c r="O237" i="32"/>
  <c r="M237" i="32"/>
  <c r="K237" i="32"/>
  <c r="X236" i="32"/>
  <c r="W236" i="32"/>
  <c r="V236" i="32"/>
  <c r="U236" i="32"/>
  <c r="T236" i="32"/>
  <c r="S236" i="32"/>
  <c r="Q236" i="32"/>
  <c r="O236" i="32"/>
  <c r="M236" i="32"/>
  <c r="K236" i="32"/>
  <c r="X235" i="32"/>
  <c r="W235" i="32"/>
  <c r="V235" i="32"/>
  <c r="U235" i="32"/>
  <c r="T235" i="32"/>
  <c r="S235" i="32"/>
  <c r="Q235" i="32"/>
  <c r="O235" i="32"/>
  <c r="M235" i="32"/>
  <c r="K235" i="32"/>
  <c r="X234" i="32"/>
  <c r="W234" i="32"/>
  <c r="V234" i="32"/>
  <c r="U234" i="32"/>
  <c r="T234" i="32"/>
  <c r="S234" i="32"/>
  <c r="Q234" i="32"/>
  <c r="O234" i="32"/>
  <c r="M234" i="32"/>
  <c r="K234" i="32"/>
  <c r="X233" i="32"/>
  <c r="W233" i="32"/>
  <c r="V233" i="32"/>
  <c r="U233" i="32"/>
  <c r="T233" i="32"/>
  <c r="S233" i="32"/>
  <c r="Q233" i="32"/>
  <c r="O233" i="32"/>
  <c r="M233" i="32"/>
  <c r="K233" i="32"/>
  <c r="X232" i="32"/>
  <c r="W232" i="32"/>
  <c r="V232" i="32"/>
  <c r="U232" i="32"/>
  <c r="T232" i="32"/>
  <c r="S232" i="32"/>
  <c r="Q232" i="32"/>
  <c r="O232" i="32"/>
  <c r="M232" i="32"/>
  <c r="K232" i="32"/>
  <c r="X231" i="32"/>
  <c r="W231" i="32"/>
  <c r="V231" i="32"/>
  <c r="U231" i="32"/>
  <c r="T231" i="32"/>
  <c r="S231" i="32"/>
  <c r="Q231" i="32"/>
  <c r="O231" i="32"/>
  <c r="M231" i="32"/>
  <c r="K231" i="32"/>
  <c r="X230" i="32"/>
  <c r="W230" i="32"/>
  <c r="V230" i="32"/>
  <c r="U230" i="32"/>
  <c r="T230" i="32"/>
  <c r="S230" i="32"/>
  <c r="Q230" i="32"/>
  <c r="O230" i="32"/>
  <c r="M230" i="32"/>
  <c r="K230" i="32"/>
  <c r="X229" i="32"/>
  <c r="W229" i="32"/>
  <c r="V229" i="32"/>
  <c r="U229" i="32"/>
  <c r="T229" i="32"/>
  <c r="S229" i="32"/>
  <c r="Q229" i="32"/>
  <c r="O229" i="32"/>
  <c r="M229" i="32"/>
  <c r="K229" i="32"/>
  <c r="X228" i="32"/>
  <c r="W228" i="32"/>
  <c r="V228" i="32"/>
  <c r="U228" i="32"/>
  <c r="T228" i="32"/>
  <c r="S228" i="32"/>
  <c r="Q228" i="32"/>
  <c r="O228" i="32"/>
  <c r="M228" i="32"/>
  <c r="K228" i="32"/>
  <c r="X227" i="32"/>
  <c r="W227" i="32"/>
  <c r="V227" i="32"/>
  <c r="U227" i="32"/>
  <c r="T227" i="32"/>
  <c r="S227" i="32"/>
  <c r="Q227" i="32"/>
  <c r="O227" i="32"/>
  <c r="M227" i="32"/>
  <c r="K227" i="32"/>
  <c r="X226" i="32"/>
  <c r="W226" i="32"/>
  <c r="V226" i="32"/>
  <c r="U226" i="32"/>
  <c r="T226" i="32"/>
  <c r="S226" i="32"/>
  <c r="Q226" i="32"/>
  <c r="O226" i="32"/>
  <c r="M226" i="32"/>
  <c r="K226" i="32"/>
  <c r="X225" i="32"/>
  <c r="W225" i="32"/>
  <c r="V225" i="32"/>
  <c r="U225" i="32"/>
  <c r="T225" i="32"/>
  <c r="S225" i="32"/>
  <c r="Q225" i="32"/>
  <c r="O225" i="32"/>
  <c r="M225" i="32"/>
  <c r="K225" i="32"/>
  <c r="X224" i="32"/>
  <c r="W224" i="32"/>
  <c r="V224" i="32"/>
  <c r="U224" i="32"/>
  <c r="T224" i="32"/>
  <c r="S224" i="32"/>
  <c r="Q224" i="32"/>
  <c r="O224" i="32"/>
  <c r="M224" i="32"/>
  <c r="K224" i="32"/>
  <c r="X223" i="32"/>
  <c r="W223" i="32"/>
  <c r="V223" i="32"/>
  <c r="U223" i="32"/>
  <c r="T223" i="32"/>
  <c r="S223" i="32"/>
  <c r="Q223" i="32"/>
  <c r="O223" i="32"/>
  <c r="M223" i="32"/>
  <c r="K223" i="32"/>
  <c r="X222" i="32"/>
  <c r="W222" i="32"/>
  <c r="V222" i="32"/>
  <c r="U222" i="32"/>
  <c r="T222" i="32"/>
  <c r="S222" i="32"/>
  <c r="Q222" i="32"/>
  <c r="O222" i="32"/>
  <c r="M222" i="32"/>
  <c r="K222" i="32"/>
  <c r="X221" i="32"/>
  <c r="W221" i="32"/>
  <c r="V221" i="32"/>
  <c r="U221" i="32"/>
  <c r="T221" i="32"/>
  <c r="S221" i="32"/>
  <c r="Q221" i="32"/>
  <c r="O221" i="32"/>
  <c r="M221" i="32"/>
  <c r="K221" i="32"/>
  <c r="X220" i="32"/>
  <c r="W220" i="32"/>
  <c r="V220" i="32"/>
  <c r="U220" i="32"/>
  <c r="T220" i="32"/>
  <c r="S220" i="32"/>
  <c r="Q220" i="32"/>
  <c r="O220" i="32"/>
  <c r="M220" i="32"/>
  <c r="K220" i="32"/>
  <c r="X219" i="32"/>
  <c r="W219" i="32"/>
  <c r="V219" i="32"/>
  <c r="U219" i="32"/>
  <c r="T219" i="32"/>
  <c r="S219" i="32"/>
  <c r="Q219" i="32"/>
  <c r="O219" i="32"/>
  <c r="M219" i="32"/>
  <c r="K219" i="32"/>
  <c r="X218" i="32"/>
  <c r="W218" i="32"/>
  <c r="V218" i="32"/>
  <c r="U218" i="32"/>
  <c r="T218" i="32"/>
  <c r="S218" i="32"/>
  <c r="Q218" i="32"/>
  <c r="O218" i="32"/>
  <c r="M218" i="32"/>
  <c r="K218" i="32"/>
  <c r="X217" i="32"/>
  <c r="W217" i="32"/>
  <c r="V217" i="32"/>
  <c r="U217" i="32"/>
  <c r="T217" i="32"/>
  <c r="S217" i="32"/>
  <c r="Q217" i="32"/>
  <c r="O217" i="32"/>
  <c r="M217" i="32"/>
  <c r="K217" i="32"/>
  <c r="X216" i="32"/>
  <c r="W216" i="32"/>
  <c r="V216" i="32"/>
  <c r="U216" i="32"/>
  <c r="T216" i="32"/>
  <c r="S216" i="32"/>
  <c r="Q216" i="32"/>
  <c r="O216" i="32"/>
  <c r="M216" i="32"/>
  <c r="K216" i="32"/>
  <c r="X215" i="32"/>
  <c r="W215" i="32"/>
  <c r="V215" i="32"/>
  <c r="U215" i="32"/>
  <c r="T215" i="32"/>
  <c r="S215" i="32"/>
  <c r="Q215" i="32"/>
  <c r="O215" i="32"/>
  <c r="M215" i="32"/>
  <c r="K215" i="32"/>
  <c r="X214" i="32"/>
  <c r="W214" i="32"/>
  <c r="V214" i="32"/>
  <c r="U214" i="32"/>
  <c r="T214" i="32"/>
  <c r="S214" i="32"/>
  <c r="Q214" i="32"/>
  <c r="O214" i="32"/>
  <c r="M214" i="32"/>
  <c r="K214" i="32"/>
  <c r="X213" i="32"/>
  <c r="W213" i="32"/>
  <c r="V213" i="32"/>
  <c r="U213" i="32"/>
  <c r="T213" i="32"/>
  <c r="S213" i="32"/>
  <c r="Q213" i="32"/>
  <c r="O213" i="32"/>
  <c r="M213" i="32"/>
  <c r="K213" i="32"/>
  <c r="X212" i="32"/>
  <c r="W212" i="32"/>
  <c r="V212" i="32"/>
  <c r="U212" i="32"/>
  <c r="T212" i="32"/>
  <c r="S212" i="32"/>
  <c r="Q212" i="32"/>
  <c r="O212" i="32"/>
  <c r="M212" i="32"/>
  <c r="K212" i="32"/>
  <c r="X211" i="32"/>
  <c r="W211" i="32"/>
  <c r="V211" i="32"/>
  <c r="U211" i="32"/>
  <c r="T211" i="32"/>
  <c r="S211" i="32"/>
  <c r="Q211" i="32"/>
  <c r="O211" i="32"/>
  <c r="M211" i="32"/>
  <c r="K211" i="32"/>
  <c r="X210" i="32"/>
  <c r="W210" i="32"/>
  <c r="V210" i="32"/>
  <c r="U210" i="32"/>
  <c r="T210" i="32"/>
  <c r="S210" i="32"/>
  <c r="Q210" i="32"/>
  <c r="O210" i="32"/>
  <c r="M210" i="32"/>
  <c r="K210" i="32"/>
  <c r="X209" i="32"/>
  <c r="W209" i="32"/>
  <c r="V209" i="32"/>
  <c r="U209" i="32"/>
  <c r="T209" i="32"/>
  <c r="S209" i="32"/>
  <c r="Q209" i="32"/>
  <c r="O209" i="32"/>
  <c r="M209" i="32"/>
  <c r="K209" i="32"/>
  <c r="X208" i="32"/>
  <c r="W208" i="32"/>
  <c r="V208" i="32"/>
  <c r="U208" i="32"/>
  <c r="T208" i="32"/>
  <c r="S208" i="32"/>
  <c r="Q208" i="32"/>
  <c r="O208" i="32"/>
  <c r="M208" i="32"/>
  <c r="K208" i="32"/>
  <c r="X207" i="32"/>
  <c r="W207" i="32"/>
  <c r="V207" i="32"/>
  <c r="U207" i="32"/>
  <c r="T207" i="32"/>
  <c r="S207" i="32"/>
  <c r="Q207" i="32"/>
  <c r="O207" i="32"/>
  <c r="M207" i="32"/>
  <c r="K207" i="32"/>
  <c r="X206" i="32"/>
  <c r="W206" i="32"/>
  <c r="V206" i="32"/>
  <c r="U206" i="32"/>
  <c r="T206" i="32"/>
  <c r="S206" i="32"/>
  <c r="Q206" i="32"/>
  <c r="O206" i="32"/>
  <c r="M206" i="32"/>
  <c r="K206" i="32"/>
  <c r="X205" i="32"/>
  <c r="W205" i="32"/>
  <c r="V205" i="32"/>
  <c r="U205" i="32"/>
  <c r="T205" i="32"/>
  <c r="S205" i="32"/>
  <c r="Q205" i="32"/>
  <c r="O205" i="32"/>
  <c r="M205" i="32"/>
  <c r="K205" i="32"/>
  <c r="X204" i="32"/>
  <c r="W204" i="32"/>
  <c r="V204" i="32"/>
  <c r="U204" i="32"/>
  <c r="T204" i="32"/>
  <c r="S204" i="32"/>
  <c r="Q204" i="32"/>
  <c r="O204" i="32"/>
  <c r="M204" i="32"/>
  <c r="K204" i="32"/>
  <c r="X203" i="32"/>
  <c r="W203" i="32"/>
  <c r="V203" i="32"/>
  <c r="U203" i="32"/>
  <c r="T203" i="32"/>
  <c r="S203" i="32"/>
  <c r="Q203" i="32"/>
  <c r="O203" i="32"/>
  <c r="M203" i="32"/>
  <c r="K203" i="32"/>
  <c r="X202" i="32"/>
  <c r="W202" i="32"/>
  <c r="V202" i="32"/>
  <c r="U202" i="32"/>
  <c r="T202" i="32"/>
  <c r="S202" i="32"/>
  <c r="Q202" i="32"/>
  <c r="O202" i="32"/>
  <c r="M202" i="32"/>
  <c r="K202" i="32"/>
  <c r="X201" i="32"/>
  <c r="W201" i="32"/>
  <c r="V201" i="32"/>
  <c r="U201" i="32"/>
  <c r="T201" i="32"/>
  <c r="S201" i="32"/>
  <c r="Q201" i="32"/>
  <c r="O201" i="32"/>
  <c r="M201" i="32"/>
  <c r="K201" i="32"/>
  <c r="X200" i="32"/>
  <c r="W200" i="32"/>
  <c r="V200" i="32"/>
  <c r="U200" i="32"/>
  <c r="T200" i="32"/>
  <c r="S200" i="32"/>
  <c r="Q200" i="32"/>
  <c r="O200" i="32"/>
  <c r="M200" i="32"/>
  <c r="K200" i="32"/>
  <c r="X199" i="32"/>
  <c r="W199" i="32"/>
  <c r="V199" i="32"/>
  <c r="U199" i="32"/>
  <c r="T199" i="32"/>
  <c r="S199" i="32"/>
  <c r="Q199" i="32"/>
  <c r="O199" i="32"/>
  <c r="M199" i="32"/>
  <c r="K199" i="32"/>
  <c r="X198" i="32"/>
  <c r="W198" i="32"/>
  <c r="V198" i="32"/>
  <c r="U198" i="32"/>
  <c r="T198" i="32"/>
  <c r="S198" i="32"/>
  <c r="Q198" i="32"/>
  <c r="O198" i="32"/>
  <c r="M198" i="32"/>
  <c r="K198" i="32"/>
  <c r="X197" i="32"/>
  <c r="W197" i="32"/>
  <c r="V197" i="32"/>
  <c r="U197" i="32"/>
  <c r="T197" i="32"/>
  <c r="S197" i="32"/>
  <c r="Q197" i="32"/>
  <c r="O197" i="32"/>
  <c r="M197" i="32"/>
  <c r="K197" i="32"/>
  <c r="X196" i="32"/>
  <c r="W196" i="32"/>
  <c r="V196" i="32"/>
  <c r="U196" i="32"/>
  <c r="T196" i="32"/>
  <c r="S196" i="32"/>
  <c r="Q196" i="32"/>
  <c r="O196" i="32"/>
  <c r="M196" i="32"/>
  <c r="K196" i="32"/>
  <c r="X195" i="32"/>
  <c r="W195" i="32"/>
  <c r="V195" i="32"/>
  <c r="U195" i="32"/>
  <c r="T195" i="32"/>
  <c r="S195" i="32"/>
  <c r="Q195" i="32"/>
  <c r="O195" i="32"/>
  <c r="M195" i="32"/>
  <c r="K195" i="32"/>
  <c r="X194" i="32"/>
  <c r="W194" i="32"/>
  <c r="V194" i="32"/>
  <c r="U194" i="32"/>
  <c r="T194" i="32"/>
  <c r="S194" i="32"/>
  <c r="Q194" i="32"/>
  <c r="O194" i="32"/>
  <c r="M194" i="32"/>
  <c r="K194" i="32"/>
  <c r="X193" i="32"/>
  <c r="W193" i="32"/>
  <c r="V193" i="32"/>
  <c r="U193" i="32"/>
  <c r="T193" i="32"/>
  <c r="S193" i="32"/>
  <c r="Q193" i="32"/>
  <c r="O193" i="32"/>
  <c r="M193" i="32"/>
  <c r="K193" i="32"/>
  <c r="X192" i="32"/>
  <c r="W192" i="32"/>
  <c r="V192" i="32"/>
  <c r="U192" i="32"/>
  <c r="T192" i="32"/>
  <c r="S192" i="32"/>
  <c r="Q192" i="32"/>
  <c r="O192" i="32"/>
  <c r="M192" i="32"/>
  <c r="K192" i="32"/>
  <c r="X191" i="32"/>
  <c r="W191" i="32"/>
  <c r="V191" i="32"/>
  <c r="U191" i="32"/>
  <c r="T191" i="32"/>
  <c r="S191" i="32"/>
  <c r="Q191" i="32"/>
  <c r="O191" i="32"/>
  <c r="M191" i="32"/>
  <c r="K191" i="32"/>
  <c r="X190" i="32"/>
  <c r="W190" i="32"/>
  <c r="V190" i="32"/>
  <c r="U190" i="32"/>
  <c r="T190" i="32"/>
  <c r="S190" i="32"/>
  <c r="Q190" i="32"/>
  <c r="O190" i="32"/>
  <c r="M190" i="32"/>
  <c r="K190" i="32"/>
  <c r="X189" i="32"/>
  <c r="W189" i="32"/>
  <c r="V189" i="32"/>
  <c r="U189" i="32"/>
  <c r="T189" i="32"/>
  <c r="S189" i="32"/>
  <c r="Q189" i="32"/>
  <c r="O189" i="32"/>
  <c r="M189" i="32"/>
  <c r="K189" i="32"/>
  <c r="X188" i="32"/>
  <c r="W188" i="32"/>
  <c r="V188" i="32"/>
  <c r="U188" i="32"/>
  <c r="T188" i="32"/>
  <c r="S188" i="32"/>
  <c r="Q188" i="32"/>
  <c r="O188" i="32"/>
  <c r="M188" i="32"/>
  <c r="K188" i="32"/>
  <c r="X187" i="32"/>
  <c r="W187" i="32"/>
  <c r="V187" i="32"/>
  <c r="U187" i="32"/>
  <c r="T187" i="32"/>
  <c r="S187" i="32"/>
  <c r="Q187" i="32"/>
  <c r="O187" i="32"/>
  <c r="M187" i="32"/>
  <c r="K187" i="32"/>
  <c r="X186" i="32"/>
  <c r="W186" i="32"/>
  <c r="V186" i="32"/>
  <c r="U186" i="32"/>
  <c r="T186" i="32"/>
  <c r="S186" i="32"/>
  <c r="Q186" i="32"/>
  <c r="O186" i="32"/>
  <c r="M186" i="32"/>
  <c r="K186" i="32"/>
  <c r="X185" i="32"/>
  <c r="W185" i="32"/>
  <c r="V185" i="32"/>
  <c r="U185" i="32"/>
  <c r="T185" i="32"/>
  <c r="S185" i="32"/>
  <c r="Q185" i="32"/>
  <c r="O185" i="32"/>
  <c r="M185" i="32"/>
  <c r="K185" i="32"/>
  <c r="X184" i="32"/>
  <c r="W184" i="32"/>
  <c r="V184" i="32"/>
  <c r="U184" i="32"/>
  <c r="T184" i="32"/>
  <c r="S184" i="32"/>
  <c r="Q184" i="32"/>
  <c r="O184" i="32"/>
  <c r="M184" i="32"/>
  <c r="K184" i="32"/>
  <c r="X183" i="32"/>
  <c r="W183" i="32"/>
  <c r="V183" i="32"/>
  <c r="U183" i="32"/>
  <c r="T183" i="32"/>
  <c r="S183" i="32"/>
  <c r="Q183" i="32"/>
  <c r="O183" i="32"/>
  <c r="M183" i="32"/>
  <c r="K183" i="32"/>
  <c r="X182" i="32"/>
  <c r="W182" i="32"/>
  <c r="V182" i="32"/>
  <c r="U182" i="32"/>
  <c r="T182" i="32"/>
  <c r="S182" i="32"/>
  <c r="Q182" i="32"/>
  <c r="O182" i="32"/>
  <c r="M182" i="32"/>
  <c r="K182" i="32"/>
  <c r="X181" i="32"/>
  <c r="W181" i="32"/>
  <c r="V181" i="32"/>
  <c r="U181" i="32"/>
  <c r="T181" i="32"/>
  <c r="S181" i="32"/>
  <c r="Q181" i="32"/>
  <c r="O181" i="32"/>
  <c r="M181" i="32"/>
  <c r="K181" i="32"/>
  <c r="X180" i="32"/>
  <c r="W180" i="32"/>
  <c r="V180" i="32"/>
  <c r="U180" i="32"/>
  <c r="T180" i="32"/>
  <c r="S180" i="32"/>
  <c r="Q180" i="32"/>
  <c r="O180" i="32"/>
  <c r="M180" i="32"/>
  <c r="K180" i="32"/>
  <c r="X179" i="32"/>
  <c r="W179" i="32"/>
  <c r="V179" i="32"/>
  <c r="U179" i="32"/>
  <c r="T179" i="32"/>
  <c r="S179" i="32"/>
  <c r="Q179" i="32"/>
  <c r="O179" i="32"/>
  <c r="M179" i="32"/>
  <c r="K179" i="32"/>
  <c r="X178" i="32"/>
  <c r="W178" i="32"/>
  <c r="V178" i="32"/>
  <c r="U178" i="32"/>
  <c r="T178" i="32"/>
  <c r="S178" i="32"/>
  <c r="Q178" i="32"/>
  <c r="O178" i="32"/>
  <c r="M178" i="32"/>
  <c r="K178" i="32"/>
  <c r="X177" i="32"/>
  <c r="W177" i="32"/>
  <c r="V177" i="32"/>
  <c r="U177" i="32"/>
  <c r="T177" i="32"/>
  <c r="S177" i="32"/>
  <c r="Q177" i="32"/>
  <c r="O177" i="32"/>
  <c r="M177" i="32"/>
  <c r="K177" i="32"/>
  <c r="X176" i="32"/>
  <c r="W176" i="32"/>
  <c r="V176" i="32"/>
  <c r="U176" i="32"/>
  <c r="T176" i="32"/>
  <c r="S176" i="32"/>
  <c r="Q176" i="32"/>
  <c r="O176" i="32"/>
  <c r="M176" i="32"/>
  <c r="K176" i="32"/>
  <c r="X175" i="32"/>
  <c r="W175" i="32"/>
  <c r="V175" i="32"/>
  <c r="U175" i="32"/>
  <c r="T175" i="32"/>
  <c r="S175" i="32"/>
  <c r="Q175" i="32"/>
  <c r="O175" i="32"/>
  <c r="M175" i="32"/>
  <c r="K175" i="32"/>
  <c r="X174" i="32"/>
  <c r="W174" i="32"/>
  <c r="V174" i="32"/>
  <c r="U174" i="32"/>
  <c r="T174" i="32"/>
  <c r="S174" i="32"/>
  <c r="Q174" i="32"/>
  <c r="O174" i="32"/>
  <c r="M174" i="32"/>
  <c r="K174" i="32"/>
  <c r="X173" i="32"/>
  <c r="W173" i="32"/>
  <c r="V173" i="32"/>
  <c r="U173" i="32"/>
  <c r="T173" i="32"/>
  <c r="S173" i="32"/>
  <c r="Q173" i="32"/>
  <c r="O173" i="32"/>
  <c r="M173" i="32"/>
  <c r="K173" i="32"/>
  <c r="X172" i="32"/>
  <c r="W172" i="32"/>
  <c r="V172" i="32"/>
  <c r="U172" i="32"/>
  <c r="T172" i="32"/>
  <c r="S172" i="32"/>
  <c r="Q172" i="32"/>
  <c r="O172" i="32"/>
  <c r="M172" i="32"/>
  <c r="K172" i="32"/>
  <c r="X171" i="32"/>
  <c r="W171" i="32"/>
  <c r="V171" i="32"/>
  <c r="U171" i="32"/>
  <c r="T171" i="32"/>
  <c r="S171" i="32"/>
  <c r="Q171" i="32"/>
  <c r="O171" i="32"/>
  <c r="M171" i="32"/>
  <c r="K171" i="32"/>
  <c r="X170" i="32"/>
  <c r="W170" i="32"/>
  <c r="V170" i="32"/>
  <c r="U170" i="32"/>
  <c r="T170" i="32"/>
  <c r="S170" i="32"/>
  <c r="Q170" i="32"/>
  <c r="O170" i="32"/>
  <c r="M170" i="32"/>
  <c r="K170" i="32"/>
  <c r="X169" i="32"/>
  <c r="W169" i="32"/>
  <c r="V169" i="32"/>
  <c r="U169" i="32"/>
  <c r="T169" i="32"/>
  <c r="S169" i="32"/>
  <c r="Q169" i="32"/>
  <c r="O169" i="32"/>
  <c r="M169" i="32"/>
  <c r="K169" i="32"/>
  <c r="X168" i="32"/>
  <c r="W168" i="32"/>
  <c r="V168" i="32"/>
  <c r="U168" i="32"/>
  <c r="T168" i="32"/>
  <c r="S168" i="32"/>
  <c r="Q168" i="32"/>
  <c r="O168" i="32"/>
  <c r="M168" i="32"/>
  <c r="K168" i="32"/>
  <c r="X167" i="32"/>
  <c r="W167" i="32"/>
  <c r="V167" i="32"/>
  <c r="U167" i="32"/>
  <c r="T167" i="32"/>
  <c r="S167" i="32"/>
  <c r="Q167" i="32"/>
  <c r="O167" i="32"/>
  <c r="M167" i="32"/>
  <c r="K167" i="32"/>
  <c r="X166" i="32"/>
  <c r="W166" i="32"/>
  <c r="V166" i="32"/>
  <c r="U166" i="32"/>
  <c r="T166" i="32"/>
  <c r="S166" i="32"/>
  <c r="Q166" i="32"/>
  <c r="O166" i="32"/>
  <c r="M166" i="32"/>
  <c r="K166" i="32"/>
  <c r="X165" i="32"/>
  <c r="W165" i="32"/>
  <c r="V165" i="32"/>
  <c r="U165" i="32"/>
  <c r="T165" i="32"/>
  <c r="S165" i="32"/>
  <c r="Q165" i="32"/>
  <c r="O165" i="32"/>
  <c r="M165" i="32"/>
  <c r="K165" i="32"/>
  <c r="X164" i="32"/>
  <c r="W164" i="32"/>
  <c r="V164" i="32"/>
  <c r="U164" i="32"/>
  <c r="T164" i="32"/>
  <c r="S164" i="32"/>
  <c r="Q164" i="32"/>
  <c r="O164" i="32"/>
  <c r="M164" i="32"/>
  <c r="K164" i="32"/>
  <c r="X163" i="32"/>
  <c r="W163" i="32"/>
  <c r="V163" i="32"/>
  <c r="U163" i="32"/>
  <c r="T163" i="32"/>
  <c r="S163" i="32"/>
  <c r="Q163" i="32"/>
  <c r="O163" i="32"/>
  <c r="M163" i="32"/>
  <c r="K163" i="32"/>
  <c r="X162" i="32"/>
  <c r="W162" i="32"/>
  <c r="V162" i="32"/>
  <c r="U162" i="32"/>
  <c r="T162" i="32"/>
  <c r="S162" i="32"/>
  <c r="Q162" i="32"/>
  <c r="O162" i="32"/>
  <c r="M162" i="32"/>
  <c r="K162" i="32"/>
  <c r="X161" i="32"/>
  <c r="W161" i="32"/>
  <c r="V161" i="32"/>
  <c r="U161" i="32"/>
  <c r="T161" i="32"/>
  <c r="S161" i="32"/>
  <c r="Q161" i="32"/>
  <c r="O161" i="32"/>
  <c r="M161" i="32"/>
  <c r="K161" i="32"/>
  <c r="X160" i="32"/>
  <c r="W160" i="32"/>
  <c r="V160" i="32"/>
  <c r="U160" i="32"/>
  <c r="T160" i="32"/>
  <c r="S160" i="32"/>
  <c r="Q160" i="32"/>
  <c r="O160" i="32"/>
  <c r="M160" i="32"/>
  <c r="K160" i="32"/>
  <c r="X159" i="32"/>
  <c r="W159" i="32"/>
  <c r="V159" i="32"/>
  <c r="U159" i="32"/>
  <c r="T159" i="32"/>
  <c r="S159" i="32"/>
  <c r="Q159" i="32"/>
  <c r="O159" i="32"/>
  <c r="M159" i="32"/>
  <c r="K159" i="32"/>
  <c r="X158" i="32"/>
  <c r="W158" i="32"/>
  <c r="V158" i="32"/>
  <c r="U158" i="32"/>
  <c r="T158" i="32"/>
  <c r="S158" i="32"/>
  <c r="Q158" i="32"/>
  <c r="O158" i="32"/>
  <c r="M158" i="32"/>
  <c r="K158" i="32"/>
  <c r="X157" i="32"/>
  <c r="W157" i="32"/>
  <c r="V157" i="32"/>
  <c r="U157" i="32"/>
  <c r="T157" i="32"/>
  <c r="S157" i="32"/>
  <c r="Q157" i="32"/>
  <c r="O157" i="32"/>
  <c r="M157" i="32"/>
  <c r="K157" i="32"/>
  <c r="X156" i="32"/>
  <c r="W156" i="32"/>
  <c r="V156" i="32"/>
  <c r="U156" i="32"/>
  <c r="T156" i="32"/>
  <c r="S156" i="32"/>
  <c r="Q156" i="32"/>
  <c r="O156" i="32"/>
  <c r="M156" i="32"/>
  <c r="K156" i="32"/>
  <c r="X155" i="32"/>
  <c r="W155" i="32"/>
  <c r="V155" i="32"/>
  <c r="U155" i="32"/>
  <c r="T155" i="32"/>
  <c r="S155" i="32"/>
  <c r="Q155" i="32"/>
  <c r="O155" i="32"/>
  <c r="M155" i="32"/>
  <c r="K155" i="32"/>
  <c r="X154" i="32"/>
  <c r="W154" i="32"/>
  <c r="V154" i="32"/>
  <c r="U154" i="32"/>
  <c r="T154" i="32"/>
  <c r="S154" i="32"/>
  <c r="Q154" i="32"/>
  <c r="O154" i="32"/>
  <c r="M154" i="32"/>
  <c r="K154" i="32"/>
  <c r="X153" i="32"/>
  <c r="W153" i="32"/>
  <c r="V153" i="32"/>
  <c r="U153" i="32"/>
  <c r="T153" i="32"/>
  <c r="S153" i="32"/>
  <c r="Q153" i="32"/>
  <c r="O153" i="32"/>
  <c r="M153" i="32"/>
  <c r="K153" i="32"/>
  <c r="X152" i="32"/>
  <c r="W152" i="32"/>
  <c r="V152" i="32"/>
  <c r="U152" i="32"/>
  <c r="T152" i="32"/>
  <c r="S152" i="32"/>
  <c r="Q152" i="32"/>
  <c r="O152" i="32"/>
  <c r="M152" i="32"/>
  <c r="K152" i="32"/>
  <c r="X151" i="32"/>
  <c r="W151" i="32"/>
  <c r="V151" i="32"/>
  <c r="U151" i="32"/>
  <c r="T151" i="32"/>
  <c r="S151" i="32"/>
  <c r="Q151" i="32"/>
  <c r="O151" i="32"/>
  <c r="M151" i="32"/>
  <c r="K151" i="32"/>
  <c r="X150" i="32"/>
  <c r="W150" i="32"/>
  <c r="V150" i="32"/>
  <c r="U150" i="32"/>
  <c r="T150" i="32"/>
  <c r="S150" i="32"/>
  <c r="Q150" i="32"/>
  <c r="O150" i="32"/>
  <c r="M150" i="32"/>
  <c r="K150" i="32"/>
  <c r="X149" i="32"/>
  <c r="W149" i="32"/>
  <c r="V149" i="32"/>
  <c r="U149" i="32"/>
  <c r="T149" i="32"/>
  <c r="S149" i="32"/>
  <c r="Q149" i="32"/>
  <c r="O149" i="32"/>
  <c r="M149" i="32"/>
  <c r="K149" i="32"/>
  <c r="X148" i="32"/>
  <c r="W148" i="32"/>
  <c r="V148" i="32"/>
  <c r="U148" i="32"/>
  <c r="T148" i="32"/>
  <c r="S148" i="32"/>
  <c r="Q148" i="32"/>
  <c r="O148" i="32"/>
  <c r="M148" i="32"/>
  <c r="K148" i="32"/>
  <c r="X147" i="32"/>
  <c r="W147" i="32"/>
  <c r="V147" i="32"/>
  <c r="U147" i="32"/>
  <c r="T147" i="32"/>
  <c r="S147" i="32"/>
  <c r="Q147" i="32"/>
  <c r="O147" i="32"/>
  <c r="M147" i="32"/>
  <c r="K147" i="32"/>
  <c r="X146" i="32"/>
  <c r="W146" i="32"/>
  <c r="V146" i="32"/>
  <c r="U146" i="32"/>
  <c r="T146" i="32"/>
  <c r="S146" i="32"/>
  <c r="Q146" i="32"/>
  <c r="O146" i="32"/>
  <c r="M146" i="32"/>
  <c r="K146" i="32"/>
  <c r="X145" i="32"/>
  <c r="W145" i="32"/>
  <c r="V145" i="32"/>
  <c r="U145" i="32"/>
  <c r="T145" i="32"/>
  <c r="S145" i="32"/>
  <c r="Q145" i="32"/>
  <c r="O145" i="32"/>
  <c r="M145" i="32"/>
  <c r="K145" i="32"/>
  <c r="X144" i="32"/>
  <c r="W144" i="32"/>
  <c r="V144" i="32"/>
  <c r="U144" i="32"/>
  <c r="T144" i="32"/>
  <c r="S144" i="32"/>
  <c r="Q144" i="32"/>
  <c r="O144" i="32"/>
  <c r="M144" i="32"/>
  <c r="K144" i="32"/>
  <c r="X143" i="32"/>
  <c r="W143" i="32"/>
  <c r="V143" i="32"/>
  <c r="U143" i="32"/>
  <c r="T143" i="32"/>
  <c r="S143" i="32"/>
  <c r="Q143" i="32"/>
  <c r="O143" i="32"/>
  <c r="M143" i="32"/>
  <c r="K143" i="32"/>
  <c r="X142" i="32"/>
  <c r="W142" i="32"/>
  <c r="V142" i="32"/>
  <c r="U142" i="32"/>
  <c r="T142" i="32"/>
  <c r="S142" i="32"/>
  <c r="Q142" i="32"/>
  <c r="O142" i="32"/>
  <c r="M142" i="32"/>
  <c r="K142" i="32"/>
  <c r="X141" i="32"/>
  <c r="W141" i="32"/>
  <c r="V141" i="32"/>
  <c r="U141" i="32"/>
  <c r="T141" i="32"/>
  <c r="S141" i="32"/>
  <c r="Q141" i="32"/>
  <c r="O141" i="32"/>
  <c r="M141" i="32"/>
  <c r="K141" i="32"/>
  <c r="X140" i="32"/>
  <c r="W140" i="32"/>
  <c r="V140" i="32"/>
  <c r="U140" i="32"/>
  <c r="T140" i="32"/>
  <c r="S140" i="32"/>
  <c r="Q140" i="32"/>
  <c r="O140" i="32"/>
  <c r="M140" i="32"/>
  <c r="K140" i="32"/>
  <c r="X139" i="32"/>
  <c r="W139" i="32"/>
  <c r="V139" i="32"/>
  <c r="U139" i="32"/>
  <c r="T139" i="32"/>
  <c r="S139" i="32"/>
  <c r="Q139" i="32"/>
  <c r="O139" i="32"/>
  <c r="M139" i="32"/>
  <c r="K139" i="32"/>
  <c r="X138" i="32"/>
  <c r="W138" i="32"/>
  <c r="V138" i="32"/>
  <c r="U138" i="32"/>
  <c r="T138" i="32"/>
  <c r="S138" i="32"/>
  <c r="Q138" i="32"/>
  <c r="O138" i="32"/>
  <c r="M138" i="32"/>
  <c r="K138" i="32"/>
  <c r="X137" i="32"/>
  <c r="W137" i="32"/>
  <c r="V137" i="32"/>
  <c r="U137" i="32"/>
  <c r="T137" i="32"/>
  <c r="S137" i="32"/>
  <c r="Q137" i="32"/>
  <c r="O137" i="32"/>
  <c r="M137" i="32"/>
  <c r="K137" i="32"/>
  <c r="X136" i="32"/>
  <c r="W136" i="32"/>
  <c r="V136" i="32"/>
  <c r="U136" i="32"/>
  <c r="T136" i="32"/>
  <c r="S136" i="32"/>
  <c r="Q136" i="32"/>
  <c r="O136" i="32"/>
  <c r="M136" i="32"/>
  <c r="K136" i="32"/>
  <c r="X135" i="32"/>
  <c r="W135" i="32"/>
  <c r="V135" i="32"/>
  <c r="U135" i="32"/>
  <c r="T135" i="32"/>
  <c r="S135" i="32"/>
  <c r="Q135" i="32"/>
  <c r="O135" i="32"/>
  <c r="M135" i="32"/>
  <c r="K135" i="32"/>
  <c r="X134" i="32"/>
  <c r="W134" i="32"/>
  <c r="V134" i="32"/>
  <c r="U134" i="32"/>
  <c r="T134" i="32"/>
  <c r="S134" i="32"/>
  <c r="Q134" i="32"/>
  <c r="O134" i="32"/>
  <c r="M134" i="32"/>
  <c r="K134" i="32"/>
  <c r="X133" i="32"/>
  <c r="W133" i="32"/>
  <c r="V133" i="32"/>
  <c r="U133" i="32"/>
  <c r="T133" i="32"/>
  <c r="S133" i="32"/>
  <c r="Q133" i="32"/>
  <c r="O133" i="32"/>
  <c r="M133" i="32"/>
  <c r="K133" i="32"/>
  <c r="X132" i="32"/>
  <c r="W132" i="32"/>
  <c r="V132" i="32"/>
  <c r="U132" i="32"/>
  <c r="T132" i="32"/>
  <c r="S132" i="32"/>
  <c r="Q132" i="32"/>
  <c r="O132" i="32"/>
  <c r="M132" i="32"/>
  <c r="K132" i="32"/>
  <c r="X131" i="32"/>
  <c r="W131" i="32"/>
  <c r="V131" i="32"/>
  <c r="U131" i="32"/>
  <c r="T131" i="32"/>
  <c r="S131" i="32"/>
  <c r="Q131" i="32"/>
  <c r="O131" i="32"/>
  <c r="M131" i="32"/>
  <c r="K131" i="32"/>
  <c r="X130" i="32"/>
  <c r="W130" i="32"/>
  <c r="V130" i="32"/>
  <c r="U130" i="32"/>
  <c r="T130" i="32"/>
  <c r="S130" i="32"/>
  <c r="Q130" i="32"/>
  <c r="O130" i="32"/>
  <c r="M130" i="32"/>
  <c r="K130" i="32"/>
  <c r="X129" i="32"/>
  <c r="W129" i="32"/>
  <c r="V129" i="32"/>
  <c r="U129" i="32"/>
  <c r="T129" i="32"/>
  <c r="S129" i="32"/>
  <c r="Q129" i="32"/>
  <c r="O129" i="32"/>
  <c r="M129" i="32"/>
  <c r="K129" i="32"/>
  <c r="X128" i="32"/>
  <c r="W128" i="32"/>
  <c r="V128" i="32"/>
  <c r="U128" i="32"/>
  <c r="T128" i="32"/>
  <c r="S128" i="32"/>
  <c r="Q128" i="32"/>
  <c r="O128" i="32"/>
  <c r="M128" i="32"/>
  <c r="K128" i="32"/>
  <c r="X127" i="32"/>
  <c r="W127" i="32"/>
  <c r="V127" i="32"/>
  <c r="U127" i="32"/>
  <c r="T127" i="32"/>
  <c r="S127" i="32"/>
  <c r="Q127" i="32"/>
  <c r="O127" i="32"/>
  <c r="M127" i="32"/>
  <c r="K127" i="32"/>
  <c r="X126" i="32"/>
  <c r="W126" i="32"/>
  <c r="V126" i="32"/>
  <c r="U126" i="32"/>
  <c r="T126" i="32"/>
  <c r="S126" i="32"/>
  <c r="Q126" i="32"/>
  <c r="O126" i="32"/>
  <c r="M126" i="32"/>
  <c r="K126" i="32"/>
  <c r="X125" i="32"/>
  <c r="W125" i="32"/>
  <c r="V125" i="32"/>
  <c r="U125" i="32"/>
  <c r="T125" i="32"/>
  <c r="S125" i="32"/>
  <c r="Q125" i="32"/>
  <c r="O125" i="32"/>
  <c r="M125" i="32"/>
  <c r="K125" i="32"/>
  <c r="X124" i="32"/>
  <c r="W124" i="32"/>
  <c r="V124" i="32"/>
  <c r="U124" i="32"/>
  <c r="T124" i="32"/>
  <c r="S124" i="32"/>
  <c r="Q124" i="32"/>
  <c r="O124" i="32"/>
  <c r="M124" i="32"/>
  <c r="K124" i="32"/>
  <c r="X123" i="32"/>
  <c r="W123" i="32"/>
  <c r="V123" i="32"/>
  <c r="U123" i="32"/>
  <c r="T123" i="32"/>
  <c r="S123" i="32"/>
  <c r="Q123" i="32"/>
  <c r="O123" i="32"/>
  <c r="M123" i="32"/>
  <c r="K123" i="32"/>
  <c r="X122" i="32"/>
  <c r="W122" i="32"/>
  <c r="V122" i="32"/>
  <c r="U122" i="32"/>
  <c r="T122" i="32"/>
  <c r="S122" i="32"/>
  <c r="Q122" i="32"/>
  <c r="O122" i="32"/>
  <c r="M122" i="32"/>
  <c r="K122" i="32"/>
  <c r="X121" i="32"/>
  <c r="W121" i="32"/>
  <c r="V121" i="32"/>
  <c r="U121" i="32"/>
  <c r="T121" i="32"/>
  <c r="S121" i="32"/>
  <c r="Q121" i="32"/>
  <c r="O121" i="32"/>
  <c r="M121" i="32"/>
  <c r="K121" i="32"/>
  <c r="X120" i="32"/>
  <c r="W120" i="32"/>
  <c r="V120" i="32"/>
  <c r="U120" i="32"/>
  <c r="T120" i="32"/>
  <c r="S120" i="32"/>
  <c r="Q120" i="32"/>
  <c r="O120" i="32"/>
  <c r="M120" i="32"/>
  <c r="K120" i="32"/>
  <c r="X119" i="32"/>
  <c r="W119" i="32"/>
  <c r="V119" i="32"/>
  <c r="U119" i="32"/>
  <c r="T119" i="32"/>
  <c r="S119" i="32"/>
  <c r="Q119" i="32"/>
  <c r="O119" i="32"/>
  <c r="M119" i="32"/>
  <c r="K119" i="32"/>
  <c r="X118" i="32"/>
  <c r="W118" i="32"/>
  <c r="V118" i="32"/>
  <c r="U118" i="32"/>
  <c r="T118" i="32"/>
  <c r="S118" i="32"/>
  <c r="Q118" i="32"/>
  <c r="O118" i="32"/>
  <c r="M118" i="32"/>
  <c r="K118" i="32"/>
  <c r="X117" i="32"/>
  <c r="W117" i="32"/>
  <c r="V117" i="32"/>
  <c r="U117" i="32"/>
  <c r="T117" i="32"/>
  <c r="S117" i="32"/>
  <c r="Q117" i="32"/>
  <c r="O117" i="32"/>
  <c r="M117" i="32"/>
  <c r="K117" i="32"/>
  <c r="X116" i="32"/>
  <c r="W116" i="32"/>
  <c r="V116" i="32"/>
  <c r="U116" i="32"/>
  <c r="T116" i="32"/>
  <c r="S116" i="32"/>
  <c r="Q116" i="32"/>
  <c r="O116" i="32"/>
  <c r="M116" i="32"/>
  <c r="K116" i="32"/>
  <c r="X115" i="32"/>
  <c r="W115" i="32"/>
  <c r="V115" i="32"/>
  <c r="U115" i="32"/>
  <c r="T115" i="32"/>
  <c r="S115" i="32"/>
  <c r="Q115" i="32"/>
  <c r="O115" i="32"/>
  <c r="M115" i="32"/>
  <c r="K115" i="32"/>
  <c r="X114" i="32"/>
  <c r="W114" i="32"/>
  <c r="V114" i="32"/>
  <c r="U114" i="32"/>
  <c r="T114" i="32"/>
  <c r="S114" i="32"/>
  <c r="Q114" i="32"/>
  <c r="O114" i="32"/>
  <c r="M114" i="32"/>
  <c r="K114" i="32"/>
  <c r="X113" i="32"/>
  <c r="W113" i="32"/>
  <c r="V113" i="32"/>
  <c r="U113" i="32"/>
  <c r="T113" i="32"/>
  <c r="S113" i="32"/>
  <c r="Q113" i="32"/>
  <c r="O113" i="32"/>
  <c r="M113" i="32"/>
  <c r="K113" i="32"/>
  <c r="X112" i="32"/>
  <c r="W112" i="32"/>
  <c r="V112" i="32"/>
  <c r="U112" i="32"/>
  <c r="T112" i="32"/>
  <c r="S112" i="32"/>
  <c r="Q112" i="32"/>
  <c r="O112" i="32"/>
  <c r="M112" i="32"/>
  <c r="K112" i="32"/>
  <c r="X111" i="32"/>
  <c r="W111" i="32"/>
  <c r="V111" i="32"/>
  <c r="U111" i="32"/>
  <c r="T111" i="32"/>
  <c r="S111" i="32"/>
  <c r="Q111" i="32"/>
  <c r="O111" i="32"/>
  <c r="M111" i="32"/>
  <c r="K111" i="32"/>
  <c r="X110" i="32"/>
  <c r="W110" i="32"/>
  <c r="V110" i="32"/>
  <c r="U110" i="32"/>
  <c r="T110" i="32"/>
  <c r="S110" i="32"/>
  <c r="Q110" i="32"/>
  <c r="O110" i="32"/>
  <c r="M110" i="32"/>
  <c r="K110" i="32"/>
  <c r="X109" i="32"/>
  <c r="W109" i="32"/>
  <c r="V109" i="32"/>
  <c r="U109" i="32"/>
  <c r="T109" i="32"/>
  <c r="S109" i="32"/>
  <c r="Q109" i="32"/>
  <c r="O109" i="32"/>
  <c r="M109" i="32"/>
  <c r="K109" i="32"/>
  <c r="X108" i="32"/>
  <c r="W108" i="32"/>
  <c r="V108" i="32"/>
  <c r="U108" i="32"/>
  <c r="T108" i="32"/>
  <c r="S108" i="32"/>
  <c r="Q108" i="32"/>
  <c r="O108" i="32"/>
  <c r="M108" i="32"/>
  <c r="K108" i="32"/>
  <c r="X107" i="32"/>
  <c r="W107" i="32"/>
  <c r="V107" i="32"/>
  <c r="U107" i="32"/>
  <c r="T107" i="32"/>
  <c r="S107" i="32"/>
  <c r="Q107" i="32"/>
  <c r="O107" i="32"/>
  <c r="M107" i="32"/>
  <c r="K107" i="32"/>
  <c r="X106" i="32"/>
  <c r="W106" i="32"/>
  <c r="V106" i="32"/>
  <c r="U106" i="32"/>
  <c r="T106" i="32"/>
  <c r="S106" i="32"/>
  <c r="Q106" i="32"/>
  <c r="O106" i="32"/>
  <c r="M106" i="32"/>
  <c r="K106" i="32"/>
  <c r="X105" i="32"/>
  <c r="W105" i="32"/>
  <c r="V105" i="32"/>
  <c r="U105" i="32"/>
  <c r="T105" i="32"/>
  <c r="S105" i="32"/>
  <c r="Q105" i="32"/>
  <c r="O105" i="32"/>
  <c r="M105" i="32"/>
  <c r="K105" i="32"/>
  <c r="X104" i="32"/>
  <c r="W104" i="32"/>
  <c r="V104" i="32"/>
  <c r="U104" i="32"/>
  <c r="T104" i="32"/>
  <c r="S104" i="32"/>
  <c r="Q104" i="32"/>
  <c r="O104" i="32"/>
  <c r="M104" i="32"/>
  <c r="K104" i="32"/>
  <c r="X103" i="32"/>
  <c r="W103" i="32"/>
  <c r="V103" i="32"/>
  <c r="U103" i="32"/>
  <c r="T103" i="32"/>
  <c r="S103" i="32"/>
  <c r="Q103" i="32"/>
  <c r="O103" i="32"/>
  <c r="M103" i="32"/>
  <c r="K103" i="32"/>
  <c r="X102" i="32"/>
  <c r="W102" i="32"/>
  <c r="V102" i="32"/>
  <c r="U102" i="32"/>
  <c r="T102" i="32"/>
  <c r="S102" i="32"/>
  <c r="Q102" i="32"/>
  <c r="O102" i="32"/>
  <c r="M102" i="32"/>
  <c r="K102" i="32"/>
  <c r="X101" i="32"/>
  <c r="W101" i="32"/>
  <c r="V101" i="32"/>
  <c r="U101" i="32"/>
  <c r="T101" i="32"/>
  <c r="S101" i="32"/>
  <c r="Q101" i="32"/>
  <c r="O101" i="32"/>
  <c r="M101" i="32"/>
  <c r="K101" i="32"/>
  <c r="X100" i="32"/>
  <c r="W100" i="32"/>
  <c r="V100" i="32"/>
  <c r="U100" i="32"/>
  <c r="T100" i="32"/>
  <c r="S100" i="32"/>
  <c r="Q100" i="32"/>
  <c r="O100" i="32"/>
  <c r="M100" i="32"/>
  <c r="K100" i="32"/>
  <c r="X99" i="32"/>
  <c r="W99" i="32"/>
  <c r="V99" i="32"/>
  <c r="U99" i="32"/>
  <c r="T99" i="32"/>
  <c r="S99" i="32"/>
  <c r="Q99" i="32"/>
  <c r="O99" i="32"/>
  <c r="M99" i="32"/>
  <c r="K99" i="32"/>
  <c r="X98" i="32"/>
  <c r="W98" i="32"/>
  <c r="V98" i="32"/>
  <c r="U98" i="32"/>
  <c r="T98" i="32"/>
  <c r="S98" i="32"/>
  <c r="Q98" i="32"/>
  <c r="O98" i="32"/>
  <c r="M98" i="32"/>
  <c r="K98" i="32"/>
  <c r="X97" i="32"/>
  <c r="W97" i="32"/>
  <c r="V97" i="32"/>
  <c r="U97" i="32"/>
  <c r="T97" i="32"/>
  <c r="S97" i="32"/>
  <c r="Q97" i="32"/>
  <c r="O97" i="32"/>
  <c r="M97" i="32"/>
  <c r="K97" i="32"/>
  <c r="X96" i="32"/>
  <c r="W96" i="32"/>
  <c r="V96" i="32"/>
  <c r="U96" i="32"/>
  <c r="T96" i="32"/>
  <c r="S96" i="32"/>
  <c r="Q96" i="32"/>
  <c r="O96" i="32"/>
  <c r="M96" i="32"/>
  <c r="K96" i="32"/>
  <c r="X95" i="32"/>
  <c r="W95" i="32"/>
  <c r="V95" i="32"/>
  <c r="U95" i="32"/>
  <c r="T95" i="32"/>
  <c r="S95" i="32"/>
  <c r="Q95" i="32"/>
  <c r="O95" i="32"/>
  <c r="M95" i="32"/>
  <c r="K95" i="32"/>
  <c r="X94" i="32"/>
  <c r="W94" i="32"/>
  <c r="V94" i="32"/>
  <c r="U94" i="32"/>
  <c r="T94" i="32"/>
  <c r="S94" i="32"/>
  <c r="Q94" i="32"/>
  <c r="O94" i="32"/>
  <c r="M94" i="32"/>
  <c r="K94" i="32"/>
  <c r="X93" i="32"/>
  <c r="W93" i="32"/>
  <c r="V93" i="32"/>
  <c r="U93" i="32"/>
  <c r="T93" i="32"/>
  <c r="S93" i="32"/>
  <c r="Q93" i="32"/>
  <c r="O93" i="32"/>
  <c r="M93" i="32"/>
  <c r="K93" i="32"/>
  <c r="X92" i="32"/>
  <c r="W92" i="32"/>
  <c r="V92" i="32"/>
  <c r="U92" i="32"/>
  <c r="T92" i="32"/>
  <c r="S92" i="32"/>
  <c r="Q92" i="32"/>
  <c r="O92" i="32"/>
  <c r="M92" i="32"/>
  <c r="K92" i="32"/>
  <c r="X91" i="32"/>
  <c r="W91" i="32"/>
  <c r="V91" i="32"/>
  <c r="U91" i="32"/>
  <c r="T91" i="32"/>
  <c r="S91" i="32"/>
  <c r="Q91" i="32"/>
  <c r="O91" i="32"/>
  <c r="M91" i="32"/>
  <c r="K91" i="32"/>
  <c r="X90" i="32"/>
  <c r="W90" i="32"/>
  <c r="V90" i="32"/>
  <c r="U90" i="32"/>
  <c r="T90" i="32"/>
  <c r="S90" i="32"/>
  <c r="Q90" i="32"/>
  <c r="O90" i="32"/>
  <c r="M90" i="32"/>
  <c r="K90" i="32"/>
  <c r="X89" i="32"/>
  <c r="W89" i="32"/>
  <c r="V89" i="32"/>
  <c r="U89" i="32"/>
  <c r="T89" i="32"/>
  <c r="S89" i="32"/>
  <c r="Q89" i="32"/>
  <c r="O89" i="32"/>
  <c r="M89" i="32"/>
  <c r="K89" i="32"/>
  <c r="X88" i="32"/>
  <c r="W88" i="32"/>
  <c r="V88" i="32"/>
  <c r="U88" i="32"/>
  <c r="T88" i="32"/>
  <c r="S88" i="32"/>
  <c r="Q88" i="32"/>
  <c r="O88" i="32"/>
  <c r="M88" i="32"/>
  <c r="K88" i="32"/>
  <c r="X87" i="32"/>
  <c r="W87" i="32"/>
  <c r="V87" i="32"/>
  <c r="U87" i="32"/>
  <c r="T87" i="32"/>
  <c r="S87" i="32"/>
  <c r="Q87" i="32"/>
  <c r="O87" i="32"/>
  <c r="M87" i="32"/>
  <c r="K87" i="32"/>
  <c r="X86" i="32"/>
  <c r="W86" i="32"/>
  <c r="V86" i="32"/>
  <c r="U86" i="32"/>
  <c r="T86" i="32"/>
  <c r="S86" i="32"/>
  <c r="Q86" i="32"/>
  <c r="O86" i="32"/>
  <c r="M86" i="32"/>
  <c r="K86" i="32"/>
  <c r="X85" i="32"/>
  <c r="W85" i="32"/>
  <c r="V85" i="32"/>
  <c r="U85" i="32"/>
  <c r="T85" i="32"/>
  <c r="S85" i="32"/>
  <c r="Q85" i="32"/>
  <c r="O85" i="32"/>
  <c r="M85" i="32"/>
  <c r="K85" i="32"/>
  <c r="X84" i="32"/>
  <c r="W84" i="32"/>
  <c r="V84" i="32"/>
  <c r="U84" i="32"/>
  <c r="T84" i="32"/>
  <c r="S84" i="32"/>
  <c r="Q84" i="32"/>
  <c r="O84" i="32"/>
  <c r="M84" i="32"/>
  <c r="K84" i="32"/>
  <c r="X83" i="32"/>
  <c r="W83" i="32"/>
  <c r="V83" i="32"/>
  <c r="U83" i="32"/>
  <c r="T83" i="32"/>
  <c r="S83" i="32"/>
  <c r="Q83" i="32"/>
  <c r="O83" i="32"/>
  <c r="M83" i="32"/>
  <c r="K83" i="32"/>
  <c r="X82" i="32"/>
  <c r="W82" i="32"/>
  <c r="V82" i="32"/>
  <c r="U82" i="32"/>
  <c r="T82" i="32"/>
  <c r="S82" i="32"/>
  <c r="Q82" i="32"/>
  <c r="O82" i="32"/>
  <c r="M82" i="32"/>
  <c r="K82" i="32"/>
  <c r="X81" i="32"/>
  <c r="W81" i="32"/>
  <c r="V81" i="32"/>
  <c r="U81" i="32"/>
  <c r="T81" i="32"/>
  <c r="S81" i="32"/>
  <c r="Q81" i="32"/>
  <c r="O81" i="32"/>
  <c r="M81" i="32"/>
  <c r="K81" i="32"/>
  <c r="X80" i="32"/>
  <c r="W80" i="32"/>
  <c r="V80" i="32"/>
  <c r="U80" i="32"/>
  <c r="T80" i="32"/>
  <c r="S80" i="32"/>
  <c r="Q80" i="32"/>
  <c r="O80" i="32"/>
  <c r="M80" i="32"/>
  <c r="K80" i="32"/>
  <c r="X79" i="32"/>
  <c r="W79" i="32"/>
  <c r="V79" i="32"/>
  <c r="U79" i="32"/>
  <c r="T79" i="32"/>
  <c r="S79" i="32"/>
  <c r="Q79" i="32"/>
  <c r="O79" i="32"/>
  <c r="M79" i="32"/>
  <c r="K79" i="32"/>
  <c r="X78" i="32"/>
  <c r="W78" i="32"/>
  <c r="V78" i="32"/>
  <c r="U78" i="32"/>
  <c r="T78" i="32"/>
  <c r="S78" i="32"/>
  <c r="Q78" i="32"/>
  <c r="O78" i="32"/>
  <c r="M78" i="32"/>
  <c r="K78" i="32"/>
  <c r="X77" i="32"/>
  <c r="W77" i="32"/>
  <c r="V77" i="32"/>
  <c r="U77" i="32"/>
  <c r="T77" i="32"/>
  <c r="S77" i="32"/>
  <c r="Q77" i="32"/>
  <c r="O77" i="32"/>
  <c r="M77" i="32"/>
  <c r="K77" i="32"/>
  <c r="X76" i="32"/>
  <c r="W76" i="32"/>
  <c r="V76" i="32"/>
  <c r="U76" i="32"/>
  <c r="T76" i="32"/>
  <c r="S76" i="32"/>
  <c r="Q76" i="32"/>
  <c r="O76" i="32"/>
  <c r="M76" i="32"/>
  <c r="K76" i="32"/>
  <c r="X75" i="32"/>
  <c r="W75" i="32"/>
  <c r="V75" i="32"/>
  <c r="U75" i="32"/>
  <c r="T75" i="32"/>
  <c r="S75" i="32"/>
  <c r="Q75" i="32"/>
  <c r="O75" i="32"/>
  <c r="M75" i="32"/>
  <c r="K75" i="32"/>
  <c r="X74" i="32"/>
  <c r="W74" i="32"/>
  <c r="V74" i="32"/>
  <c r="U74" i="32"/>
  <c r="T74" i="32"/>
  <c r="S74" i="32"/>
  <c r="Q74" i="32"/>
  <c r="O74" i="32"/>
  <c r="M74" i="32"/>
  <c r="K74" i="32"/>
  <c r="X73" i="32"/>
  <c r="W73" i="32"/>
  <c r="V73" i="32"/>
  <c r="U73" i="32"/>
  <c r="T73" i="32"/>
  <c r="S73" i="32"/>
  <c r="Q73" i="32"/>
  <c r="O73" i="32"/>
  <c r="M73" i="32"/>
  <c r="K73" i="32"/>
  <c r="X72" i="32"/>
  <c r="W72" i="32"/>
  <c r="V72" i="32"/>
  <c r="U72" i="32"/>
  <c r="T72" i="32"/>
  <c r="S72" i="32"/>
  <c r="Q72" i="32"/>
  <c r="O72" i="32"/>
  <c r="M72" i="32"/>
  <c r="K72" i="32"/>
  <c r="X71" i="32"/>
  <c r="W71" i="32"/>
  <c r="V71" i="32"/>
  <c r="U71" i="32"/>
  <c r="T71" i="32"/>
  <c r="S71" i="32"/>
  <c r="Q71" i="32"/>
  <c r="O71" i="32"/>
  <c r="M71" i="32"/>
  <c r="K71" i="32"/>
  <c r="X70" i="32"/>
  <c r="W70" i="32"/>
  <c r="V70" i="32"/>
  <c r="U70" i="32"/>
  <c r="T70" i="32"/>
  <c r="S70" i="32"/>
  <c r="Q70" i="32"/>
  <c r="O70" i="32"/>
  <c r="M70" i="32"/>
  <c r="K70" i="32"/>
  <c r="X69" i="32"/>
  <c r="W69" i="32"/>
  <c r="V69" i="32"/>
  <c r="U69" i="32"/>
  <c r="T69" i="32"/>
  <c r="S69" i="32"/>
  <c r="Q69" i="32"/>
  <c r="O69" i="32"/>
  <c r="M69" i="32"/>
  <c r="K69" i="32"/>
  <c r="X68" i="32"/>
  <c r="W68" i="32"/>
  <c r="V68" i="32"/>
  <c r="U68" i="32"/>
  <c r="T68" i="32"/>
  <c r="S68" i="32"/>
  <c r="Q68" i="32"/>
  <c r="O68" i="32"/>
  <c r="M68" i="32"/>
  <c r="K68" i="32"/>
  <c r="X67" i="32"/>
  <c r="W67" i="32"/>
  <c r="V67" i="32"/>
  <c r="U67" i="32"/>
  <c r="T67" i="32"/>
  <c r="S67" i="32"/>
  <c r="Q67" i="32"/>
  <c r="O67" i="32"/>
  <c r="M67" i="32"/>
  <c r="K67" i="32"/>
  <c r="X66" i="32"/>
  <c r="W66" i="32"/>
  <c r="V66" i="32"/>
  <c r="U66" i="32"/>
  <c r="T66" i="32"/>
  <c r="S66" i="32"/>
  <c r="Q66" i="32"/>
  <c r="O66" i="32"/>
  <c r="M66" i="32"/>
  <c r="K66" i="32"/>
  <c r="X65" i="32"/>
  <c r="W65" i="32"/>
  <c r="V65" i="32"/>
  <c r="U65" i="32"/>
  <c r="T65" i="32"/>
  <c r="S65" i="32"/>
  <c r="Q65" i="32"/>
  <c r="O65" i="32"/>
  <c r="M65" i="32"/>
  <c r="K65" i="32"/>
  <c r="X64" i="32"/>
  <c r="W64" i="32"/>
  <c r="V64" i="32"/>
  <c r="U64" i="32"/>
  <c r="T64" i="32"/>
  <c r="S64" i="32"/>
  <c r="Q64" i="32"/>
  <c r="O64" i="32"/>
  <c r="M64" i="32"/>
  <c r="K64" i="32"/>
  <c r="X63" i="32"/>
  <c r="W63" i="32"/>
  <c r="V63" i="32"/>
  <c r="U63" i="32"/>
  <c r="T63" i="32"/>
  <c r="S63" i="32"/>
  <c r="Q63" i="32"/>
  <c r="O63" i="32"/>
  <c r="M63" i="32"/>
  <c r="K63" i="32"/>
  <c r="X62" i="32"/>
  <c r="W62" i="32"/>
  <c r="V62" i="32"/>
  <c r="U62" i="32"/>
  <c r="T62" i="32"/>
  <c r="S62" i="32"/>
  <c r="Q62" i="32"/>
  <c r="O62" i="32"/>
  <c r="M62" i="32"/>
  <c r="K62" i="32"/>
  <c r="X61" i="32"/>
  <c r="W61" i="32"/>
  <c r="V61" i="32"/>
  <c r="U61" i="32"/>
  <c r="T61" i="32"/>
  <c r="S61" i="32"/>
  <c r="Q61" i="32"/>
  <c r="O61" i="32"/>
  <c r="M61" i="32"/>
  <c r="K61" i="32"/>
  <c r="X60" i="32"/>
  <c r="W60" i="32"/>
  <c r="V60" i="32"/>
  <c r="U60" i="32"/>
  <c r="T60" i="32"/>
  <c r="S60" i="32"/>
  <c r="Q60" i="32"/>
  <c r="O60" i="32"/>
  <c r="M60" i="32"/>
  <c r="K60" i="32"/>
  <c r="X59" i="32"/>
  <c r="W59" i="32"/>
  <c r="V59" i="32"/>
  <c r="U59" i="32"/>
  <c r="T59" i="32"/>
  <c r="S59" i="32"/>
  <c r="Q59" i="32"/>
  <c r="O59" i="32"/>
  <c r="M59" i="32"/>
  <c r="K59" i="32"/>
  <c r="X58" i="32"/>
  <c r="W58" i="32"/>
  <c r="V58" i="32"/>
  <c r="U58" i="32"/>
  <c r="T58" i="32"/>
  <c r="S58" i="32"/>
  <c r="Q58" i="32"/>
  <c r="O58" i="32"/>
  <c r="M58" i="32"/>
  <c r="K58" i="32"/>
  <c r="X57" i="32"/>
  <c r="W57" i="32"/>
  <c r="V57" i="32"/>
  <c r="U57" i="32"/>
  <c r="T57" i="32"/>
  <c r="S57" i="32"/>
  <c r="Q57" i="32"/>
  <c r="O57" i="32"/>
  <c r="M57" i="32"/>
  <c r="K57" i="32"/>
  <c r="X56" i="32"/>
  <c r="W56" i="32"/>
  <c r="V56" i="32"/>
  <c r="U56" i="32"/>
  <c r="T56" i="32"/>
  <c r="S56" i="32"/>
  <c r="Q56" i="32"/>
  <c r="O56" i="32"/>
  <c r="M56" i="32"/>
  <c r="K56" i="32"/>
  <c r="X55" i="32"/>
  <c r="W55" i="32"/>
  <c r="V55" i="32"/>
  <c r="U55" i="32"/>
  <c r="T55" i="32"/>
  <c r="S55" i="32"/>
  <c r="Q55" i="32"/>
  <c r="O55" i="32"/>
  <c r="M55" i="32"/>
  <c r="K55" i="32"/>
  <c r="X54" i="32"/>
  <c r="W54" i="32"/>
  <c r="V54" i="32"/>
  <c r="U54" i="32"/>
  <c r="T54" i="32"/>
  <c r="S54" i="32"/>
  <c r="Q54" i="32"/>
  <c r="O54" i="32"/>
  <c r="M54" i="32"/>
  <c r="K54" i="32"/>
  <c r="X53" i="32"/>
  <c r="W53" i="32"/>
  <c r="V53" i="32"/>
  <c r="U53" i="32"/>
  <c r="T53" i="32"/>
  <c r="S53" i="32"/>
  <c r="Q53" i="32"/>
  <c r="O53" i="32"/>
  <c r="M53" i="32"/>
  <c r="K53" i="32"/>
  <c r="X52" i="32"/>
  <c r="W52" i="32"/>
  <c r="V52" i="32"/>
  <c r="U52" i="32"/>
  <c r="T52" i="32"/>
  <c r="S52" i="32"/>
  <c r="Q52" i="32"/>
  <c r="O52" i="32"/>
  <c r="M52" i="32"/>
  <c r="K52" i="32"/>
  <c r="X51" i="32"/>
  <c r="W51" i="32"/>
  <c r="V51" i="32"/>
  <c r="U51" i="32"/>
  <c r="T51" i="32"/>
  <c r="S51" i="32"/>
  <c r="Q51" i="32"/>
  <c r="O51" i="32"/>
  <c r="M51" i="32"/>
  <c r="K51" i="32"/>
  <c r="X50" i="32"/>
  <c r="W50" i="32"/>
  <c r="V50" i="32"/>
  <c r="U50" i="32"/>
  <c r="T50" i="32"/>
  <c r="S50" i="32"/>
  <c r="Q50" i="32"/>
  <c r="O50" i="32"/>
  <c r="M50" i="32"/>
  <c r="K50" i="32"/>
  <c r="X49" i="32"/>
  <c r="W49" i="32"/>
  <c r="V49" i="32"/>
  <c r="U49" i="32"/>
  <c r="T49" i="32"/>
  <c r="S49" i="32"/>
  <c r="Q49" i="32"/>
  <c r="O49" i="32"/>
  <c r="M49" i="32"/>
  <c r="K49" i="32"/>
  <c r="X48" i="32"/>
  <c r="W48" i="32"/>
  <c r="V48" i="32"/>
  <c r="U48" i="32"/>
  <c r="T48" i="32"/>
  <c r="S48" i="32"/>
  <c r="Q48" i="32"/>
  <c r="O48" i="32"/>
  <c r="M48" i="32"/>
  <c r="K48" i="32"/>
  <c r="X47" i="32"/>
  <c r="W47" i="32"/>
  <c r="V47" i="32"/>
  <c r="U47" i="32"/>
  <c r="T47" i="32"/>
  <c r="S47" i="32"/>
  <c r="Q47" i="32"/>
  <c r="O47" i="32"/>
  <c r="M47" i="32"/>
  <c r="K47" i="32"/>
  <c r="X46" i="32"/>
  <c r="W46" i="32"/>
  <c r="V46" i="32"/>
  <c r="U46" i="32"/>
  <c r="T46" i="32"/>
  <c r="S46" i="32"/>
  <c r="Q46" i="32"/>
  <c r="O46" i="32"/>
  <c r="M46" i="32"/>
  <c r="K46" i="32"/>
  <c r="X45" i="32"/>
  <c r="W45" i="32"/>
  <c r="V45" i="32"/>
  <c r="U45" i="32"/>
  <c r="T45" i="32"/>
  <c r="S45" i="32"/>
  <c r="Q45" i="32"/>
  <c r="O45" i="32"/>
  <c r="M45" i="32"/>
  <c r="K45" i="32"/>
  <c r="X44" i="32"/>
  <c r="W44" i="32"/>
  <c r="V44" i="32"/>
  <c r="U44" i="32"/>
  <c r="T44" i="32"/>
  <c r="S44" i="32"/>
  <c r="Q44" i="32"/>
  <c r="O44" i="32"/>
  <c r="M44" i="32"/>
  <c r="K44" i="32"/>
  <c r="X43" i="32"/>
  <c r="W43" i="32"/>
  <c r="V43" i="32"/>
  <c r="U43" i="32"/>
  <c r="T43" i="32"/>
  <c r="S43" i="32"/>
  <c r="Q43" i="32"/>
  <c r="O43" i="32"/>
  <c r="M43" i="32"/>
  <c r="K43" i="32"/>
  <c r="X42" i="32"/>
  <c r="W42" i="32"/>
  <c r="V42" i="32"/>
  <c r="U42" i="32"/>
  <c r="T42" i="32"/>
  <c r="S42" i="32"/>
  <c r="Q42" i="32"/>
  <c r="O42" i="32"/>
  <c r="M42" i="32"/>
  <c r="K42" i="32"/>
  <c r="X41" i="32"/>
  <c r="W41" i="32"/>
  <c r="V41" i="32"/>
  <c r="U41" i="32"/>
  <c r="T41" i="32"/>
  <c r="S41" i="32"/>
  <c r="Q41" i="32"/>
  <c r="O41" i="32"/>
  <c r="M41" i="32"/>
  <c r="K41" i="32"/>
  <c r="X40" i="32"/>
  <c r="W40" i="32"/>
  <c r="V40" i="32"/>
  <c r="U40" i="32"/>
  <c r="T40" i="32"/>
  <c r="S40" i="32"/>
  <c r="Q40" i="32"/>
  <c r="O40" i="32"/>
  <c r="M40" i="32"/>
  <c r="K40" i="32"/>
  <c r="X39" i="32"/>
  <c r="W39" i="32"/>
  <c r="V39" i="32"/>
  <c r="U39" i="32"/>
  <c r="T39" i="32"/>
  <c r="S39" i="32"/>
  <c r="Q39" i="32"/>
  <c r="O39" i="32"/>
  <c r="M39" i="32"/>
  <c r="K39" i="32"/>
  <c r="X38" i="32"/>
  <c r="W38" i="32"/>
  <c r="V38" i="32"/>
  <c r="U38" i="32"/>
  <c r="T38" i="32"/>
  <c r="S38" i="32"/>
  <c r="Q38" i="32"/>
  <c r="O38" i="32"/>
  <c r="M38" i="32"/>
  <c r="K38" i="32"/>
  <c r="X37" i="32"/>
  <c r="W37" i="32"/>
  <c r="V37" i="32"/>
  <c r="U37" i="32"/>
  <c r="T37" i="32"/>
  <c r="S37" i="32"/>
  <c r="Q37" i="32"/>
  <c r="O37" i="32"/>
  <c r="M37" i="32"/>
  <c r="K37" i="32"/>
  <c r="X36" i="32"/>
  <c r="W36" i="32"/>
  <c r="V36" i="32"/>
  <c r="U36" i="32"/>
  <c r="T36" i="32"/>
  <c r="S36" i="32"/>
  <c r="Q36" i="32"/>
  <c r="O36" i="32"/>
  <c r="M36" i="32"/>
  <c r="K36" i="32"/>
  <c r="X35" i="32"/>
  <c r="W35" i="32"/>
  <c r="V35" i="32"/>
  <c r="U35" i="32"/>
  <c r="T35" i="32"/>
  <c r="S35" i="32"/>
  <c r="Q35" i="32"/>
  <c r="O35" i="32"/>
  <c r="M35" i="32"/>
  <c r="K35" i="32"/>
  <c r="X34" i="32"/>
  <c r="W34" i="32"/>
  <c r="V34" i="32"/>
  <c r="U34" i="32"/>
  <c r="T34" i="32"/>
  <c r="S34" i="32"/>
  <c r="Q34" i="32"/>
  <c r="O34" i="32"/>
  <c r="M34" i="32"/>
  <c r="K34" i="32"/>
  <c r="X33" i="32"/>
  <c r="W33" i="32"/>
  <c r="V33" i="32"/>
  <c r="U33" i="32"/>
  <c r="T33" i="32"/>
  <c r="S33" i="32"/>
  <c r="Q33" i="32"/>
  <c r="O33" i="32"/>
  <c r="M33" i="32"/>
  <c r="K33" i="32"/>
  <c r="X32" i="32"/>
  <c r="W32" i="32"/>
  <c r="V32" i="32"/>
  <c r="U32" i="32"/>
  <c r="T32" i="32"/>
  <c r="S32" i="32"/>
  <c r="Q32" i="32"/>
  <c r="O32" i="32"/>
  <c r="M32" i="32"/>
  <c r="K32" i="32"/>
  <c r="X31" i="32"/>
  <c r="W31" i="32"/>
  <c r="V31" i="32"/>
  <c r="U31" i="32"/>
  <c r="T31" i="32"/>
  <c r="S31" i="32"/>
  <c r="Q31" i="32"/>
  <c r="O31" i="32"/>
  <c r="M31" i="32"/>
  <c r="K31" i="32"/>
  <c r="X30" i="32"/>
  <c r="W30" i="32"/>
  <c r="V30" i="32"/>
  <c r="U30" i="32"/>
  <c r="T30" i="32"/>
  <c r="S30" i="32"/>
  <c r="Q30" i="32"/>
  <c r="O30" i="32"/>
  <c r="M30" i="32"/>
  <c r="K30" i="32"/>
  <c r="X29" i="32"/>
  <c r="W29" i="32"/>
  <c r="V29" i="32"/>
  <c r="U29" i="32"/>
  <c r="T29" i="32"/>
  <c r="S29" i="32"/>
  <c r="Q29" i="32"/>
  <c r="O29" i="32"/>
  <c r="M29" i="32"/>
  <c r="K29" i="32"/>
  <c r="X28" i="32"/>
  <c r="W28" i="32"/>
  <c r="V28" i="32"/>
  <c r="U28" i="32"/>
  <c r="T28" i="32"/>
  <c r="S28" i="32"/>
  <c r="Q28" i="32"/>
  <c r="O28" i="32"/>
  <c r="M28" i="32"/>
  <c r="K28" i="32"/>
  <c r="X27" i="32"/>
  <c r="W27" i="32"/>
  <c r="V27" i="32"/>
  <c r="U27" i="32"/>
  <c r="T27" i="32"/>
  <c r="S27" i="32"/>
  <c r="Q27" i="32"/>
  <c r="O27" i="32"/>
  <c r="M27" i="32"/>
  <c r="K27" i="32"/>
  <c r="X26" i="32"/>
  <c r="W26" i="32"/>
  <c r="V26" i="32"/>
  <c r="U26" i="32"/>
  <c r="T26" i="32"/>
  <c r="S26" i="32"/>
  <c r="Q26" i="32"/>
  <c r="O26" i="32"/>
  <c r="M26" i="32"/>
  <c r="K26" i="32"/>
  <c r="X25" i="32"/>
  <c r="W25" i="32"/>
  <c r="V25" i="32"/>
  <c r="U25" i="32"/>
  <c r="T25" i="32"/>
  <c r="S25" i="32"/>
  <c r="Q25" i="32"/>
  <c r="O25" i="32"/>
  <c r="M25" i="32"/>
  <c r="K25" i="32"/>
  <c r="X24" i="32"/>
  <c r="W24" i="32"/>
  <c r="V24" i="32"/>
  <c r="U24" i="32"/>
  <c r="T24" i="32"/>
  <c r="S24" i="32"/>
  <c r="Q24" i="32"/>
  <c r="O24" i="32"/>
  <c r="M24" i="32"/>
  <c r="K24" i="32"/>
  <c r="X23" i="32"/>
  <c r="W23" i="32"/>
  <c r="V23" i="32"/>
  <c r="U23" i="32"/>
  <c r="T23" i="32"/>
  <c r="S23" i="32"/>
  <c r="Q23" i="32"/>
  <c r="O23" i="32"/>
  <c r="M23" i="32"/>
  <c r="K23" i="32"/>
  <c r="X22" i="32"/>
  <c r="W22" i="32"/>
  <c r="V22" i="32"/>
  <c r="U22" i="32"/>
  <c r="T22" i="32"/>
  <c r="S22" i="32"/>
  <c r="Q22" i="32"/>
  <c r="O22" i="32"/>
  <c r="M22" i="32"/>
  <c r="K22" i="32"/>
  <c r="X21" i="32"/>
  <c r="W21" i="32"/>
  <c r="V21" i="32"/>
  <c r="U21" i="32"/>
  <c r="T21" i="32"/>
  <c r="S21" i="32"/>
  <c r="Q21" i="32"/>
  <c r="O21" i="32"/>
  <c r="M21" i="32"/>
  <c r="K21" i="32"/>
  <c r="X20" i="32"/>
  <c r="W20" i="32"/>
  <c r="V20" i="32"/>
  <c r="U20" i="32"/>
  <c r="T20" i="32"/>
  <c r="S20" i="32"/>
  <c r="Q20" i="32"/>
  <c r="O20" i="32"/>
  <c r="M20" i="32"/>
  <c r="K20" i="32"/>
  <c r="X19" i="32"/>
  <c r="W19" i="32"/>
  <c r="V19" i="32"/>
  <c r="U19" i="32"/>
  <c r="T19" i="32"/>
  <c r="S19" i="32"/>
  <c r="Q19" i="32"/>
  <c r="O19" i="32"/>
  <c r="M19" i="32"/>
  <c r="K19" i="32"/>
  <c r="X18" i="32"/>
  <c r="W18" i="32"/>
  <c r="V18" i="32"/>
  <c r="U18" i="32"/>
  <c r="T18" i="32"/>
  <c r="S18" i="32"/>
  <c r="Q18" i="32"/>
  <c r="O18" i="32"/>
  <c r="M18" i="32"/>
  <c r="K18" i="32"/>
  <c r="X17" i="32"/>
  <c r="W17" i="32"/>
  <c r="V17" i="32"/>
  <c r="U17" i="32"/>
  <c r="T17" i="32"/>
  <c r="S17" i="32"/>
  <c r="Q17" i="32"/>
  <c r="O17" i="32"/>
  <c r="M17" i="32"/>
  <c r="K17" i="32"/>
  <c r="X16" i="32"/>
  <c r="W16" i="32"/>
  <c r="V16" i="32"/>
  <c r="U16" i="32"/>
  <c r="T16" i="32"/>
  <c r="S16" i="32"/>
  <c r="Q16" i="32"/>
  <c r="O16" i="32"/>
  <c r="M16" i="32"/>
  <c r="K16" i="32"/>
  <c r="X15" i="32"/>
  <c r="W15" i="32"/>
  <c r="V15" i="32"/>
  <c r="U15" i="32"/>
  <c r="T15" i="32"/>
  <c r="S15" i="32"/>
  <c r="Q15" i="32"/>
  <c r="O15" i="32"/>
  <c r="M15" i="32"/>
  <c r="K15" i="32"/>
  <c r="X14" i="32"/>
  <c r="W14" i="32"/>
  <c r="V14" i="32"/>
  <c r="U14" i="32"/>
  <c r="T14" i="32"/>
  <c r="S14" i="32"/>
  <c r="Q14" i="32"/>
  <c r="O14" i="32"/>
  <c r="M14" i="32"/>
  <c r="K14" i="32"/>
  <c r="X13" i="32"/>
  <c r="W13" i="32"/>
  <c r="V13" i="32"/>
  <c r="U13" i="32"/>
  <c r="T13" i="32"/>
  <c r="S13" i="32"/>
  <c r="Q13" i="32"/>
  <c r="O13" i="32"/>
  <c r="M13" i="32"/>
  <c r="K13" i="32"/>
  <c r="X12" i="32"/>
  <c r="W12" i="32"/>
  <c r="V12" i="32"/>
  <c r="U12" i="32"/>
  <c r="T12" i="32"/>
  <c r="S12" i="32"/>
  <c r="Q12" i="32"/>
  <c r="O12" i="32"/>
  <c r="M12" i="32"/>
  <c r="K12" i="32"/>
  <c r="X11" i="32"/>
  <c r="W11" i="32"/>
  <c r="V11" i="32"/>
  <c r="U11" i="32"/>
  <c r="T11" i="32"/>
  <c r="S11" i="32"/>
  <c r="Q11" i="32"/>
  <c r="O11" i="32"/>
  <c r="M11" i="32"/>
  <c r="K11" i="32"/>
  <c r="X10" i="32"/>
  <c r="W10" i="32"/>
  <c r="V10" i="32"/>
  <c r="U10" i="32"/>
  <c r="T10" i="32"/>
  <c r="S10" i="32"/>
  <c r="Q10" i="32"/>
  <c r="O10" i="32"/>
  <c r="M10" i="32"/>
  <c r="K10" i="32"/>
  <c r="X9" i="32"/>
  <c r="W9" i="32"/>
  <c r="V9" i="32"/>
  <c r="U9" i="32"/>
  <c r="T9" i="32"/>
  <c r="S9" i="32"/>
  <c r="Q9" i="32"/>
  <c r="O9" i="32"/>
  <c r="M9" i="32"/>
  <c r="K9" i="32"/>
  <c r="X8" i="32"/>
  <c r="W8" i="32"/>
  <c r="V8" i="32"/>
  <c r="U8" i="32"/>
  <c r="T8" i="32"/>
  <c r="S8" i="32"/>
  <c r="Q8" i="32"/>
  <c r="O8" i="32"/>
  <c r="M8" i="32"/>
  <c r="K8" i="32"/>
  <c r="X7" i="32"/>
  <c r="W7" i="32"/>
  <c r="V7" i="32"/>
  <c r="U7" i="32"/>
  <c r="T7" i="32"/>
  <c r="S7" i="32"/>
  <c r="Q7" i="32"/>
  <c r="O7" i="32"/>
  <c r="M7" i="32"/>
  <c r="K7" i="32"/>
  <c r="X317" i="31"/>
  <c r="W317" i="31"/>
  <c r="V317" i="31"/>
  <c r="U317" i="31"/>
  <c r="T317" i="31"/>
  <c r="S317" i="31"/>
  <c r="Q317" i="31"/>
  <c r="O317" i="31"/>
  <c r="M317" i="31"/>
  <c r="K317" i="31"/>
  <c r="X316" i="31"/>
  <c r="W316" i="31"/>
  <c r="V316" i="31"/>
  <c r="U316" i="31"/>
  <c r="T316" i="31"/>
  <c r="S316" i="31"/>
  <c r="Q316" i="31"/>
  <c r="O316" i="31"/>
  <c r="M316" i="31"/>
  <c r="K316" i="31"/>
  <c r="X315" i="31"/>
  <c r="W315" i="31"/>
  <c r="V315" i="31"/>
  <c r="U315" i="31"/>
  <c r="T315" i="31"/>
  <c r="S315" i="31"/>
  <c r="Q315" i="31"/>
  <c r="O315" i="31"/>
  <c r="M315" i="31"/>
  <c r="K315" i="31"/>
  <c r="X314" i="31"/>
  <c r="W314" i="31"/>
  <c r="V314" i="31"/>
  <c r="U314" i="31"/>
  <c r="T314" i="31"/>
  <c r="S314" i="31"/>
  <c r="Q314" i="31"/>
  <c r="O314" i="31"/>
  <c r="M314" i="31"/>
  <c r="K314" i="31"/>
  <c r="X313" i="31"/>
  <c r="W313" i="31"/>
  <c r="V313" i="31"/>
  <c r="U313" i="31"/>
  <c r="T313" i="31"/>
  <c r="S313" i="31"/>
  <c r="Q313" i="31"/>
  <c r="O313" i="31"/>
  <c r="M313" i="31"/>
  <c r="K313" i="31"/>
  <c r="X312" i="31"/>
  <c r="W312" i="31"/>
  <c r="V312" i="31"/>
  <c r="U312" i="31"/>
  <c r="T312" i="31"/>
  <c r="S312" i="31"/>
  <c r="Q312" i="31"/>
  <c r="O312" i="31"/>
  <c r="M312" i="31"/>
  <c r="K312" i="31"/>
  <c r="X311" i="31"/>
  <c r="W311" i="31"/>
  <c r="V311" i="31"/>
  <c r="U311" i="31"/>
  <c r="T311" i="31"/>
  <c r="S311" i="31"/>
  <c r="Q311" i="31"/>
  <c r="O311" i="31"/>
  <c r="M311" i="31"/>
  <c r="K311" i="31"/>
  <c r="X310" i="31"/>
  <c r="W310" i="31"/>
  <c r="V310" i="31"/>
  <c r="U310" i="31"/>
  <c r="T310" i="31"/>
  <c r="S310" i="31"/>
  <c r="Q310" i="31"/>
  <c r="O310" i="31"/>
  <c r="M310" i="31"/>
  <c r="K310" i="31"/>
  <c r="X309" i="31"/>
  <c r="W309" i="31"/>
  <c r="V309" i="31"/>
  <c r="U309" i="31"/>
  <c r="T309" i="31"/>
  <c r="S309" i="31"/>
  <c r="Q309" i="31"/>
  <c r="O309" i="31"/>
  <c r="M309" i="31"/>
  <c r="K309" i="31"/>
  <c r="X308" i="31"/>
  <c r="W308" i="31"/>
  <c r="V308" i="31"/>
  <c r="U308" i="31"/>
  <c r="T308" i="31"/>
  <c r="S308" i="31"/>
  <c r="Q308" i="31"/>
  <c r="O308" i="31"/>
  <c r="M308" i="31"/>
  <c r="K308" i="31"/>
  <c r="X307" i="31"/>
  <c r="W307" i="31"/>
  <c r="V307" i="31"/>
  <c r="U307" i="31"/>
  <c r="T307" i="31"/>
  <c r="S307" i="31"/>
  <c r="Q307" i="31"/>
  <c r="O307" i="31"/>
  <c r="M307" i="31"/>
  <c r="K307" i="31"/>
  <c r="X306" i="31"/>
  <c r="W306" i="31"/>
  <c r="V306" i="31"/>
  <c r="U306" i="31"/>
  <c r="T306" i="31"/>
  <c r="S306" i="31"/>
  <c r="Q306" i="31"/>
  <c r="O306" i="31"/>
  <c r="M306" i="31"/>
  <c r="K306" i="31"/>
  <c r="X305" i="31"/>
  <c r="W305" i="31"/>
  <c r="V305" i="31"/>
  <c r="U305" i="31"/>
  <c r="T305" i="31"/>
  <c r="S305" i="31"/>
  <c r="Q305" i="31"/>
  <c r="O305" i="31"/>
  <c r="M305" i="31"/>
  <c r="K305" i="31"/>
  <c r="X304" i="31"/>
  <c r="W304" i="31"/>
  <c r="V304" i="31"/>
  <c r="U304" i="31"/>
  <c r="T304" i="31"/>
  <c r="S304" i="31"/>
  <c r="Q304" i="31"/>
  <c r="O304" i="31"/>
  <c r="M304" i="31"/>
  <c r="K304" i="31"/>
  <c r="X303" i="31"/>
  <c r="W303" i="31"/>
  <c r="V303" i="31"/>
  <c r="U303" i="31"/>
  <c r="T303" i="31"/>
  <c r="S303" i="31"/>
  <c r="Q303" i="31"/>
  <c r="O303" i="31"/>
  <c r="M303" i="31"/>
  <c r="K303" i="31"/>
  <c r="X302" i="31"/>
  <c r="W302" i="31"/>
  <c r="V302" i="31"/>
  <c r="U302" i="31"/>
  <c r="T302" i="31"/>
  <c r="S302" i="31"/>
  <c r="Q302" i="31"/>
  <c r="O302" i="31"/>
  <c r="M302" i="31"/>
  <c r="K302" i="31"/>
  <c r="X301" i="31"/>
  <c r="W301" i="31"/>
  <c r="V301" i="31"/>
  <c r="U301" i="31"/>
  <c r="T301" i="31"/>
  <c r="S301" i="31"/>
  <c r="Q301" i="31"/>
  <c r="O301" i="31"/>
  <c r="M301" i="31"/>
  <c r="K301" i="31"/>
  <c r="X300" i="31"/>
  <c r="W300" i="31"/>
  <c r="V300" i="31"/>
  <c r="U300" i="31"/>
  <c r="T300" i="31"/>
  <c r="S300" i="31"/>
  <c r="Q300" i="31"/>
  <c r="O300" i="31"/>
  <c r="M300" i="31"/>
  <c r="K300" i="31"/>
  <c r="X299" i="31"/>
  <c r="W299" i="31"/>
  <c r="V299" i="31"/>
  <c r="U299" i="31"/>
  <c r="T299" i="31"/>
  <c r="S299" i="31"/>
  <c r="Q299" i="31"/>
  <c r="O299" i="31"/>
  <c r="M299" i="31"/>
  <c r="K299" i="31"/>
  <c r="X298" i="31"/>
  <c r="W298" i="31"/>
  <c r="V298" i="31"/>
  <c r="U298" i="31"/>
  <c r="T298" i="31"/>
  <c r="S298" i="31"/>
  <c r="Q298" i="31"/>
  <c r="O298" i="31"/>
  <c r="M298" i="31"/>
  <c r="K298" i="31"/>
  <c r="X297" i="31"/>
  <c r="W297" i="31"/>
  <c r="V297" i="31"/>
  <c r="U297" i="31"/>
  <c r="T297" i="31"/>
  <c r="S297" i="31"/>
  <c r="Q297" i="31"/>
  <c r="O297" i="31"/>
  <c r="M297" i="31"/>
  <c r="K297" i="31"/>
  <c r="X296" i="31"/>
  <c r="W296" i="31"/>
  <c r="V296" i="31"/>
  <c r="U296" i="31"/>
  <c r="T296" i="31"/>
  <c r="S296" i="31"/>
  <c r="Q296" i="31"/>
  <c r="O296" i="31"/>
  <c r="M296" i="31"/>
  <c r="K296" i="31"/>
  <c r="X295" i="31"/>
  <c r="W295" i="31"/>
  <c r="V295" i="31"/>
  <c r="U295" i="31"/>
  <c r="T295" i="31"/>
  <c r="S295" i="31"/>
  <c r="Q295" i="31"/>
  <c r="O295" i="31"/>
  <c r="M295" i="31"/>
  <c r="K295" i="31"/>
  <c r="X294" i="31"/>
  <c r="W294" i="31"/>
  <c r="V294" i="31"/>
  <c r="U294" i="31"/>
  <c r="T294" i="31"/>
  <c r="S294" i="31"/>
  <c r="Q294" i="31"/>
  <c r="O294" i="31"/>
  <c r="M294" i="31"/>
  <c r="K294" i="31"/>
  <c r="X293" i="31"/>
  <c r="W293" i="31"/>
  <c r="V293" i="31"/>
  <c r="U293" i="31"/>
  <c r="T293" i="31"/>
  <c r="S293" i="31"/>
  <c r="Q293" i="31"/>
  <c r="O293" i="31"/>
  <c r="M293" i="31"/>
  <c r="K293" i="31"/>
  <c r="X292" i="31"/>
  <c r="W292" i="31"/>
  <c r="V292" i="31"/>
  <c r="U292" i="31"/>
  <c r="T292" i="31"/>
  <c r="S292" i="31"/>
  <c r="Q292" i="31"/>
  <c r="O292" i="31"/>
  <c r="M292" i="31"/>
  <c r="K292" i="31"/>
  <c r="X291" i="31"/>
  <c r="W291" i="31"/>
  <c r="V291" i="31"/>
  <c r="U291" i="31"/>
  <c r="T291" i="31"/>
  <c r="S291" i="31"/>
  <c r="Q291" i="31"/>
  <c r="O291" i="31"/>
  <c r="M291" i="31"/>
  <c r="K291" i="31"/>
  <c r="X290" i="31"/>
  <c r="W290" i="31"/>
  <c r="V290" i="31"/>
  <c r="U290" i="31"/>
  <c r="T290" i="31"/>
  <c r="S290" i="31"/>
  <c r="Q290" i="31"/>
  <c r="O290" i="31"/>
  <c r="M290" i="31"/>
  <c r="K290" i="31"/>
  <c r="X289" i="31"/>
  <c r="W289" i="31"/>
  <c r="V289" i="31"/>
  <c r="U289" i="31"/>
  <c r="T289" i="31"/>
  <c r="S289" i="31"/>
  <c r="Q289" i="31"/>
  <c r="O289" i="31"/>
  <c r="M289" i="31"/>
  <c r="K289" i="31"/>
  <c r="X288" i="31"/>
  <c r="W288" i="31"/>
  <c r="V288" i="31"/>
  <c r="U288" i="31"/>
  <c r="T288" i="31"/>
  <c r="S288" i="31"/>
  <c r="Q288" i="31"/>
  <c r="O288" i="31"/>
  <c r="M288" i="31"/>
  <c r="K288" i="31"/>
  <c r="X287" i="31"/>
  <c r="W287" i="31"/>
  <c r="V287" i="31"/>
  <c r="U287" i="31"/>
  <c r="T287" i="31"/>
  <c r="S287" i="31"/>
  <c r="Q287" i="31"/>
  <c r="O287" i="31"/>
  <c r="M287" i="31"/>
  <c r="K287" i="31"/>
  <c r="X286" i="31"/>
  <c r="W286" i="31"/>
  <c r="V286" i="31"/>
  <c r="U286" i="31"/>
  <c r="T286" i="31"/>
  <c r="S286" i="31"/>
  <c r="Q286" i="31"/>
  <c r="O286" i="31"/>
  <c r="M286" i="31"/>
  <c r="K286" i="31"/>
  <c r="X285" i="31"/>
  <c r="W285" i="31"/>
  <c r="V285" i="31"/>
  <c r="U285" i="31"/>
  <c r="T285" i="31"/>
  <c r="S285" i="31"/>
  <c r="Q285" i="31"/>
  <c r="O285" i="31"/>
  <c r="M285" i="31"/>
  <c r="K285" i="31"/>
  <c r="X284" i="31"/>
  <c r="W284" i="31"/>
  <c r="V284" i="31"/>
  <c r="U284" i="31"/>
  <c r="T284" i="31"/>
  <c r="S284" i="31"/>
  <c r="Q284" i="31"/>
  <c r="O284" i="31"/>
  <c r="M284" i="31"/>
  <c r="K284" i="31"/>
  <c r="X283" i="31"/>
  <c r="W283" i="31"/>
  <c r="V283" i="31"/>
  <c r="U283" i="31"/>
  <c r="T283" i="31"/>
  <c r="S283" i="31"/>
  <c r="Q283" i="31"/>
  <c r="O283" i="31"/>
  <c r="M283" i="31"/>
  <c r="K283" i="31"/>
  <c r="X282" i="31"/>
  <c r="W282" i="31"/>
  <c r="V282" i="31"/>
  <c r="U282" i="31"/>
  <c r="T282" i="31"/>
  <c r="S282" i="31"/>
  <c r="Q282" i="31"/>
  <c r="O282" i="31"/>
  <c r="M282" i="31"/>
  <c r="K282" i="31"/>
  <c r="X281" i="31"/>
  <c r="W281" i="31"/>
  <c r="V281" i="31"/>
  <c r="U281" i="31"/>
  <c r="T281" i="31"/>
  <c r="S281" i="31"/>
  <c r="Q281" i="31"/>
  <c r="O281" i="31"/>
  <c r="M281" i="31"/>
  <c r="K281" i="31"/>
  <c r="X280" i="31"/>
  <c r="W280" i="31"/>
  <c r="V280" i="31"/>
  <c r="U280" i="31"/>
  <c r="T280" i="31"/>
  <c r="S280" i="31"/>
  <c r="Q280" i="31"/>
  <c r="O280" i="31"/>
  <c r="M280" i="31"/>
  <c r="K280" i="31"/>
  <c r="X279" i="31"/>
  <c r="W279" i="31"/>
  <c r="V279" i="31"/>
  <c r="U279" i="31"/>
  <c r="T279" i="31"/>
  <c r="S279" i="31"/>
  <c r="Q279" i="31"/>
  <c r="O279" i="31"/>
  <c r="M279" i="31"/>
  <c r="K279" i="31"/>
  <c r="X278" i="31"/>
  <c r="W278" i="31"/>
  <c r="V278" i="31"/>
  <c r="U278" i="31"/>
  <c r="T278" i="31"/>
  <c r="S278" i="31"/>
  <c r="Q278" i="31"/>
  <c r="O278" i="31"/>
  <c r="M278" i="31"/>
  <c r="K278" i="31"/>
  <c r="X277" i="31"/>
  <c r="W277" i="31"/>
  <c r="V277" i="31"/>
  <c r="U277" i="31"/>
  <c r="T277" i="31"/>
  <c r="S277" i="31"/>
  <c r="Q277" i="31"/>
  <c r="O277" i="31"/>
  <c r="M277" i="31"/>
  <c r="K277" i="31"/>
  <c r="X276" i="31"/>
  <c r="W276" i="31"/>
  <c r="V276" i="31"/>
  <c r="U276" i="31"/>
  <c r="T276" i="31"/>
  <c r="S276" i="31"/>
  <c r="Q276" i="31"/>
  <c r="O276" i="31"/>
  <c r="M276" i="31"/>
  <c r="K276" i="31"/>
  <c r="X275" i="31"/>
  <c r="W275" i="31"/>
  <c r="V275" i="31"/>
  <c r="U275" i="31"/>
  <c r="T275" i="31"/>
  <c r="S275" i="31"/>
  <c r="Q275" i="31"/>
  <c r="O275" i="31"/>
  <c r="M275" i="31"/>
  <c r="K275" i="31"/>
  <c r="X274" i="31"/>
  <c r="W274" i="31"/>
  <c r="V274" i="31"/>
  <c r="U274" i="31"/>
  <c r="T274" i="31"/>
  <c r="S274" i="31"/>
  <c r="Q274" i="31"/>
  <c r="O274" i="31"/>
  <c r="M274" i="31"/>
  <c r="K274" i="31"/>
  <c r="X273" i="31"/>
  <c r="W273" i="31"/>
  <c r="V273" i="31"/>
  <c r="U273" i="31"/>
  <c r="T273" i="31"/>
  <c r="S273" i="31"/>
  <c r="Q273" i="31"/>
  <c r="O273" i="31"/>
  <c r="M273" i="31"/>
  <c r="K273" i="31"/>
  <c r="X272" i="31"/>
  <c r="W272" i="31"/>
  <c r="V272" i="31"/>
  <c r="U272" i="31"/>
  <c r="T272" i="31"/>
  <c r="S272" i="31"/>
  <c r="Q272" i="31"/>
  <c r="O272" i="31"/>
  <c r="M272" i="31"/>
  <c r="K272" i="31"/>
  <c r="X271" i="31"/>
  <c r="W271" i="31"/>
  <c r="V271" i="31"/>
  <c r="U271" i="31"/>
  <c r="T271" i="31"/>
  <c r="S271" i="31"/>
  <c r="Q271" i="31"/>
  <c r="O271" i="31"/>
  <c r="M271" i="31"/>
  <c r="K271" i="31"/>
  <c r="X270" i="31"/>
  <c r="W270" i="31"/>
  <c r="V270" i="31"/>
  <c r="U270" i="31"/>
  <c r="T270" i="31"/>
  <c r="S270" i="31"/>
  <c r="Q270" i="31"/>
  <c r="O270" i="31"/>
  <c r="M270" i="31"/>
  <c r="K270" i="31"/>
  <c r="X269" i="31"/>
  <c r="W269" i="31"/>
  <c r="V269" i="31"/>
  <c r="U269" i="31"/>
  <c r="T269" i="31"/>
  <c r="S269" i="31"/>
  <c r="Q269" i="31"/>
  <c r="O269" i="31"/>
  <c r="M269" i="31"/>
  <c r="K269" i="31"/>
  <c r="X268" i="31"/>
  <c r="W268" i="31"/>
  <c r="V268" i="31"/>
  <c r="U268" i="31"/>
  <c r="T268" i="31"/>
  <c r="S268" i="31"/>
  <c r="Q268" i="31"/>
  <c r="O268" i="31"/>
  <c r="M268" i="31"/>
  <c r="K268" i="31"/>
  <c r="X267" i="31"/>
  <c r="W267" i="31"/>
  <c r="V267" i="31"/>
  <c r="U267" i="31"/>
  <c r="T267" i="31"/>
  <c r="S267" i="31"/>
  <c r="Q267" i="31"/>
  <c r="O267" i="31"/>
  <c r="M267" i="31"/>
  <c r="K267" i="31"/>
  <c r="X266" i="31"/>
  <c r="W266" i="31"/>
  <c r="V266" i="31"/>
  <c r="U266" i="31"/>
  <c r="T266" i="31"/>
  <c r="S266" i="31"/>
  <c r="Q266" i="31"/>
  <c r="O266" i="31"/>
  <c r="M266" i="31"/>
  <c r="K266" i="31"/>
  <c r="X265" i="31"/>
  <c r="W265" i="31"/>
  <c r="V265" i="31"/>
  <c r="U265" i="31"/>
  <c r="T265" i="31"/>
  <c r="S265" i="31"/>
  <c r="Q265" i="31"/>
  <c r="O265" i="31"/>
  <c r="M265" i="31"/>
  <c r="K265" i="31"/>
  <c r="X264" i="31"/>
  <c r="W264" i="31"/>
  <c r="V264" i="31"/>
  <c r="U264" i="31"/>
  <c r="T264" i="31"/>
  <c r="S264" i="31"/>
  <c r="Q264" i="31"/>
  <c r="O264" i="31"/>
  <c r="M264" i="31"/>
  <c r="K264" i="31"/>
  <c r="X263" i="31"/>
  <c r="W263" i="31"/>
  <c r="V263" i="31"/>
  <c r="U263" i="31"/>
  <c r="T263" i="31"/>
  <c r="S263" i="31"/>
  <c r="Q263" i="31"/>
  <c r="O263" i="31"/>
  <c r="M263" i="31"/>
  <c r="K263" i="31"/>
  <c r="X262" i="31"/>
  <c r="W262" i="31"/>
  <c r="V262" i="31"/>
  <c r="U262" i="31"/>
  <c r="T262" i="31"/>
  <c r="S262" i="31"/>
  <c r="Q262" i="31"/>
  <c r="O262" i="31"/>
  <c r="M262" i="31"/>
  <c r="K262" i="31"/>
  <c r="X261" i="31"/>
  <c r="W261" i="31"/>
  <c r="V261" i="31"/>
  <c r="U261" i="31"/>
  <c r="T261" i="31"/>
  <c r="S261" i="31"/>
  <c r="Q261" i="31"/>
  <c r="O261" i="31"/>
  <c r="M261" i="31"/>
  <c r="K261" i="31"/>
  <c r="X260" i="31"/>
  <c r="W260" i="31"/>
  <c r="V260" i="31"/>
  <c r="U260" i="31"/>
  <c r="T260" i="31"/>
  <c r="S260" i="31"/>
  <c r="Q260" i="31"/>
  <c r="O260" i="31"/>
  <c r="M260" i="31"/>
  <c r="K260" i="31"/>
  <c r="X259" i="31"/>
  <c r="W259" i="31"/>
  <c r="V259" i="31"/>
  <c r="U259" i="31"/>
  <c r="T259" i="31"/>
  <c r="S259" i="31"/>
  <c r="Q259" i="31"/>
  <c r="O259" i="31"/>
  <c r="M259" i="31"/>
  <c r="K259" i="31"/>
  <c r="X258" i="31"/>
  <c r="W258" i="31"/>
  <c r="V258" i="31"/>
  <c r="U258" i="31"/>
  <c r="T258" i="31"/>
  <c r="S258" i="31"/>
  <c r="Q258" i="31"/>
  <c r="O258" i="31"/>
  <c r="M258" i="31"/>
  <c r="K258" i="31"/>
  <c r="X257" i="31"/>
  <c r="W257" i="31"/>
  <c r="V257" i="31"/>
  <c r="U257" i="31"/>
  <c r="T257" i="31"/>
  <c r="S257" i="31"/>
  <c r="Q257" i="31"/>
  <c r="O257" i="31"/>
  <c r="M257" i="31"/>
  <c r="K257" i="31"/>
  <c r="X256" i="31"/>
  <c r="W256" i="31"/>
  <c r="V256" i="31"/>
  <c r="U256" i="31"/>
  <c r="T256" i="31"/>
  <c r="S256" i="31"/>
  <c r="Q256" i="31"/>
  <c r="O256" i="31"/>
  <c r="M256" i="31"/>
  <c r="K256" i="31"/>
  <c r="X255" i="31"/>
  <c r="W255" i="31"/>
  <c r="V255" i="31"/>
  <c r="U255" i="31"/>
  <c r="T255" i="31"/>
  <c r="S255" i="31"/>
  <c r="Q255" i="31"/>
  <c r="O255" i="31"/>
  <c r="M255" i="31"/>
  <c r="K255" i="31"/>
  <c r="X254" i="31"/>
  <c r="W254" i="31"/>
  <c r="V254" i="31"/>
  <c r="U254" i="31"/>
  <c r="T254" i="31"/>
  <c r="S254" i="31"/>
  <c r="Q254" i="31"/>
  <c r="O254" i="31"/>
  <c r="M254" i="31"/>
  <c r="K254" i="31"/>
  <c r="X253" i="31"/>
  <c r="W253" i="31"/>
  <c r="V253" i="31"/>
  <c r="U253" i="31"/>
  <c r="T253" i="31"/>
  <c r="S253" i="31"/>
  <c r="Q253" i="31"/>
  <c r="O253" i="31"/>
  <c r="M253" i="31"/>
  <c r="K253" i="31"/>
  <c r="X252" i="31"/>
  <c r="W252" i="31"/>
  <c r="V252" i="31"/>
  <c r="U252" i="31"/>
  <c r="T252" i="31"/>
  <c r="S252" i="31"/>
  <c r="Q252" i="31"/>
  <c r="O252" i="31"/>
  <c r="M252" i="31"/>
  <c r="K252" i="31"/>
  <c r="X251" i="31"/>
  <c r="W251" i="31"/>
  <c r="V251" i="31"/>
  <c r="U251" i="31"/>
  <c r="T251" i="31"/>
  <c r="S251" i="31"/>
  <c r="Q251" i="31"/>
  <c r="O251" i="31"/>
  <c r="M251" i="31"/>
  <c r="K251" i="31"/>
  <c r="X250" i="31"/>
  <c r="W250" i="31"/>
  <c r="V250" i="31"/>
  <c r="U250" i="31"/>
  <c r="T250" i="31"/>
  <c r="S250" i="31"/>
  <c r="Q250" i="31"/>
  <c r="O250" i="31"/>
  <c r="M250" i="31"/>
  <c r="K250" i="31"/>
  <c r="X249" i="31"/>
  <c r="W249" i="31"/>
  <c r="V249" i="31"/>
  <c r="U249" i="31"/>
  <c r="T249" i="31"/>
  <c r="S249" i="31"/>
  <c r="Q249" i="31"/>
  <c r="O249" i="31"/>
  <c r="M249" i="31"/>
  <c r="K249" i="31"/>
  <c r="X248" i="31"/>
  <c r="W248" i="31"/>
  <c r="V248" i="31"/>
  <c r="U248" i="31"/>
  <c r="T248" i="31"/>
  <c r="S248" i="31"/>
  <c r="Q248" i="31"/>
  <c r="O248" i="31"/>
  <c r="M248" i="31"/>
  <c r="K248" i="31"/>
  <c r="X247" i="31"/>
  <c r="W247" i="31"/>
  <c r="V247" i="31"/>
  <c r="U247" i="31"/>
  <c r="T247" i="31"/>
  <c r="S247" i="31"/>
  <c r="Q247" i="31"/>
  <c r="O247" i="31"/>
  <c r="M247" i="31"/>
  <c r="K247" i="31"/>
  <c r="X246" i="31"/>
  <c r="W246" i="31"/>
  <c r="V246" i="31"/>
  <c r="U246" i="31"/>
  <c r="T246" i="31"/>
  <c r="S246" i="31"/>
  <c r="Q246" i="31"/>
  <c r="O246" i="31"/>
  <c r="M246" i="31"/>
  <c r="K246" i="31"/>
  <c r="X245" i="31"/>
  <c r="W245" i="31"/>
  <c r="V245" i="31"/>
  <c r="U245" i="31"/>
  <c r="T245" i="31"/>
  <c r="S245" i="31"/>
  <c r="Q245" i="31"/>
  <c r="O245" i="31"/>
  <c r="M245" i="31"/>
  <c r="K245" i="31"/>
  <c r="X244" i="31"/>
  <c r="W244" i="31"/>
  <c r="V244" i="31"/>
  <c r="U244" i="31"/>
  <c r="T244" i="31"/>
  <c r="S244" i="31"/>
  <c r="Q244" i="31"/>
  <c r="O244" i="31"/>
  <c r="M244" i="31"/>
  <c r="K244" i="31"/>
  <c r="X243" i="31"/>
  <c r="W243" i="31"/>
  <c r="V243" i="31"/>
  <c r="U243" i="31"/>
  <c r="T243" i="31"/>
  <c r="S243" i="31"/>
  <c r="Q243" i="31"/>
  <c r="O243" i="31"/>
  <c r="M243" i="31"/>
  <c r="K243" i="31"/>
  <c r="X242" i="31"/>
  <c r="W242" i="31"/>
  <c r="V242" i="31"/>
  <c r="U242" i="31"/>
  <c r="T242" i="31"/>
  <c r="S242" i="31"/>
  <c r="Q242" i="31"/>
  <c r="O242" i="31"/>
  <c r="M242" i="31"/>
  <c r="K242" i="31"/>
  <c r="X241" i="31"/>
  <c r="W241" i="31"/>
  <c r="V241" i="31"/>
  <c r="U241" i="31"/>
  <c r="T241" i="31"/>
  <c r="S241" i="31"/>
  <c r="Q241" i="31"/>
  <c r="O241" i="31"/>
  <c r="M241" i="31"/>
  <c r="K241" i="31"/>
  <c r="X240" i="31"/>
  <c r="W240" i="31"/>
  <c r="V240" i="31"/>
  <c r="U240" i="31"/>
  <c r="T240" i="31"/>
  <c r="S240" i="31"/>
  <c r="Q240" i="31"/>
  <c r="O240" i="31"/>
  <c r="M240" i="31"/>
  <c r="K240" i="31"/>
  <c r="X239" i="31"/>
  <c r="W239" i="31"/>
  <c r="V239" i="31"/>
  <c r="U239" i="31"/>
  <c r="T239" i="31"/>
  <c r="S239" i="31"/>
  <c r="Q239" i="31"/>
  <c r="O239" i="31"/>
  <c r="M239" i="31"/>
  <c r="K239" i="31"/>
  <c r="X238" i="31"/>
  <c r="W238" i="31"/>
  <c r="V238" i="31"/>
  <c r="U238" i="31"/>
  <c r="T238" i="31"/>
  <c r="S238" i="31"/>
  <c r="Q238" i="31"/>
  <c r="O238" i="31"/>
  <c r="M238" i="31"/>
  <c r="K238" i="31"/>
  <c r="X237" i="31"/>
  <c r="W237" i="31"/>
  <c r="V237" i="31"/>
  <c r="U237" i="31"/>
  <c r="T237" i="31"/>
  <c r="S237" i="31"/>
  <c r="Q237" i="31"/>
  <c r="O237" i="31"/>
  <c r="M237" i="31"/>
  <c r="K237" i="31"/>
  <c r="X236" i="31"/>
  <c r="W236" i="31"/>
  <c r="V236" i="31"/>
  <c r="U236" i="31"/>
  <c r="T236" i="31"/>
  <c r="S236" i="31"/>
  <c r="Q236" i="31"/>
  <c r="O236" i="31"/>
  <c r="M236" i="31"/>
  <c r="K236" i="31"/>
  <c r="X235" i="31"/>
  <c r="W235" i="31"/>
  <c r="V235" i="31"/>
  <c r="U235" i="31"/>
  <c r="T235" i="31"/>
  <c r="S235" i="31"/>
  <c r="Q235" i="31"/>
  <c r="O235" i="31"/>
  <c r="M235" i="31"/>
  <c r="K235" i="31"/>
  <c r="X234" i="31"/>
  <c r="W234" i="31"/>
  <c r="V234" i="31"/>
  <c r="U234" i="31"/>
  <c r="T234" i="31"/>
  <c r="S234" i="31"/>
  <c r="Q234" i="31"/>
  <c r="O234" i="31"/>
  <c r="M234" i="31"/>
  <c r="K234" i="31"/>
  <c r="X233" i="31"/>
  <c r="W233" i="31"/>
  <c r="V233" i="31"/>
  <c r="U233" i="31"/>
  <c r="T233" i="31"/>
  <c r="S233" i="31"/>
  <c r="Q233" i="31"/>
  <c r="O233" i="31"/>
  <c r="M233" i="31"/>
  <c r="K233" i="31"/>
  <c r="X232" i="31"/>
  <c r="W232" i="31"/>
  <c r="V232" i="31"/>
  <c r="U232" i="31"/>
  <c r="T232" i="31"/>
  <c r="S232" i="31"/>
  <c r="Q232" i="31"/>
  <c r="O232" i="31"/>
  <c r="M232" i="31"/>
  <c r="K232" i="31"/>
  <c r="X231" i="31"/>
  <c r="W231" i="31"/>
  <c r="V231" i="31"/>
  <c r="U231" i="31"/>
  <c r="T231" i="31"/>
  <c r="S231" i="31"/>
  <c r="Q231" i="31"/>
  <c r="O231" i="31"/>
  <c r="M231" i="31"/>
  <c r="K231" i="31"/>
  <c r="X230" i="31"/>
  <c r="W230" i="31"/>
  <c r="V230" i="31"/>
  <c r="U230" i="31"/>
  <c r="T230" i="31"/>
  <c r="S230" i="31"/>
  <c r="Q230" i="31"/>
  <c r="O230" i="31"/>
  <c r="M230" i="31"/>
  <c r="K230" i="31"/>
  <c r="X229" i="31"/>
  <c r="W229" i="31"/>
  <c r="V229" i="31"/>
  <c r="U229" i="31"/>
  <c r="T229" i="31"/>
  <c r="S229" i="31"/>
  <c r="Q229" i="31"/>
  <c r="O229" i="31"/>
  <c r="M229" i="31"/>
  <c r="K229" i="31"/>
  <c r="X228" i="31"/>
  <c r="W228" i="31"/>
  <c r="V228" i="31"/>
  <c r="U228" i="31"/>
  <c r="T228" i="31"/>
  <c r="S228" i="31"/>
  <c r="Q228" i="31"/>
  <c r="O228" i="31"/>
  <c r="M228" i="31"/>
  <c r="K228" i="31"/>
  <c r="X227" i="31"/>
  <c r="W227" i="31"/>
  <c r="V227" i="31"/>
  <c r="U227" i="31"/>
  <c r="T227" i="31"/>
  <c r="S227" i="31"/>
  <c r="Q227" i="31"/>
  <c r="O227" i="31"/>
  <c r="M227" i="31"/>
  <c r="K227" i="31"/>
  <c r="X226" i="31"/>
  <c r="W226" i="31"/>
  <c r="V226" i="31"/>
  <c r="U226" i="31"/>
  <c r="T226" i="31"/>
  <c r="S226" i="31"/>
  <c r="Q226" i="31"/>
  <c r="O226" i="31"/>
  <c r="M226" i="31"/>
  <c r="K226" i="31"/>
  <c r="X225" i="31"/>
  <c r="W225" i="31"/>
  <c r="V225" i="31"/>
  <c r="U225" i="31"/>
  <c r="T225" i="31"/>
  <c r="S225" i="31"/>
  <c r="Q225" i="31"/>
  <c r="O225" i="31"/>
  <c r="M225" i="31"/>
  <c r="K225" i="31"/>
  <c r="X224" i="31"/>
  <c r="W224" i="31"/>
  <c r="V224" i="31"/>
  <c r="U224" i="31"/>
  <c r="T224" i="31"/>
  <c r="S224" i="31"/>
  <c r="Q224" i="31"/>
  <c r="O224" i="31"/>
  <c r="M224" i="31"/>
  <c r="K224" i="31"/>
  <c r="X223" i="31"/>
  <c r="W223" i="31"/>
  <c r="V223" i="31"/>
  <c r="U223" i="31"/>
  <c r="T223" i="31"/>
  <c r="S223" i="31"/>
  <c r="Q223" i="31"/>
  <c r="O223" i="31"/>
  <c r="M223" i="31"/>
  <c r="K223" i="31"/>
  <c r="X222" i="31"/>
  <c r="W222" i="31"/>
  <c r="V222" i="31"/>
  <c r="U222" i="31"/>
  <c r="T222" i="31"/>
  <c r="S222" i="31"/>
  <c r="Q222" i="31"/>
  <c r="O222" i="31"/>
  <c r="M222" i="31"/>
  <c r="K222" i="31"/>
  <c r="X221" i="31"/>
  <c r="W221" i="31"/>
  <c r="V221" i="31"/>
  <c r="U221" i="31"/>
  <c r="T221" i="31"/>
  <c r="S221" i="31"/>
  <c r="Q221" i="31"/>
  <c r="O221" i="31"/>
  <c r="M221" i="31"/>
  <c r="K221" i="31"/>
  <c r="X220" i="31"/>
  <c r="W220" i="31"/>
  <c r="V220" i="31"/>
  <c r="U220" i="31"/>
  <c r="T220" i="31"/>
  <c r="S220" i="31"/>
  <c r="Q220" i="31"/>
  <c r="O220" i="31"/>
  <c r="M220" i="31"/>
  <c r="K220" i="31"/>
  <c r="X219" i="31"/>
  <c r="W219" i="31"/>
  <c r="V219" i="31"/>
  <c r="U219" i="31"/>
  <c r="T219" i="31"/>
  <c r="S219" i="31"/>
  <c r="Q219" i="31"/>
  <c r="O219" i="31"/>
  <c r="M219" i="31"/>
  <c r="K219" i="31"/>
  <c r="X218" i="31"/>
  <c r="W218" i="31"/>
  <c r="V218" i="31"/>
  <c r="U218" i="31"/>
  <c r="T218" i="31"/>
  <c r="S218" i="31"/>
  <c r="Q218" i="31"/>
  <c r="O218" i="31"/>
  <c r="M218" i="31"/>
  <c r="K218" i="31"/>
  <c r="X217" i="31"/>
  <c r="W217" i="31"/>
  <c r="V217" i="31"/>
  <c r="U217" i="31"/>
  <c r="T217" i="31"/>
  <c r="S217" i="31"/>
  <c r="Q217" i="31"/>
  <c r="O217" i="31"/>
  <c r="M217" i="31"/>
  <c r="K217" i="31"/>
  <c r="X216" i="31"/>
  <c r="W216" i="31"/>
  <c r="V216" i="31"/>
  <c r="U216" i="31"/>
  <c r="T216" i="31"/>
  <c r="S216" i="31"/>
  <c r="Q216" i="31"/>
  <c r="O216" i="31"/>
  <c r="M216" i="31"/>
  <c r="K216" i="31"/>
  <c r="X215" i="31"/>
  <c r="W215" i="31"/>
  <c r="V215" i="31"/>
  <c r="U215" i="31"/>
  <c r="T215" i="31"/>
  <c r="S215" i="31"/>
  <c r="Q215" i="31"/>
  <c r="O215" i="31"/>
  <c r="M215" i="31"/>
  <c r="K215" i="31"/>
  <c r="X214" i="31"/>
  <c r="W214" i="31"/>
  <c r="V214" i="31"/>
  <c r="U214" i="31"/>
  <c r="T214" i="31"/>
  <c r="S214" i="31"/>
  <c r="Q214" i="31"/>
  <c r="O214" i="31"/>
  <c r="M214" i="31"/>
  <c r="K214" i="31"/>
  <c r="X213" i="31"/>
  <c r="W213" i="31"/>
  <c r="V213" i="31"/>
  <c r="U213" i="31"/>
  <c r="T213" i="31"/>
  <c r="S213" i="31"/>
  <c r="Q213" i="31"/>
  <c r="O213" i="31"/>
  <c r="M213" i="31"/>
  <c r="K213" i="31"/>
  <c r="X212" i="31"/>
  <c r="W212" i="31"/>
  <c r="V212" i="31"/>
  <c r="U212" i="31"/>
  <c r="T212" i="31"/>
  <c r="S212" i="31"/>
  <c r="Q212" i="31"/>
  <c r="O212" i="31"/>
  <c r="M212" i="31"/>
  <c r="K212" i="31"/>
  <c r="X211" i="31"/>
  <c r="W211" i="31"/>
  <c r="V211" i="31"/>
  <c r="U211" i="31"/>
  <c r="T211" i="31"/>
  <c r="S211" i="31"/>
  <c r="Q211" i="31"/>
  <c r="O211" i="31"/>
  <c r="M211" i="31"/>
  <c r="K211" i="31"/>
  <c r="X210" i="31"/>
  <c r="W210" i="31"/>
  <c r="V210" i="31"/>
  <c r="U210" i="31"/>
  <c r="T210" i="31"/>
  <c r="S210" i="31"/>
  <c r="Q210" i="31"/>
  <c r="O210" i="31"/>
  <c r="M210" i="31"/>
  <c r="K210" i="31"/>
  <c r="X209" i="31"/>
  <c r="W209" i="31"/>
  <c r="V209" i="31"/>
  <c r="U209" i="31"/>
  <c r="T209" i="31"/>
  <c r="S209" i="31"/>
  <c r="Q209" i="31"/>
  <c r="O209" i="31"/>
  <c r="M209" i="31"/>
  <c r="K209" i="31"/>
  <c r="X208" i="31"/>
  <c r="W208" i="31"/>
  <c r="V208" i="31"/>
  <c r="U208" i="31"/>
  <c r="T208" i="31"/>
  <c r="S208" i="31"/>
  <c r="Q208" i="31"/>
  <c r="O208" i="31"/>
  <c r="M208" i="31"/>
  <c r="K208" i="31"/>
  <c r="X207" i="31"/>
  <c r="W207" i="31"/>
  <c r="V207" i="31"/>
  <c r="U207" i="31"/>
  <c r="T207" i="31"/>
  <c r="S207" i="31"/>
  <c r="Q207" i="31"/>
  <c r="O207" i="31"/>
  <c r="M207" i="31"/>
  <c r="K207" i="31"/>
  <c r="X206" i="31"/>
  <c r="W206" i="31"/>
  <c r="V206" i="31"/>
  <c r="U206" i="31"/>
  <c r="T206" i="31"/>
  <c r="S206" i="31"/>
  <c r="Q206" i="31"/>
  <c r="O206" i="31"/>
  <c r="M206" i="31"/>
  <c r="K206" i="31"/>
  <c r="X205" i="31"/>
  <c r="W205" i="31"/>
  <c r="V205" i="31"/>
  <c r="U205" i="31"/>
  <c r="T205" i="31"/>
  <c r="S205" i="31"/>
  <c r="Q205" i="31"/>
  <c r="O205" i="31"/>
  <c r="M205" i="31"/>
  <c r="K205" i="31"/>
  <c r="X204" i="31"/>
  <c r="W204" i="31"/>
  <c r="V204" i="31"/>
  <c r="U204" i="31"/>
  <c r="T204" i="31"/>
  <c r="S204" i="31"/>
  <c r="Q204" i="31"/>
  <c r="O204" i="31"/>
  <c r="M204" i="31"/>
  <c r="K204" i="31"/>
  <c r="X203" i="31"/>
  <c r="W203" i="31"/>
  <c r="V203" i="31"/>
  <c r="U203" i="31"/>
  <c r="T203" i="31"/>
  <c r="S203" i="31"/>
  <c r="Q203" i="31"/>
  <c r="O203" i="31"/>
  <c r="M203" i="31"/>
  <c r="K203" i="31"/>
  <c r="X202" i="31"/>
  <c r="W202" i="31"/>
  <c r="V202" i="31"/>
  <c r="U202" i="31"/>
  <c r="T202" i="31"/>
  <c r="S202" i="31"/>
  <c r="Q202" i="31"/>
  <c r="O202" i="31"/>
  <c r="M202" i="31"/>
  <c r="K202" i="31"/>
  <c r="X201" i="31"/>
  <c r="W201" i="31"/>
  <c r="V201" i="31"/>
  <c r="U201" i="31"/>
  <c r="T201" i="31"/>
  <c r="S201" i="31"/>
  <c r="Q201" i="31"/>
  <c r="O201" i="31"/>
  <c r="M201" i="31"/>
  <c r="K201" i="31"/>
  <c r="X200" i="31"/>
  <c r="W200" i="31"/>
  <c r="V200" i="31"/>
  <c r="U200" i="31"/>
  <c r="T200" i="31"/>
  <c r="S200" i="31"/>
  <c r="Q200" i="31"/>
  <c r="O200" i="31"/>
  <c r="M200" i="31"/>
  <c r="K200" i="31"/>
  <c r="X199" i="31"/>
  <c r="W199" i="31"/>
  <c r="V199" i="31"/>
  <c r="U199" i="31"/>
  <c r="T199" i="31"/>
  <c r="S199" i="31"/>
  <c r="Q199" i="31"/>
  <c r="O199" i="31"/>
  <c r="M199" i="31"/>
  <c r="K199" i="31"/>
  <c r="X198" i="31"/>
  <c r="W198" i="31"/>
  <c r="V198" i="31"/>
  <c r="U198" i="31"/>
  <c r="T198" i="31"/>
  <c r="S198" i="31"/>
  <c r="Q198" i="31"/>
  <c r="O198" i="31"/>
  <c r="M198" i="31"/>
  <c r="K198" i="31"/>
  <c r="X197" i="31"/>
  <c r="W197" i="31"/>
  <c r="V197" i="31"/>
  <c r="U197" i="31"/>
  <c r="T197" i="31"/>
  <c r="S197" i="31"/>
  <c r="Q197" i="31"/>
  <c r="O197" i="31"/>
  <c r="M197" i="31"/>
  <c r="K197" i="31"/>
  <c r="X196" i="31"/>
  <c r="W196" i="31"/>
  <c r="V196" i="31"/>
  <c r="U196" i="31"/>
  <c r="T196" i="31"/>
  <c r="S196" i="31"/>
  <c r="Q196" i="31"/>
  <c r="O196" i="31"/>
  <c r="M196" i="31"/>
  <c r="K196" i="31"/>
  <c r="X195" i="31"/>
  <c r="W195" i="31"/>
  <c r="V195" i="31"/>
  <c r="U195" i="31"/>
  <c r="T195" i="31"/>
  <c r="S195" i="31"/>
  <c r="Q195" i="31"/>
  <c r="O195" i="31"/>
  <c r="M195" i="31"/>
  <c r="K195" i="31"/>
  <c r="X194" i="31"/>
  <c r="W194" i="31"/>
  <c r="V194" i="31"/>
  <c r="U194" i="31"/>
  <c r="T194" i="31"/>
  <c r="S194" i="31"/>
  <c r="Q194" i="31"/>
  <c r="O194" i="31"/>
  <c r="M194" i="31"/>
  <c r="K194" i="31"/>
  <c r="X193" i="31"/>
  <c r="W193" i="31"/>
  <c r="V193" i="31"/>
  <c r="U193" i="31"/>
  <c r="T193" i="31"/>
  <c r="S193" i="31"/>
  <c r="Q193" i="31"/>
  <c r="O193" i="31"/>
  <c r="M193" i="31"/>
  <c r="K193" i="31"/>
  <c r="X192" i="31"/>
  <c r="W192" i="31"/>
  <c r="V192" i="31"/>
  <c r="U192" i="31"/>
  <c r="T192" i="31"/>
  <c r="S192" i="31"/>
  <c r="Q192" i="31"/>
  <c r="O192" i="31"/>
  <c r="M192" i="31"/>
  <c r="K192" i="31"/>
  <c r="X191" i="31"/>
  <c r="W191" i="31"/>
  <c r="V191" i="31"/>
  <c r="U191" i="31"/>
  <c r="T191" i="31"/>
  <c r="S191" i="31"/>
  <c r="Q191" i="31"/>
  <c r="O191" i="31"/>
  <c r="M191" i="31"/>
  <c r="K191" i="31"/>
  <c r="X190" i="31"/>
  <c r="W190" i="31"/>
  <c r="V190" i="31"/>
  <c r="U190" i="31"/>
  <c r="T190" i="31"/>
  <c r="S190" i="31"/>
  <c r="Q190" i="31"/>
  <c r="O190" i="31"/>
  <c r="M190" i="31"/>
  <c r="K190" i="31"/>
  <c r="X189" i="31"/>
  <c r="W189" i="31"/>
  <c r="V189" i="31"/>
  <c r="U189" i="31"/>
  <c r="T189" i="31"/>
  <c r="S189" i="31"/>
  <c r="Q189" i="31"/>
  <c r="O189" i="31"/>
  <c r="M189" i="31"/>
  <c r="K189" i="31"/>
  <c r="X188" i="31"/>
  <c r="W188" i="31"/>
  <c r="V188" i="31"/>
  <c r="U188" i="31"/>
  <c r="T188" i="31"/>
  <c r="S188" i="31"/>
  <c r="Q188" i="31"/>
  <c r="O188" i="31"/>
  <c r="M188" i="31"/>
  <c r="K188" i="31"/>
  <c r="X187" i="31"/>
  <c r="W187" i="31"/>
  <c r="V187" i="31"/>
  <c r="U187" i="31"/>
  <c r="T187" i="31"/>
  <c r="S187" i="31"/>
  <c r="Q187" i="31"/>
  <c r="O187" i="31"/>
  <c r="M187" i="31"/>
  <c r="K187" i="31"/>
  <c r="X186" i="31"/>
  <c r="W186" i="31"/>
  <c r="V186" i="31"/>
  <c r="U186" i="31"/>
  <c r="T186" i="31"/>
  <c r="S186" i="31"/>
  <c r="Q186" i="31"/>
  <c r="O186" i="31"/>
  <c r="M186" i="31"/>
  <c r="K186" i="31"/>
  <c r="X185" i="31"/>
  <c r="W185" i="31"/>
  <c r="V185" i="31"/>
  <c r="U185" i="31"/>
  <c r="T185" i="31"/>
  <c r="S185" i="31"/>
  <c r="Q185" i="31"/>
  <c r="O185" i="31"/>
  <c r="M185" i="31"/>
  <c r="K185" i="31"/>
  <c r="X184" i="31"/>
  <c r="W184" i="31"/>
  <c r="V184" i="31"/>
  <c r="U184" i="31"/>
  <c r="T184" i="31"/>
  <c r="S184" i="31"/>
  <c r="Q184" i="31"/>
  <c r="O184" i="31"/>
  <c r="M184" i="31"/>
  <c r="K184" i="31"/>
  <c r="X183" i="31"/>
  <c r="W183" i="31"/>
  <c r="V183" i="31"/>
  <c r="U183" i="31"/>
  <c r="T183" i="31"/>
  <c r="S183" i="31"/>
  <c r="Q183" i="31"/>
  <c r="O183" i="31"/>
  <c r="M183" i="31"/>
  <c r="K183" i="31"/>
  <c r="X182" i="31"/>
  <c r="W182" i="31"/>
  <c r="V182" i="31"/>
  <c r="U182" i="31"/>
  <c r="T182" i="31"/>
  <c r="S182" i="31"/>
  <c r="Q182" i="31"/>
  <c r="O182" i="31"/>
  <c r="M182" i="31"/>
  <c r="K182" i="31"/>
  <c r="X181" i="31"/>
  <c r="W181" i="31"/>
  <c r="V181" i="31"/>
  <c r="U181" i="31"/>
  <c r="T181" i="31"/>
  <c r="S181" i="31"/>
  <c r="Q181" i="31"/>
  <c r="O181" i="31"/>
  <c r="M181" i="31"/>
  <c r="K181" i="31"/>
  <c r="X180" i="31"/>
  <c r="W180" i="31"/>
  <c r="V180" i="31"/>
  <c r="U180" i="31"/>
  <c r="T180" i="31"/>
  <c r="S180" i="31"/>
  <c r="Q180" i="31"/>
  <c r="O180" i="31"/>
  <c r="M180" i="31"/>
  <c r="K180" i="31"/>
  <c r="X179" i="31"/>
  <c r="W179" i="31"/>
  <c r="V179" i="31"/>
  <c r="U179" i="31"/>
  <c r="T179" i="31"/>
  <c r="S179" i="31"/>
  <c r="Q179" i="31"/>
  <c r="O179" i="31"/>
  <c r="M179" i="31"/>
  <c r="K179" i="31"/>
  <c r="X178" i="31"/>
  <c r="W178" i="31"/>
  <c r="V178" i="31"/>
  <c r="U178" i="31"/>
  <c r="T178" i="31"/>
  <c r="S178" i="31"/>
  <c r="Q178" i="31"/>
  <c r="O178" i="31"/>
  <c r="M178" i="31"/>
  <c r="K178" i="31"/>
  <c r="X177" i="31"/>
  <c r="W177" i="31"/>
  <c r="V177" i="31"/>
  <c r="U177" i="31"/>
  <c r="T177" i="31"/>
  <c r="S177" i="31"/>
  <c r="Q177" i="31"/>
  <c r="O177" i="31"/>
  <c r="M177" i="31"/>
  <c r="K177" i="31"/>
  <c r="X176" i="31"/>
  <c r="W176" i="31"/>
  <c r="V176" i="31"/>
  <c r="U176" i="31"/>
  <c r="T176" i="31"/>
  <c r="S176" i="31"/>
  <c r="Q176" i="31"/>
  <c r="O176" i="31"/>
  <c r="M176" i="31"/>
  <c r="K176" i="31"/>
  <c r="X175" i="31"/>
  <c r="W175" i="31"/>
  <c r="V175" i="31"/>
  <c r="U175" i="31"/>
  <c r="T175" i="31"/>
  <c r="S175" i="31"/>
  <c r="Q175" i="31"/>
  <c r="O175" i="31"/>
  <c r="M175" i="31"/>
  <c r="K175" i="31"/>
  <c r="X174" i="31"/>
  <c r="W174" i="31"/>
  <c r="V174" i="31"/>
  <c r="U174" i="31"/>
  <c r="T174" i="31"/>
  <c r="S174" i="31"/>
  <c r="Q174" i="31"/>
  <c r="O174" i="31"/>
  <c r="M174" i="31"/>
  <c r="K174" i="31"/>
  <c r="X173" i="31"/>
  <c r="W173" i="31"/>
  <c r="V173" i="31"/>
  <c r="U173" i="31"/>
  <c r="T173" i="31"/>
  <c r="S173" i="31"/>
  <c r="Q173" i="31"/>
  <c r="O173" i="31"/>
  <c r="M173" i="31"/>
  <c r="K173" i="31"/>
  <c r="X172" i="31"/>
  <c r="W172" i="31"/>
  <c r="V172" i="31"/>
  <c r="U172" i="31"/>
  <c r="T172" i="31"/>
  <c r="S172" i="31"/>
  <c r="Q172" i="31"/>
  <c r="O172" i="31"/>
  <c r="M172" i="31"/>
  <c r="K172" i="31"/>
  <c r="X171" i="31"/>
  <c r="W171" i="31"/>
  <c r="V171" i="31"/>
  <c r="U171" i="31"/>
  <c r="T171" i="31"/>
  <c r="S171" i="31"/>
  <c r="Q171" i="31"/>
  <c r="O171" i="31"/>
  <c r="M171" i="31"/>
  <c r="K171" i="31"/>
  <c r="X170" i="31"/>
  <c r="W170" i="31"/>
  <c r="V170" i="31"/>
  <c r="U170" i="31"/>
  <c r="T170" i="31"/>
  <c r="S170" i="31"/>
  <c r="Q170" i="31"/>
  <c r="O170" i="31"/>
  <c r="M170" i="31"/>
  <c r="K170" i="31"/>
  <c r="X169" i="31"/>
  <c r="W169" i="31"/>
  <c r="V169" i="31"/>
  <c r="U169" i="31"/>
  <c r="T169" i="31"/>
  <c r="S169" i="31"/>
  <c r="Q169" i="31"/>
  <c r="O169" i="31"/>
  <c r="M169" i="31"/>
  <c r="K169" i="31"/>
  <c r="X168" i="31"/>
  <c r="W168" i="31"/>
  <c r="V168" i="31"/>
  <c r="U168" i="31"/>
  <c r="T168" i="31"/>
  <c r="S168" i="31"/>
  <c r="Q168" i="31"/>
  <c r="O168" i="31"/>
  <c r="M168" i="31"/>
  <c r="K168" i="31"/>
  <c r="X167" i="31"/>
  <c r="W167" i="31"/>
  <c r="V167" i="31"/>
  <c r="U167" i="31"/>
  <c r="T167" i="31"/>
  <c r="S167" i="31"/>
  <c r="Q167" i="31"/>
  <c r="O167" i="31"/>
  <c r="M167" i="31"/>
  <c r="K167" i="31"/>
  <c r="X166" i="31"/>
  <c r="W166" i="31"/>
  <c r="V166" i="31"/>
  <c r="U166" i="31"/>
  <c r="T166" i="31"/>
  <c r="S166" i="31"/>
  <c r="Q166" i="31"/>
  <c r="O166" i="31"/>
  <c r="M166" i="31"/>
  <c r="K166" i="31"/>
  <c r="X165" i="31"/>
  <c r="W165" i="31"/>
  <c r="V165" i="31"/>
  <c r="U165" i="31"/>
  <c r="T165" i="31"/>
  <c r="S165" i="31"/>
  <c r="Q165" i="31"/>
  <c r="O165" i="31"/>
  <c r="M165" i="31"/>
  <c r="K165" i="31"/>
  <c r="X164" i="31"/>
  <c r="W164" i="31"/>
  <c r="V164" i="31"/>
  <c r="U164" i="31"/>
  <c r="T164" i="31"/>
  <c r="S164" i="31"/>
  <c r="Q164" i="31"/>
  <c r="O164" i="31"/>
  <c r="M164" i="31"/>
  <c r="K164" i="31"/>
  <c r="X163" i="31"/>
  <c r="W163" i="31"/>
  <c r="V163" i="31"/>
  <c r="U163" i="31"/>
  <c r="T163" i="31"/>
  <c r="S163" i="31"/>
  <c r="Q163" i="31"/>
  <c r="O163" i="31"/>
  <c r="M163" i="31"/>
  <c r="K163" i="31"/>
  <c r="X162" i="31"/>
  <c r="W162" i="31"/>
  <c r="V162" i="31"/>
  <c r="U162" i="31"/>
  <c r="T162" i="31"/>
  <c r="S162" i="31"/>
  <c r="Q162" i="31"/>
  <c r="O162" i="31"/>
  <c r="M162" i="31"/>
  <c r="K162" i="31"/>
  <c r="X161" i="31"/>
  <c r="W161" i="31"/>
  <c r="V161" i="31"/>
  <c r="U161" i="31"/>
  <c r="T161" i="31"/>
  <c r="S161" i="31"/>
  <c r="Q161" i="31"/>
  <c r="O161" i="31"/>
  <c r="M161" i="31"/>
  <c r="K161" i="31"/>
  <c r="X160" i="31"/>
  <c r="W160" i="31"/>
  <c r="V160" i="31"/>
  <c r="U160" i="31"/>
  <c r="T160" i="31"/>
  <c r="S160" i="31"/>
  <c r="Q160" i="31"/>
  <c r="O160" i="31"/>
  <c r="M160" i="31"/>
  <c r="K160" i="31"/>
  <c r="X159" i="31"/>
  <c r="W159" i="31"/>
  <c r="V159" i="31"/>
  <c r="U159" i="31"/>
  <c r="T159" i="31"/>
  <c r="S159" i="31"/>
  <c r="Q159" i="31"/>
  <c r="O159" i="31"/>
  <c r="M159" i="31"/>
  <c r="K159" i="31"/>
  <c r="X158" i="31"/>
  <c r="W158" i="31"/>
  <c r="V158" i="31"/>
  <c r="U158" i="31"/>
  <c r="T158" i="31"/>
  <c r="S158" i="31"/>
  <c r="Q158" i="31"/>
  <c r="O158" i="31"/>
  <c r="M158" i="31"/>
  <c r="K158" i="31"/>
  <c r="X157" i="31"/>
  <c r="W157" i="31"/>
  <c r="V157" i="31"/>
  <c r="U157" i="31"/>
  <c r="T157" i="31"/>
  <c r="S157" i="31"/>
  <c r="Q157" i="31"/>
  <c r="O157" i="31"/>
  <c r="M157" i="31"/>
  <c r="K157" i="31"/>
  <c r="X156" i="31"/>
  <c r="W156" i="31"/>
  <c r="V156" i="31"/>
  <c r="U156" i="31"/>
  <c r="T156" i="31"/>
  <c r="S156" i="31"/>
  <c r="Q156" i="31"/>
  <c r="O156" i="31"/>
  <c r="M156" i="31"/>
  <c r="K156" i="31"/>
  <c r="X155" i="31"/>
  <c r="W155" i="31"/>
  <c r="V155" i="31"/>
  <c r="U155" i="31"/>
  <c r="T155" i="31"/>
  <c r="S155" i="31"/>
  <c r="Q155" i="31"/>
  <c r="O155" i="31"/>
  <c r="M155" i="31"/>
  <c r="K155" i="31"/>
  <c r="X154" i="31"/>
  <c r="W154" i="31"/>
  <c r="V154" i="31"/>
  <c r="U154" i="31"/>
  <c r="T154" i="31"/>
  <c r="S154" i="31"/>
  <c r="Q154" i="31"/>
  <c r="O154" i="31"/>
  <c r="M154" i="31"/>
  <c r="K154" i="31"/>
  <c r="X153" i="31"/>
  <c r="W153" i="31"/>
  <c r="V153" i="31"/>
  <c r="U153" i="31"/>
  <c r="T153" i="31"/>
  <c r="S153" i="31"/>
  <c r="Q153" i="31"/>
  <c r="O153" i="31"/>
  <c r="M153" i="31"/>
  <c r="K153" i="31"/>
  <c r="X152" i="31"/>
  <c r="W152" i="31"/>
  <c r="V152" i="31"/>
  <c r="U152" i="31"/>
  <c r="T152" i="31"/>
  <c r="S152" i="31"/>
  <c r="Q152" i="31"/>
  <c r="O152" i="31"/>
  <c r="M152" i="31"/>
  <c r="K152" i="31"/>
  <c r="X151" i="31"/>
  <c r="W151" i="31"/>
  <c r="V151" i="31"/>
  <c r="U151" i="31"/>
  <c r="T151" i="31"/>
  <c r="S151" i="31"/>
  <c r="Q151" i="31"/>
  <c r="O151" i="31"/>
  <c r="M151" i="31"/>
  <c r="K151" i="31"/>
  <c r="X150" i="31"/>
  <c r="W150" i="31"/>
  <c r="V150" i="31"/>
  <c r="U150" i="31"/>
  <c r="T150" i="31"/>
  <c r="S150" i="31"/>
  <c r="Q150" i="31"/>
  <c r="O150" i="31"/>
  <c r="M150" i="31"/>
  <c r="K150" i="31"/>
  <c r="X149" i="31"/>
  <c r="W149" i="31"/>
  <c r="V149" i="31"/>
  <c r="U149" i="31"/>
  <c r="T149" i="31"/>
  <c r="S149" i="31"/>
  <c r="Q149" i="31"/>
  <c r="O149" i="31"/>
  <c r="M149" i="31"/>
  <c r="K149" i="31"/>
  <c r="X148" i="31"/>
  <c r="W148" i="31"/>
  <c r="V148" i="31"/>
  <c r="U148" i="31"/>
  <c r="T148" i="31"/>
  <c r="S148" i="31"/>
  <c r="Q148" i="31"/>
  <c r="O148" i="31"/>
  <c r="M148" i="31"/>
  <c r="K148" i="31"/>
  <c r="X147" i="31"/>
  <c r="W147" i="31"/>
  <c r="V147" i="31"/>
  <c r="U147" i="31"/>
  <c r="T147" i="31"/>
  <c r="S147" i="31"/>
  <c r="Q147" i="31"/>
  <c r="O147" i="31"/>
  <c r="M147" i="31"/>
  <c r="K147" i="31"/>
  <c r="X146" i="31"/>
  <c r="W146" i="31"/>
  <c r="V146" i="31"/>
  <c r="U146" i="31"/>
  <c r="T146" i="31"/>
  <c r="S146" i="31"/>
  <c r="Q146" i="31"/>
  <c r="O146" i="31"/>
  <c r="M146" i="31"/>
  <c r="K146" i="31"/>
  <c r="X145" i="31"/>
  <c r="W145" i="31"/>
  <c r="V145" i="31"/>
  <c r="U145" i="31"/>
  <c r="T145" i="31"/>
  <c r="S145" i="31"/>
  <c r="Q145" i="31"/>
  <c r="O145" i="31"/>
  <c r="M145" i="31"/>
  <c r="K145" i="31"/>
  <c r="X144" i="31"/>
  <c r="W144" i="31"/>
  <c r="V144" i="31"/>
  <c r="U144" i="31"/>
  <c r="T144" i="31"/>
  <c r="S144" i="31"/>
  <c r="Q144" i="31"/>
  <c r="O144" i="31"/>
  <c r="M144" i="31"/>
  <c r="K144" i="31"/>
  <c r="X143" i="31"/>
  <c r="W143" i="31"/>
  <c r="V143" i="31"/>
  <c r="U143" i="31"/>
  <c r="T143" i="31"/>
  <c r="S143" i="31"/>
  <c r="Q143" i="31"/>
  <c r="O143" i="31"/>
  <c r="M143" i="31"/>
  <c r="K143" i="31"/>
  <c r="X142" i="31"/>
  <c r="W142" i="31"/>
  <c r="V142" i="31"/>
  <c r="U142" i="31"/>
  <c r="T142" i="31"/>
  <c r="S142" i="31"/>
  <c r="Q142" i="31"/>
  <c r="O142" i="31"/>
  <c r="M142" i="31"/>
  <c r="K142" i="31"/>
  <c r="X141" i="31"/>
  <c r="W141" i="31"/>
  <c r="V141" i="31"/>
  <c r="U141" i="31"/>
  <c r="T141" i="31"/>
  <c r="S141" i="31"/>
  <c r="Q141" i="31"/>
  <c r="O141" i="31"/>
  <c r="M141" i="31"/>
  <c r="K141" i="31"/>
  <c r="X140" i="31"/>
  <c r="W140" i="31"/>
  <c r="V140" i="31"/>
  <c r="U140" i="31"/>
  <c r="T140" i="31"/>
  <c r="S140" i="31"/>
  <c r="Q140" i="31"/>
  <c r="O140" i="31"/>
  <c r="M140" i="31"/>
  <c r="K140" i="31"/>
  <c r="X139" i="31"/>
  <c r="W139" i="31"/>
  <c r="V139" i="31"/>
  <c r="U139" i="31"/>
  <c r="T139" i="31"/>
  <c r="S139" i="31"/>
  <c r="Q139" i="31"/>
  <c r="O139" i="31"/>
  <c r="M139" i="31"/>
  <c r="K139" i="31"/>
  <c r="X138" i="31"/>
  <c r="W138" i="31"/>
  <c r="V138" i="31"/>
  <c r="U138" i="31"/>
  <c r="T138" i="31"/>
  <c r="S138" i="31"/>
  <c r="Q138" i="31"/>
  <c r="O138" i="31"/>
  <c r="M138" i="31"/>
  <c r="K138" i="31"/>
  <c r="X137" i="31"/>
  <c r="W137" i="31"/>
  <c r="V137" i="31"/>
  <c r="U137" i="31"/>
  <c r="T137" i="31"/>
  <c r="S137" i="31"/>
  <c r="Q137" i="31"/>
  <c r="O137" i="31"/>
  <c r="M137" i="31"/>
  <c r="K137" i="31"/>
  <c r="X136" i="31"/>
  <c r="W136" i="31"/>
  <c r="V136" i="31"/>
  <c r="U136" i="31"/>
  <c r="T136" i="31"/>
  <c r="S136" i="31"/>
  <c r="Q136" i="31"/>
  <c r="O136" i="31"/>
  <c r="M136" i="31"/>
  <c r="K136" i="31"/>
  <c r="X135" i="31"/>
  <c r="W135" i="31"/>
  <c r="V135" i="31"/>
  <c r="U135" i="31"/>
  <c r="T135" i="31"/>
  <c r="S135" i="31"/>
  <c r="Q135" i="31"/>
  <c r="O135" i="31"/>
  <c r="M135" i="31"/>
  <c r="K135" i="31"/>
  <c r="X134" i="31"/>
  <c r="W134" i="31"/>
  <c r="V134" i="31"/>
  <c r="U134" i="31"/>
  <c r="T134" i="31"/>
  <c r="S134" i="31"/>
  <c r="Q134" i="31"/>
  <c r="O134" i="31"/>
  <c r="M134" i="31"/>
  <c r="K134" i="31"/>
  <c r="X133" i="31"/>
  <c r="W133" i="31"/>
  <c r="V133" i="31"/>
  <c r="U133" i="31"/>
  <c r="T133" i="31"/>
  <c r="S133" i="31"/>
  <c r="Q133" i="31"/>
  <c r="O133" i="31"/>
  <c r="M133" i="31"/>
  <c r="K133" i="31"/>
  <c r="X132" i="31"/>
  <c r="W132" i="31"/>
  <c r="V132" i="31"/>
  <c r="U132" i="31"/>
  <c r="T132" i="31"/>
  <c r="S132" i="31"/>
  <c r="Q132" i="31"/>
  <c r="O132" i="31"/>
  <c r="M132" i="31"/>
  <c r="K132" i="31"/>
  <c r="X131" i="31"/>
  <c r="W131" i="31"/>
  <c r="V131" i="31"/>
  <c r="U131" i="31"/>
  <c r="T131" i="31"/>
  <c r="S131" i="31"/>
  <c r="Q131" i="31"/>
  <c r="O131" i="31"/>
  <c r="M131" i="31"/>
  <c r="K131" i="31"/>
  <c r="X130" i="31"/>
  <c r="W130" i="31"/>
  <c r="V130" i="31"/>
  <c r="U130" i="31"/>
  <c r="T130" i="31"/>
  <c r="S130" i="31"/>
  <c r="Q130" i="31"/>
  <c r="O130" i="31"/>
  <c r="M130" i="31"/>
  <c r="K130" i="31"/>
  <c r="X129" i="31"/>
  <c r="W129" i="31"/>
  <c r="V129" i="31"/>
  <c r="U129" i="31"/>
  <c r="T129" i="31"/>
  <c r="S129" i="31"/>
  <c r="Q129" i="31"/>
  <c r="O129" i="31"/>
  <c r="M129" i="31"/>
  <c r="K129" i="31"/>
  <c r="X128" i="31"/>
  <c r="W128" i="31"/>
  <c r="V128" i="31"/>
  <c r="U128" i="31"/>
  <c r="T128" i="31"/>
  <c r="S128" i="31"/>
  <c r="Q128" i="31"/>
  <c r="O128" i="31"/>
  <c r="M128" i="31"/>
  <c r="K128" i="31"/>
  <c r="X127" i="31"/>
  <c r="W127" i="31"/>
  <c r="V127" i="31"/>
  <c r="U127" i="31"/>
  <c r="T127" i="31"/>
  <c r="S127" i="31"/>
  <c r="Q127" i="31"/>
  <c r="O127" i="31"/>
  <c r="M127" i="31"/>
  <c r="K127" i="31"/>
  <c r="X126" i="31"/>
  <c r="W126" i="31"/>
  <c r="V126" i="31"/>
  <c r="U126" i="31"/>
  <c r="T126" i="31"/>
  <c r="S126" i="31"/>
  <c r="Q126" i="31"/>
  <c r="O126" i="31"/>
  <c r="M126" i="31"/>
  <c r="K126" i="31"/>
  <c r="X125" i="31"/>
  <c r="W125" i="31"/>
  <c r="V125" i="31"/>
  <c r="U125" i="31"/>
  <c r="T125" i="31"/>
  <c r="S125" i="31"/>
  <c r="Q125" i="31"/>
  <c r="O125" i="31"/>
  <c r="M125" i="31"/>
  <c r="K125" i="31"/>
  <c r="X124" i="31"/>
  <c r="W124" i="31"/>
  <c r="V124" i="31"/>
  <c r="U124" i="31"/>
  <c r="T124" i="31"/>
  <c r="S124" i="31"/>
  <c r="Q124" i="31"/>
  <c r="O124" i="31"/>
  <c r="M124" i="31"/>
  <c r="K124" i="31"/>
  <c r="X123" i="31"/>
  <c r="W123" i="31"/>
  <c r="V123" i="31"/>
  <c r="U123" i="31"/>
  <c r="T123" i="31"/>
  <c r="S123" i="31"/>
  <c r="Q123" i="31"/>
  <c r="O123" i="31"/>
  <c r="M123" i="31"/>
  <c r="K123" i="31"/>
  <c r="X122" i="31"/>
  <c r="W122" i="31"/>
  <c r="V122" i="31"/>
  <c r="U122" i="31"/>
  <c r="T122" i="31"/>
  <c r="S122" i="31"/>
  <c r="Q122" i="31"/>
  <c r="O122" i="31"/>
  <c r="M122" i="31"/>
  <c r="K122" i="31"/>
  <c r="X121" i="31"/>
  <c r="W121" i="31"/>
  <c r="V121" i="31"/>
  <c r="U121" i="31"/>
  <c r="T121" i="31"/>
  <c r="S121" i="31"/>
  <c r="Q121" i="31"/>
  <c r="O121" i="31"/>
  <c r="M121" i="31"/>
  <c r="K121" i="31"/>
  <c r="X120" i="31"/>
  <c r="W120" i="31"/>
  <c r="V120" i="31"/>
  <c r="U120" i="31"/>
  <c r="T120" i="31"/>
  <c r="S120" i="31"/>
  <c r="Q120" i="31"/>
  <c r="O120" i="31"/>
  <c r="M120" i="31"/>
  <c r="K120" i="31"/>
  <c r="X119" i="31"/>
  <c r="W119" i="31"/>
  <c r="V119" i="31"/>
  <c r="U119" i="31"/>
  <c r="T119" i="31"/>
  <c r="S119" i="31"/>
  <c r="Q119" i="31"/>
  <c r="O119" i="31"/>
  <c r="M119" i="31"/>
  <c r="K119" i="31"/>
  <c r="X118" i="31"/>
  <c r="W118" i="31"/>
  <c r="V118" i="31"/>
  <c r="U118" i="31"/>
  <c r="T118" i="31"/>
  <c r="S118" i="31"/>
  <c r="Q118" i="31"/>
  <c r="O118" i="31"/>
  <c r="M118" i="31"/>
  <c r="K118" i="31"/>
  <c r="X117" i="31"/>
  <c r="W117" i="31"/>
  <c r="V117" i="31"/>
  <c r="U117" i="31"/>
  <c r="T117" i="31"/>
  <c r="S117" i="31"/>
  <c r="Q117" i="31"/>
  <c r="O117" i="31"/>
  <c r="M117" i="31"/>
  <c r="K117" i="31"/>
  <c r="X116" i="31"/>
  <c r="W116" i="31"/>
  <c r="V116" i="31"/>
  <c r="U116" i="31"/>
  <c r="T116" i="31"/>
  <c r="S116" i="31"/>
  <c r="Q116" i="31"/>
  <c r="O116" i="31"/>
  <c r="M116" i="31"/>
  <c r="K116" i="31"/>
  <c r="X115" i="31"/>
  <c r="W115" i="31"/>
  <c r="V115" i="31"/>
  <c r="U115" i="31"/>
  <c r="T115" i="31"/>
  <c r="S115" i="31"/>
  <c r="Q115" i="31"/>
  <c r="O115" i="31"/>
  <c r="M115" i="31"/>
  <c r="K115" i="31"/>
  <c r="X114" i="31"/>
  <c r="W114" i="31"/>
  <c r="V114" i="31"/>
  <c r="U114" i="31"/>
  <c r="T114" i="31"/>
  <c r="S114" i="31"/>
  <c r="Q114" i="31"/>
  <c r="O114" i="31"/>
  <c r="M114" i="31"/>
  <c r="K114" i="31"/>
  <c r="X113" i="31"/>
  <c r="W113" i="31"/>
  <c r="V113" i="31"/>
  <c r="U113" i="31"/>
  <c r="T113" i="31"/>
  <c r="S113" i="31"/>
  <c r="Q113" i="31"/>
  <c r="O113" i="31"/>
  <c r="M113" i="31"/>
  <c r="K113" i="31"/>
  <c r="X112" i="31"/>
  <c r="W112" i="31"/>
  <c r="V112" i="31"/>
  <c r="U112" i="31"/>
  <c r="T112" i="31"/>
  <c r="S112" i="31"/>
  <c r="Q112" i="31"/>
  <c r="O112" i="31"/>
  <c r="M112" i="31"/>
  <c r="K112" i="31"/>
  <c r="X111" i="31"/>
  <c r="W111" i="31"/>
  <c r="V111" i="31"/>
  <c r="U111" i="31"/>
  <c r="T111" i="31"/>
  <c r="S111" i="31"/>
  <c r="Q111" i="31"/>
  <c r="O111" i="31"/>
  <c r="M111" i="31"/>
  <c r="K111" i="31"/>
  <c r="X110" i="31"/>
  <c r="W110" i="31"/>
  <c r="V110" i="31"/>
  <c r="U110" i="31"/>
  <c r="T110" i="31"/>
  <c r="S110" i="31"/>
  <c r="Q110" i="31"/>
  <c r="O110" i="31"/>
  <c r="M110" i="31"/>
  <c r="K110" i="31"/>
  <c r="X109" i="31"/>
  <c r="W109" i="31"/>
  <c r="V109" i="31"/>
  <c r="U109" i="31"/>
  <c r="T109" i="31"/>
  <c r="S109" i="31"/>
  <c r="Q109" i="31"/>
  <c r="O109" i="31"/>
  <c r="M109" i="31"/>
  <c r="K109" i="31"/>
  <c r="X108" i="31"/>
  <c r="W108" i="31"/>
  <c r="V108" i="31"/>
  <c r="U108" i="31"/>
  <c r="T108" i="31"/>
  <c r="S108" i="31"/>
  <c r="Q108" i="31"/>
  <c r="O108" i="31"/>
  <c r="M108" i="31"/>
  <c r="K108" i="31"/>
  <c r="X107" i="31"/>
  <c r="W107" i="31"/>
  <c r="V107" i="31"/>
  <c r="U107" i="31"/>
  <c r="T107" i="31"/>
  <c r="S107" i="31"/>
  <c r="Q107" i="31"/>
  <c r="O107" i="31"/>
  <c r="M107" i="31"/>
  <c r="K107" i="31"/>
  <c r="X106" i="31"/>
  <c r="W106" i="31"/>
  <c r="V106" i="31"/>
  <c r="U106" i="31"/>
  <c r="T106" i="31"/>
  <c r="S106" i="31"/>
  <c r="Q106" i="31"/>
  <c r="O106" i="31"/>
  <c r="M106" i="31"/>
  <c r="K106" i="31"/>
  <c r="X105" i="31"/>
  <c r="W105" i="31"/>
  <c r="V105" i="31"/>
  <c r="U105" i="31"/>
  <c r="T105" i="31"/>
  <c r="S105" i="31"/>
  <c r="Q105" i="31"/>
  <c r="O105" i="31"/>
  <c r="M105" i="31"/>
  <c r="K105" i="31"/>
  <c r="X104" i="31"/>
  <c r="W104" i="31"/>
  <c r="V104" i="31"/>
  <c r="U104" i="31"/>
  <c r="T104" i="31"/>
  <c r="S104" i="31"/>
  <c r="Q104" i="31"/>
  <c r="O104" i="31"/>
  <c r="M104" i="31"/>
  <c r="K104" i="31"/>
  <c r="X103" i="31"/>
  <c r="W103" i="31"/>
  <c r="V103" i="31"/>
  <c r="U103" i="31"/>
  <c r="T103" i="31"/>
  <c r="S103" i="31"/>
  <c r="Q103" i="31"/>
  <c r="O103" i="31"/>
  <c r="M103" i="31"/>
  <c r="K103" i="31"/>
  <c r="X102" i="31"/>
  <c r="W102" i="31"/>
  <c r="V102" i="31"/>
  <c r="U102" i="31"/>
  <c r="T102" i="31"/>
  <c r="S102" i="31"/>
  <c r="Q102" i="31"/>
  <c r="O102" i="31"/>
  <c r="M102" i="31"/>
  <c r="K102" i="31"/>
  <c r="X101" i="31"/>
  <c r="W101" i="31"/>
  <c r="V101" i="31"/>
  <c r="U101" i="31"/>
  <c r="T101" i="31"/>
  <c r="S101" i="31"/>
  <c r="Q101" i="31"/>
  <c r="O101" i="31"/>
  <c r="M101" i="31"/>
  <c r="K101" i="31"/>
  <c r="X100" i="31"/>
  <c r="W100" i="31"/>
  <c r="V100" i="31"/>
  <c r="U100" i="31"/>
  <c r="T100" i="31"/>
  <c r="S100" i="31"/>
  <c r="Q100" i="31"/>
  <c r="O100" i="31"/>
  <c r="M100" i="31"/>
  <c r="K100" i="31"/>
  <c r="X99" i="31"/>
  <c r="W99" i="31"/>
  <c r="V99" i="31"/>
  <c r="U99" i="31"/>
  <c r="T99" i="31"/>
  <c r="S99" i="31"/>
  <c r="Q99" i="31"/>
  <c r="O99" i="31"/>
  <c r="M99" i="31"/>
  <c r="K99" i="31"/>
  <c r="X98" i="31"/>
  <c r="W98" i="31"/>
  <c r="V98" i="31"/>
  <c r="U98" i="31"/>
  <c r="T98" i="31"/>
  <c r="S98" i="31"/>
  <c r="Q98" i="31"/>
  <c r="O98" i="31"/>
  <c r="M98" i="31"/>
  <c r="K98" i="31"/>
  <c r="X97" i="31"/>
  <c r="W97" i="31"/>
  <c r="V97" i="31"/>
  <c r="U97" i="31"/>
  <c r="T97" i="31"/>
  <c r="S97" i="31"/>
  <c r="Q97" i="31"/>
  <c r="O97" i="31"/>
  <c r="M97" i="31"/>
  <c r="K97" i="31"/>
  <c r="X96" i="31"/>
  <c r="W96" i="31"/>
  <c r="V96" i="31"/>
  <c r="U96" i="31"/>
  <c r="T96" i="31"/>
  <c r="S96" i="31"/>
  <c r="Q96" i="31"/>
  <c r="O96" i="31"/>
  <c r="M96" i="31"/>
  <c r="K96" i="31"/>
  <c r="X95" i="31"/>
  <c r="W95" i="31"/>
  <c r="V95" i="31"/>
  <c r="U95" i="31"/>
  <c r="T95" i="31"/>
  <c r="S95" i="31"/>
  <c r="Q95" i="31"/>
  <c r="O95" i="31"/>
  <c r="M95" i="31"/>
  <c r="K95" i="31"/>
  <c r="X94" i="31"/>
  <c r="W94" i="31"/>
  <c r="V94" i="31"/>
  <c r="U94" i="31"/>
  <c r="T94" i="31"/>
  <c r="S94" i="31"/>
  <c r="Q94" i="31"/>
  <c r="O94" i="31"/>
  <c r="M94" i="31"/>
  <c r="K94" i="31"/>
  <c r="X93" i="31"/>
  <c r="W93" i="31"/>
  <c r="V93" i="31"/>
  <c r="U93" i="31"/>
  <c r="T93" i="31"/>
  <c r="S93" i="31"/>
  <c r="Q93" i="31"/>
  <c r="O93" i="31"/>
  <c r="M93" i="31"/>
  <c r="K93" i="31"/>
  <c r="X92" i="31"/>
  <c r="W92" i="31"/>
  <c r="V92" i="31"/>
  <c r="U92" i="31"/>
  <c r="T92" i="31"/>
  <c r="S92" i="31"/>
  <c r="Q92" i="31"/>
  <c r="O92" i="31"/>
  <c r="M92" i="31"/>
  <c r="K92" i="31"/>
  <c r="X91" i="31"/>
  <c r="W91" i="31"/>
  <c r="V91" i="31"/>
  <c r="U91" i="31"/>
  <c r="T91" i="31"/>
  <c r="S91" i="31"/>
  <c r="Q91" i="31"/>
  <c r="O91" i="31"/>
  <c r="M91" i="31"/>
  <c r="K91" i="31"/>
  <c r="X90" i="31"/>
  <c r="W90" i="31"/>
  <c r="V90" i="31"/>
  <c r="U90" i="31"/>
  <c r="T90" i="31"/>
  <c r="S90" i="31"/>
  <c r="Q90" i="31"/>
  <c r="O90" i="31"/>
  <c r="M90" i="31"/>
  <c r="K90" i="31"/>
  <c r="X89" i="31"/>
  <c r="W89" i="31"/>
  <c r="V89" i="31"/>
  <c r="U89" i="31"/>
  <c r="T89" i="31"/>
  <c r="S89" i="31"/>
  <c r="Q89" i="31"/>
  <c r="O89" i="31"/>
  <c r="M89" i="31"/>
  <c r="K89" i="31"/>
  <c r="X88" i="31"/>
  <c r="W88" i="31"/>
  <c r="V88" i="31"/>
  <c r="U88" i="31"/>
  <c r="T88" i="31"/>
  <c r="S88" i="31"/>
  <c r="Q88" i="31"/>
  <c r="O88" i="31"/>
  <c r="M88" i="31"/>
  <c r="K88" i="31"/>
  <c r="X87" i="31"/>
  <c r="W87" i="31"/>
  <c r="V87" i="31"/>
  <c r="U87" i="31"/>
  <c r="T87" i="31"/>
  <c r="S87" i="31"/>
  <c r="Q87" i="31"/>
  <c r="O87" i="31"/>
  <c r="M87" i="31"/>
  <c r="K87" i="31"/>
  <c r="X86" i="31"/>
  <c r="W86" i="31"/>
  <c r="V86" i="31"/>
  <c r="U86" i="31"/>
  <c r="T86" i="31"/>
  <c r="S86" i="31"/>
  <c r="Q86" i="31"/>
  <c r="O86" i="31"/>
  <c r="M86" i="31"/>
  <c r="K86" i="31"/>
  <c r="X85" i="31"/>
  <c r="W85" i="31"/>
  <c r="V85" i="31"/>
  <c r="U85" i="31"/>
  <c r="T85" i="31"/>
  <c r="S85" i="31"/>
  <c r="Q85" i="31"/>
  <c r="O85" i="31"/>
  <c r="M85" i="31"/>
  <c r="K85" i="31"/>
  <c r="X84" i="31"/>
  <c r="W84" i="31"/>
  <c r="V84" i="31"/>
  <c r="U84" i="31"/>
  <c r="T84" i="31"/>
  <c r="S84" i="31"/>
  <c r="Q84" i="31"/>
  <c r="O84" i="31"/>
  <c r="M84" i="31"/>
  <c r="K84" i="31"/>
  <c r="X83" i="31"/>
  <c r="W83" i="31"/>
  <c r="V83" i="31"/>
  <c r="U83" i="31"/>
  <c r="T83" i="31"/>
  <c r="S83" i="31"/>
  <c r="Q83" i="31"/>
  <c r="O83" i="31"/>
  <c r="M83" i="31"/>
  <c r="K83" i="31"/>
  <c r="X82" i="31"/>
  <c r="W82" i="31"/>
  <c r="V82" i="31"/>
  <c r="U82" i="31"/>
  <c r="T82" i="31"/>
  <c r="S82" i="31"/>
  <c r="Q82" i="31"/>
  <c r="O82" i="31"/>
  <c r="M82" i="31"/>
  <c r="K82" i="31"/>
  <c r="X81" i="31"/>
  <c r="W81" i="31"/>
  <c r="V81" i="31"/>
  <c r="U81" i="31"/>
  <c r="T81" i="31"/>
  <c r="S81" i="31"/>
  <c r="Q81" i="31"/>
  <c r="O81" i="31"/>
  <c r="M81" i="31"/>
  <c r="K81" i="31"/>
  <c r="X80" i="31"/>
  <c r="W80" i="31"/>
  <c r="V80" i="31"/>
  <c r="U80" i="31"/>
  <c r="T80" i="31"/>
  <c r="S80" i="31"/>
  <c r="Q80" i="31"/>
  <c r="O80" i="31"/>
  <c r="M80" i="31"/>
  <c r="K80" i="31"/>
  <c r="X79" i="31"/>
  <c r="W79" i="31"/>
  <c r="V79" i="31"/>
  <c r="U79" i="31"/>
  <c r="T79" i="31"/>
  <c r="S79" i="31"/>
  <c r="Q79" i="31"/>
  <c r="O79" i="31"/>
  <c r="M79" i="31"/>
  <c r="K79" i="31"/>
  <c r="X78" i="31"/>
  <c r="W78" i="31"/>
  <c r="V78" i="31"/>
  <c r="U78" i="31"/>
  <c r="T78" i="31"/>
  <c r="S78" i="31"/>
  <c r="Q78" i="31"/>
  <c r="O78" i="31"/>
  <c r="M78" i="31"/>
  <c r="K78" i="31"/>
  <c r="X77" i="31"/>
  <c r="W77" i="31"/>
  <c r="V77" i="31"/>
  <c r="U77" i="31"/>
  <c r="T77" i="31"/>
  <c r="S77" i="31"/>
  <c r="Q77" i="31"/>
  <c r="O77" i="31"/>
  <c r="M77" i="31"/>
  <c r="K77" i="31"/>
  <c r="X76" i="31"/>
  <c r="W76" i="31"/>
  <c r="V76" i="31"/>
  <c r="U76" i="31"/>
  <c r="T76" i="31"/>
  <c r="S76" i="31"/>
  <c r="Q76" i="31"/>
  <c r="O76" i="31"/>
  <c r="M76" i="31"/>
  <c r="K76" i="31"/>
  <c r="X75" i="31"/>
  <c r="W75" i="31"/>
  <c r="V75" i="31"/>
  <c r="U75" i="31"/>
  <c r="T75" i="31"/>
  <c r="S75" i="31"/>
  <c r="Q75" i="31"/>
  <c r="O75" i="31"/>
  <c r="M75" i="31"/>
  <c r="K75" i="31"/>
  <c r="X74" i="31"/>
  <c r="W74" i="31"/>
  <c r="V74" i="31"/>
  <c r="U74" i="31"/>
  <c r="T74" i="31"/>
  <c r="S74" i="31"/>
  <c r="Q74" i="31"/>
  <c r="O74" i="31"/>
  <c r="M74" i="31"/>
  <c r="K74" i="31"/>
  <c r="X73" i="31"/>
  <c r="W73" i="31"/>
  <c r="V73" i="31"/>
  <c r="U73" i="31"/>
  <c r="T73" i="31"/>
  <c r="S73" i="31"/>
  <c r="Q73" i="31"/>
  <c r="O73" i="31"/>
  <c r="M73" i="31"/>
  <c r="K73" i="31"/>
  <c r="X72" i="31"/>
  <c r="W72" i="31"/>
  <c r="V72" i="31"/>
  <c r="U72" i="31"/>
  <c r="T72" i="31"/>
  <c r="S72" i="31"/>
  <c r="Q72" i="31"/>
  <c r="O72" i="31"/>
  <c r="M72" i="31"/>
  <c r="K72" i="31"/>
  <c r="X71" i="31"/>
  <c r="W71" i="31"/>
  <c r="V71" i="31"/>
  <c r="U71" i="31"/>
  <c r="T71" i="31"/>
  <c r="S71" i="31"/>
  <c r="Q71" i="31"/>
  <c r="O71" i="31"/>
  <c r="M71" i="31"/>
  <c r="K71" i="31"/>
  <c r="X70" i="31"/>
  <c r="W70" i="31"/>
  <c r="V70" i="31"/>
  <c r="U70" i="31"/>
  <c r="T70" i="31"/>
  <c r="S70" i="31"/>
  <c r="Q70" i="31"/>
  <c r="O70" i="31"/>
  <c r="M70" i="31"/>
  <c r="K70" i="31"/>
  <c r="X69" i="31"/>
  <c r="W69" i="31"/>
  <c r="V69" i="31"/>
  <c r="U69" i="31"/>
  <c r="T69" i="31"/>
  <c r="S69" i="31"/>
  <c r="Q69" i="31"/>
  <c r="O69" i="31"/>
  <c r="M69" i="31"/>
  <c r="K69" i="31"/>
  <c r="X68" i="31"/>
  <c r="W68" i="31"/>
  <c r="V68" i="31"/>
  <c r="U68" i="31"/>
  <c r="T68" i="31"/>
  <c r="S68" i="31"/>
  <c r="Q68" i="31"/>
  <c r="O68" i="31"/>
  <c r="M68" i="31"/>
  <c r="K68" i="31"/>
  <c r="X67" i="31"/>
  <c r="W67" i="31"/>
  <c r="V67" i="31"/>
  <c r="U67" i="31"/>
  <c r="T67" i="31"/>
  <c r="S67" i="31"/>
  <c r="Q67" i="31"/>
  <c r="O67" i="31"/>
  <c r="M67" i="31"/>
  <c r="K67" i="31"/>
  <c r="X66" i="31"/>
  <c r="W66" i="31"/>
  <c r="V66" i="31"/>
  <c r="U66" i="31"/>
  <c r="T66" i="31"/>
  <c r="S66" i="31"/>
  <c r="Q66" i="31"/>
  <c r="O66" i="31"/>
  <c r="M66" i="31"/>
  <c r="K66" i="31"/>
  <c r="X65" i="31"/>
  <c r="W65" i="31"/>
  <c r="V65" i="31"/>
  <c r="U65" i="31"/>
  <c r="T65" i="31"/>
  <c r="S65" i="31"/>
  <c r="Q65" i="31"/>
  <c r="O65" i="31"/>
  <c r="M65" i="31"/>
  <c r="K65" i="31"/>
  <c r="X64" i="31"/>
  <c r="W64" i="31"/>
  <c r="V64" i="31"/>
  <c r="U64" i="31"/>
  <c r="T64" i="31"/>
  <c r="S64" i="31"/>
  <c r="Q64" i="31"/>
  <c r="O64" i="31"/>
  <c r="M64" i="31"/>
  <c r="K64" i="31"/>
  <c r="X63" i="31"/>
  <c r="W63" i="31"/>
  <c r="V63" i="31"/>
  <c r="U63" i="31"/>
  <c r="T63" i="31"/>
  <c r="S63" i="31"/>
  <c r="Q63" i="31"/>
  <c r="O63" i="31"/>
  <c r="M63" i="31"/>
  <c r="K63" i="31"/>
  <c r="X62" i="31"/>
  <c r="W62" i="31"/>
  <c r="V62" i="31"/>
  <c r="U62" i="31"/>
  <c r="T62" i="31"/>
  <c r="S62" i="31"/>
  <c r="Q62" i="31"/>
  <c r="O62" i="31"/>
  <c r="M62" i="31"/>
  <c r="K62" i="31"/>
  <c r="X61" i="31"/>
  <c r="W61" i="31"/>
  <c r="V61" i="31"/>
  <c r="U61" i="31"/>
  <c r="T61" i="31"/>
  <c r="S61" i="31"/>
  <c r="Q61" i="31"/>
  <c r="O61" i="31"/>
  <c r="M61" i="31"/>
  <c r="K61" i="31"/>
  <c r="X60" i="31"/>
  <c r="W60" i="31"/>
  <c r="V60" i="31"/>
  <c r="U60" i="31"/>
  <c r="T60" i="31"/>
  <c r="S60" i="31"/>
  <c r="Q60" i="31"/>
  <c r="O60" i="31"/>
  <c r="M60" i="31"/>
  <c r="K60" i="31"/>
  <c r="X59" i="31"/>
  <c r="W59" i="31"/>
  <c r="V59" i="31"/>
  <c r="U59" i="31"/>
  <c r="T59" i="31"/>
  <c r="S59" i="31"/>
  <c r="Q59" i="31"/>
  <c r="O59" i="31"/>
  <c r="M59" i="31"/>
  <c r="K59" i="31"/>
  <c r="X58" i="31"/>
  <c r="W58" i="31"/>
  <c r="V58" i="31"/>
  <c r="U58" i="31"/>
  <c r="T58" i="31"/>
  <c r="S58" i="31"/>
  <c r="Q58" i="31"/>
  <c r="O58" i="31"/>
  <c r="M58" i="31"/>
  <c r="K58" i="31"/>
  <c r="X57" i="31"/>
  <c r="W57" i="31"/>
  <c r="V57" i="31"/>
  <c r="U57" i="31"/>
  <c r="T57" i="31"/>
  <c r="S57" i="31"/>
  <c r="Q57" i="31"/>
  <c r="O57" i="31"/>
  <c r="M57" i="31"/>
  <c r="K57" i="31"/>
  <c r="X56" i="31"/>
  <c r="W56" i="31"/>
  <c r="V56" i="31"/>
  <c r="U56" i="31"/>
  <c r="T56" i="31"/>
  <c r="S56" i="31"/>
  <c r="Q56" i="31"/>
  <c r="O56" i="31"/>
  <c r="M56" i="31"/>
  <c r="K56" i="31"/>
  <c r="X55" i="31"/>
  <c r="W55" i="31"/>
  <c r="V55" i="31"/>
  <c r="U55" i="31"/>
  <c r="T55" i="31"/>
  <c r="S55" i="31"/>
  <c r="Q55" i="31"/>
  <c r="O55" i="31"/>
  <c r="M55" i="31"/>
  <c r="K55" i="31"/>
  <c r="X54" i="31"/>
  <c r="W54" i="31"/>
  <c r="V54" i="31"/>
  <c r="U54" i="31"/>
  <c r="T54" i="31"/>
  <c r="S54" i="31"/>
  <c r="Q54" i="31"/>
  <c r="O54" i="31"/>
  <c r="M54" i="31"/>
  <c r="K54" i="31"/>
  <c r="X53" i="31"/>
  <c r="W53" i="31"/>
  <c r="V53" i="31"/>
  <c r="U53" i="31"/>
  <c r="T53" i="31"/>
  <c r="S53" i="31"/>
  <c r="Q53" i="31"/>
  <c r="O53" i="31"/>
  <c r="M53" i="31"/>
  <c r="K53" i="31"/>
  <c r="X52" i="31"/>
  <c r="W52" i="31"/>
  <c r="V52" i="31"/>
  <c r="U52" i="31"/>
  <c r="T52" i="31"/>
  <c r="S52" i="31"/>
  <c r="Q52" i="31"/>
  <c r="O52" i="31"/>
  <c r="M52" i="31"/>
  <c r="K52" i="31"/>
  <c r="X51" i="31"/>
  <c r="W51" i="31"/>
  <c r="V51" i="31"/>
  <c r="U51" i="31"/>
  <c r="T51" i="31"/>
  <c r="S51" i="31"/>
  <c r="Q51" i="31"/>
  <c r="O51" i="31"/>
  <c r="M51" i="31"/>
  <c r="K51" i="31"/>
  <c r="X50" i="31"/>
  <c r="W50" i="31"/>
  <c r="V50" i="31"/>
  <c r="U50" i="31"/>
  <c r="T50" i="31"/>
  <c r="S50" i="31"/>
  <c r="Q50" i="31"/>
  <c r="O50" i="31"/>
  <c r="M50" i="31"/>
  <c r="K50" i="31"/>
  <c r="X49" i="31"/>
  <c r="W49" i="31"/>
  <c r="V49" i="31"/>
  <c r="U49" i="31"/>
  <c r="T49" i="31"/>
  <c r="S49" i="31"/>
  <c r="Q49" i="31"/>
  <c r="O49" i="31"/>
  <c r="M49" i="31"/>
  <c r="K49" i="31"/>
  <c r="X48" i="31"/>
  <c r="W48" i="31"/>
  <c r="V48" i="31"/>
  <c r="U48" i="31"/>
  <c r="T48" i="31"/>
  <c r="S48" i="31"/>
  <c r="Q48" i="31"/>
  <c r="O48" i="31"/>
  <c r="M48" i="31"/>
  <c r="K48" i="31"/>
  <c r="X47" i="31"/>
  <c r="W47" i="31"/>
  <c r="V47" i="31"/>
  <c r="U47" i="31"/>
  <c r="T47" i="31"/>
  <c r="S47" i="31"/>
  <c r="Q47" i="31"/>
  <c r="O47" i="31"/>
  <c r="M47" i="31"/>
  <c r="K47" i="31"/>
  <c r="X46" i="31"/>
  <c r="W46" i="31"/>
  <c r="V46" i="31"/>
  <c r="U46" i="31"/>
  <c r="T46" i="31"/>
  <c r="S46" i="31"/>
  <c r="Q46" i="31"/>
  <c r="O46" i="31"/>
  <c r="M46" i="31"/>
  <c r="K46" i="31"/>
  <c r="X45" i="31"/>
  <c r="W45" i="31"/>
  <c r="V45" i="31"/>
  <c r="U45" i="31"/>
  <c r="T45" i="31"/>
  <c r="S45" i="31"/>
  <c r="Q45" i="31"/>
  <c r="O45" i="31"/>
  <c r="M45" i="31"/>
  <c r="K45" i="31"/>
  <c r="X44" i="31"/>
  <c r="W44" i="31"/>
  <c r="V44" i="31"/>
  <c r="U44" i="31"/>
  <c r="T44" i="31"/>
  <c r="S44" i="31"/>
  <c r="Q44" i="31"/>
  <c r="O44" i="31"/>
  <c r="M44" i="31"/>
  <c r="K44" i="31"/>
  <c r="X43" i="31"/>
  <c r="W43" i="31"/>
  <c r="V43" i="31"/>
  <c r="U43" i="31"/>
  <c r="T43" i="31"/>
  <c r="S43" i="31"/>
  <c r="Q43" i="31"/>
  <c r="O43" i="31"/>
  <c r="M43" i="31"/>
  <c r="K43" i="31"/>
  <c r="X42" i="31"/>
  <c r="W42" i="31"/>
  <c r="V42" i="31"/>
  <c r="U42" i="31"/>
  <c r="T42" i="31"/>
  <c r="S42" i="31"/>
  <c r="Q42" i="31"/>
  <c r="O42" i="31"/>
  <c r="M42" i="31"/>
  <c r="K42" i="31"/>
  <c r="X41" i="31"/>
  <c r="W41" i="31"/>
  <c r="V41" i="31"/>
  <c r="U41" i="31"/>
  <c r="T41" i="31"/>
  <c r="S41" i="31"/>
  <c r="Q41" i="31"/>
  <c r="O41" i="31"/>
  <c r="M41" i="31"/>
  <c r="K41" i="31"/>
  <c r="X40" i="31"/>
  <c r="W40" i="31"/>
  <c r="V40" i="31"/>
  <c r="U40" i="31"/>
  <c r="T40" i="31"/>
  <c r="S40" i="31"/>
  <c r="Q40" i="31"/>
  <c r="O40" i="31"/>
  <c r="M40" i="31"/>
  <c r="K40" i="31"/>
  <c r="X39" i="31"/>
  <c r="W39" i="31"/>
  <c r="V39" i="31"/>
  <c r="U39" i="31"/>
  <c r="T39" i="31"/>
  <c r="S39" i="31"/>
  <c r="Q39" i="31"/>
  <c r="O39" i="31"/>
  <c r="M39" i="31"/>
  <c r="K39" i="31"/>
  <c r="X38" i="31"/>
  <c r="W38" i="31"/>
  <c r="V38" i="31"/>
  <c r="U38" i="31"/>
  <c r="T38" i="31"/>
  <c r="S38" i="31"/>
  <c r="Q38" i="31"/>
  <c r="O38" i="31"/>
  <c r="M38" i="31"/>
  <c r="K38" i="31"/>
  <c r="X37" i="31"/>
  <c r="W37" i="31"/>
  <c r="V37" i="31"/>
  <c r="U37" i="31"/>
  <c r="T37" i="31"/>
  <c r="S37" i="31"/>
  <c r="Q37" i="31"/>
  <c r="O37" i="31"/>
  <c r="M37" i="31"/>
  <c r="K37" i="31"/>
  <c r="X36" i="31"/>
  <c r="W36" i="31"/>
  <c r="V36" i="31"/>
  <c r="U36" i="31"/>
  <c r="T36" i="31"/>
  <c r="S36" i="31"/>
  <c r="Q36" i="31"/>
  <c r="O36" i="31"/>
  <c r="M36" i="31"/>
  <c r="K36" i="31"/>
  <c r="X35" i="31"/>
  <c r="W35" i="31"/>
  <c r="V35" i="31"/>
  <c r="U35" i="31"/>
  <c r="T35" i="31"/>
  <c r="S35" i="31"/>
  <c r="Q35" i="31"/>
  <c r="O35" i="31"/>
  <c r="M35" i="31"/>
  <c r="K35" i="31"/>
  <c r="X34" i="31"/>
  <c r="W34" i="31"/>
  <c r="V34" i="31"/>
  <c r="U34" i="31"/>
  <c r="T34" i="31"/>
  <c r="S34" i="31"/>
  <c r="Q34" i="31"/>
  <c r="O34" i="31"/>
  <c r="M34" i="31"/>
  <c r="K34" i="31"/>
  <c r="X33" i="31"/>
  <c r="W33" i="31"/>
  <c r="V33" i="31"/>
  <c r="U33" i="31"/>
  <c r="T33" i="31"/>
  <c r="S33" i="31"/>
  <c r="Q33" i="31"/>
  <c r="O33" i="31"/>
  <c r="M33" i="31"/>
  <c r="K33" i="31"/>
  <c r="X32" i="31"/>
  <c r="W32" i="31"/>
  <c r="V32" i="31"/>
  <c r="U32" i="31"/>
  <c r="T32" i="31"/>
  <c r="S32" i="31"/>
  <c r="Q32" i="31"/>
  <c r="O32" i="31"/>
  <c r="M32" i="31"/>
  <c r="K32" i="31"/>
  <c r="X31" i="31"/>
  <c r="W31" i="31"/>
  <c r="V31" i="31"/>
  <c r="U31" i="31"/>
  <c r="T31" i="31"/>
  <c r="S31" i="31"/>
  <c r="Q31" i="31"/>
  <c r="O31" i="31"/>
  <c r="M31" i="31"/>
  <c r="K31" i="31"/>
  <c r="X30" i="31"/>
  <c r="W30" i="31"/>
  <c r="V30" i="31"/>
  <c r="U30" i="31"/>
  <c r="T30" i="31"/>
  <c r="S30" i="31"/>
  <c r="Q30" i="31"/>
  <c r="O30" i="31"/>
  <c r="M30" i="31"/>
  <c r="K30" i="31"/>
  <c r="X29" i="31"/>
  <c r="W29" i="31"/>
  <c r="V29" i="31"/>
  <c r="U29" i="31"/>
  <c r="T29" i="31"/>
  <c r="S29" i="31"/>
  <c r="Q29" i="31"/>
  <c r="O29" i="31"/>
  <c r="M29" i="31"/>
  <c r="K29" i="31"/>
  <c r="X28" i="31"/>
  <c r="W28" i="31"/>
  <c r="V28" i="31"/>
  <c r="U28" i="31"/>
  <c r="T28" i="31"/>
  <c r="S28" i="31"/>
  <c r="Q28" i="31"/>
  <c r="O28" i="31"/>
  <c r="M28" i="31"/>
  <c r="K28" i="31"/>
  <c r="X27" i="31"/>
  <c r="W27" i="31"/>
  <c r="V27" i="31"/>
  <c r="U27" i="31"/>
  <c r="T27" i="31"/>
  <c r="S27" i="31"/>
  <c r="Q27" i="31"/>
  <c r="O27" i="31"/>
  <c r="M27" i="31"/>
  <c r="K27" i="31"/>
  <c r="X26" i="31"/>
  <c r="W26" i="31"/>
  <c r="V26" i="31"/>
  <c r="U26" i="31"/>
  <c r="T26" i="31"/>
  <c r="S26" i="31"/>
  <c r="Q26" i="31"/>
  <c r="O26" i="31"/>
  <c r="M26" i="31"/>
  <c r="K26" i="31"/>
  <c r="X25" i="31"/>
  <c r="W25" i="31"/>
  <c r="V25" i="31"/>
  <c r="U25" i="31"/>
  <c r="T25" i="31"/>
  <c r="S25" i="31"/>
  <c r="Q25" i="31"/>
  <c r="O25" i="31"/>
  <c r="M25" i="31"/>
  <c r="K25" i="31"/>
  <c r="X24" i="31"/>
  <c r="W24" i="31"/>
  <c r="V24" i="31"/>
  <c r="U24" i="31"/>
  <c r="T24" i="31"/>
  <c r="S24" i="31"/>
  <c r="Q24" i="31"/>
  <c r="O24" i="31"/>
  <c r="M24" i="31"/>
  <c r="K24" i="31"/>
  <c r="X23" i="31"/>
  <c r="W23" i="31"/>
  <c r="V23" i="31"/>
  <c r="U23" i="31"/>
  <c r="T23" i="31"/>
  <c r="S23" i="31"/>
  <c r="Q23" i="31"/>
  <c r="O23" i="31"/>
  <c r="M23" i="31"/>
  <c r="K23" i="31"/>
  <c r="X22" i="31"/>
  <c r="W22" i="31"/>
  <c r="V22" i="31"/>
  <c r="U22" i="31"/>
  <c r="T22" i="31"/>
  <c r="S22" i="31"/>
  <c r="Q22" i="31"/>
  <c r="O22" i="31"/>
  <c r="M22" i="31"/>
  <c r="K22" i="31"/>
  <c r="X21" i="31"/>
  <c r="W21" i="31"/>
  <c r="V21" i="31"/>
  <c r="U21" i="31"/>
  <c r="T21" i="31"/>
  <c r="S21" i="31"/>
  <c r="Q21" i="31"/>
  <c r="O21" i="31"/>
  <c r="M21" i="31"/>
  <c r="K21" i="31"/>
  <c r="X20" i="31"/>
  <c r="W20" i="31"/>
  <c r="V20" i="31"/>
  <c r="U20" i="31"/>
  <c r="T20" i="31"/>
  <c r="S20" i="31"/>
  <c r="Q20" i="31"/>
  <c r="O20" i="31"/>
  <c r="M20" i="31"/>
  <c r="K20" i="31"/>
  <c r="X19" i="31"/>
  <c r="W19" i="31"/>
  <c r="V19" i="31"/>
  <c r="U19" i="31"/>
  <c r="T19" i="31"/>
  <c r="S19" i="31"/>
  <c r="Q19" i="31"/>
  <c r="O19" i="31"/>
  <c r="M19" i="31"/>
  <c r="K19" i="31"/>
  <c r="X18" i="31"/>
  <c r="W18" i="31"/>
  <c r="V18" i="31"/>
  <c r="U18" i="31"/>
  <c r="T18" i="31"/>
  <c r="S18" i="31"/>
  <c r="Q18" i="31"/>
  <c r="O18" i="31"/>
  <c r="M18" i="31"/>
  <c r="K18" i="31"/>
  <c r="X17" i="31"/>
  <c r="W17" i="31"/>
  <c r="V17" i="31"/>
  <c r="U17" i="31"/>
  <c r="T17" i="31"/>
  <c r="S17" i="31"/>
  <c r="Q17" i="31"/>
  <c r="O17" i="31"/>
  <c r="M17" i="31"/>
  <c r="K17" i="31"/>
  <c r="X16" i="31"/>
  <c r="W16" i="31"/>
  <c r="V16" i="31"/>
  <c r="U16" i="31"/>
  <c r="T16" i="31"/>
  <c r="S16" i="31"/>
  <c r="Q16" i="31"/>
  <c r="O16" i="31"/>
  <c r="M16" i="31"/>
  <c r="K16" i="31"/>
  <c r="X15" i="31"/>
  <c r="W15" i="31"/>
  <c r="V15" i="31"/>
  <c r="U15" i="31"/>
  <c r="T15" i="31"/>
  <c r="S15" i="31"/>
  <c r="Q15" i="31"/>
  <c r="O15" i="31"/>
  <c r="M15" i="31"/>
  <c r="K15" i="31"/>
  <c r="X14" i="31"/>
  <c r="W14" i="31"/>
  <c r="V14" i="31"/>
  <c r="U14" i="31"/>
  <c r="T14" i="31"/>
  <c r="S14" i="31"/>
  <c r="Q14" i="31"/>
  <c r="O14" i="31"/>
  <c r="M14" i="31"/>
  <c r="K14" i="31"/>
  <c r="X13" i="31"/>
  <c r="W13" i="31"/>
  <c r="V13" i="31"/>
  <c r="U13" i="31"/>
  <c r="T13" i="31"/>
  <c r="S13" i="31"/>
  <c r="Q13" i="31"/>
  <c r="O13" i="31"/>
  <c r="M13" i="31"/>
  <c r="K13" i="31"/>
  <c r="X12" i="31"/>
  <c r="W12" i="31"/>
  <c r="V12" i="31"/>
  <c r="U12" i="31"/>
  <c r="T12" i="31"/>
  <c r="S12" i="31"/>
  <c r="Q12" i="31"/>
  <c r="O12" i="31"/>
  <c r="M12" i="31"/>
  <c r="K12" i="31"/>
  <c r="X11" i="31"/>
  <c r="W11" i="31"/>
  <c r="V11" i="31"/>
  <c r="U11" i="31"/>
  <c r="T11" i="31"/>
  <c r="S11" i="31"/>
  <c r="Q11" i="31"/>
  <c r="O11" i="31"/>
  <c r="M11" i="31"/>
  <c r="K11" i="31"/>
  <c r="X10" i="31"/>
  <c r="W10" i="31"/>
  <c r="V10" i="31"/>
  <c r="U10" i="31"/>
  <c r="T10" i="31"/>
  <c r="S10" i="31"/>
  <c r="Q10" i="31"/>
  <c r="O10" i="31"/>
  <c r="M10" i="31"/>
  <c r="K10" i="31"/>
  <c r="X9" i="31"/>
  <c r="W9" i="31"/>
  <c r="V9" i="31"/>
  <c r="U9" i="31"/>
  <c r="T9" i="31"/>
  <c r="S9" i="31"/>
  <c r="Q9" i="31"/>
  <c r="O9" i="31"/>
  <c r="M9" i="31"/>
  <c r="K9" i="31"/>
  <c r="X8" i="31"/>
  <c r="W8" i="31"/>
  <c r="V8" i="31"/>
  <c r="U8" i="31"/>
  <c r="T8" i="31"/>
  <c r="S8" i="31"/>
  <c r="Q8" i="31"/>
  <c r="O8" i="31"/>
  <c r="M8" i="31"/>
  <c r="K8" i="31"/>
  <c r="X7" i="31"/>
  <c r="W7" i="31"/>
  <c r="V7" i="31"/>
  <c r="U7" i="31"/>
  <c r="T7" i="31"/>
  <c r="S7" i="31"/>
  <c r="Q7" i="31"/>
  <c r="O7" i="31"/>
  <c r="M7" i="31"/>
  <c r="K7" i="31"/>
  <c r="X327" i="30"/>
  <c r="W327" i="30"/>
  <c r="V327" i="30"/>
  <c r="U327" i="30"/>
  <c r="T327" i="30"/>
  <c r="S327" i="30"/>
  <c r="Q327" i="30"/>
  <c r="O327" i="30"/>
  <c r="M327" i="30"/>
  <c r="K327" i="30"/>
  <c r="X326" i="30"/>
  <c r="W326" i="30"/>
  <c r="V326" i="30"/>
  <c r="U326" i="30"/>
  <c r="T326" i="30"/>
  <c r="S326" i="30"/>
  <c r="Q326" i="30"/>
  <c r="O326" i="30"/>
  <c r="M326" i="30"/>
  <c r="K326" i="30"/>
  <c r="X325" i="30"/>
  <c r="W325" i="30"/>
  <c r="V325" i="30"/>
  <c r="U325" i="30"/>
  <c r="T325" i="30"/>
  <c r="S325" i="30"/>
  <c r="Q325" i="30"/>
  <c r="O325" i="30"/>
  <c r="M325" i="30"/>
  <c r="K325" i="30"/>
  <c r="X324" i="30"/>
  <c r="W324" i="30"/>
  <c r="V324" i="30"/>
  <c r="U324" i="30"/>
  <c r="T324" i="30"/>
  <c r="S324" i="30"/>
  <c r="Q324" i="30"/>
  <c r="O324" i="30"/>
  <c r="M324" i="30"/>
  <c r="K324" i="30"/>
  <c r="X323" i="30"/>
  <c r="W323" i="30"/>
  <c r="V323" i="30"/>
  <c r="U323" i="30"/>
  <c r="T323" i="30"/>
  <c r="S323" i="30"/>
  <c r="Q323" i="30"/>
  <c r="O323" i="30"/>
  <c r="M323" i="30"/>
  <c r="K323" i="30"/>
  <c r="X322" i="30"/>
  <c r="W322" i="30"/>
  <c r="V322" i="30"/>
  <c r="U322" i="30"/>
  <c r="T322" i="30"/>
  <c r="S322" i="30"/>
  <c r="Q322" i="30"/>
  <c r="O322" i="30"/>
  <c r="M322" i="30"/>
  <c r="K322" i="30"/>
  <c r="X321" i="30"/>
  <c r="W321" i="30"/>
  <c r="V321" i="30"/>
  <c r="U321" i="30"/>
  <c r="T321" i="30"/>
  <c r="S321" i="30"/>
  <c r="Q321" i="30"/>
  <c r="O321" i="30"/>
  <c r="M321" i="30"/>
  <c r="K321" i="30"/>
  <c r="X320" i="30"/>
  <c r="W320" i="30"/>
  <c r="V320" i="30"/>
  <c r="U320" i="30"/>
  <c r="T320" i="30"/>
  <c r="S320" i="30"/>
  <c r="Q320" i="30"/>
  <c r="O320" i="30"/>
  <c r="M320" i="30"/>
  <c r="K320" i="30"/>
  <c r="X319" i="30"/>
  <c r="W319" i="30"/>
  <c r="V319" i="30"/>
  <c r="U319" i="30"/>
  <c r="T319" i="30"/>
  <c r="S319" i="30"/>
  <c r="Q319" i="30"/>
  <c r="O319" i="30"/>
  <c r="M319" i="30"/>
  <c r="K319" i="30"/>
  <c r="X318" i="30"/>
  <c r="W318" i="30"/>
  <c r="V318" i="30"/>
  <c r="U318" i="30"/>
  <c r="T318" i="30"/>
  <c r="S318" i="30"/>
  <c r="Q318" i="30"/>
  <c r="O318" i="30"/>
  <c r="M318" i="30"/>
  <c r="K318" i="30"/>
  <c r="X317" i="30"/>
  <c r="W317" i="30"/>
  <c r="V317" i="30"/>
  <c r="U317" i="30"/>
  <c r="T317" i="30"/>
  <c r="S317" i="30"/>
  <c r="Q317" i="30"/>
  <c r="O317" i="30"/>
  <c r="M317" i="30"/>
  <c r="K317" i="30"/>
  <c r="X316" i="30"/>
  <c r="W316" i="30"/>
  <c r="V316" i="30"/>
  <c r="U316" i="30"/>
  <c r="T316" i="30"/>
  <c r="S316" i="30"/>
  <c r="Q316" i="30"/>
  <c r="O316" i="30"/>
  <c r="M316" i="30"/>
  <c r="K316" i="30"/>
  <c r="X315" i="30"/>
  <c r="W315" i="30"/>
  <c r="V315" i="30"/>
  <c r="U315" i="30"/>
  <c r="T315" i="30"/>
  <c r="S315" i="30"/>
  <c r="Q315" i="30"/>
  <c r="O315" i="30"/>
  <c r="M315" i="30"/>
  <c r="K315" i="30"/>
  <c r="X314" i="30"/>
  <c r="W314" i="30"/>
  <c r="V314" i="30"/>
  <c r="U314" i="30"/>
  <c r="T314" i="30"/>
  <c r="S314" i="30"/>
  <c r="Q314" i="30"/>
  <c r="O314" i="30"/>
  <c r="M314" i="30"/>
  <c r="K314" i="30"/>
  <c r="X313" i="30"/>
  <c r="W313" i="30"/>
  <c r="V313" i="30"/>
  <c r="U313" i="30"/>
  <c r="T313" i="30"/>
  <c r="S313" i="30"/>
  <c r="Q313" i="30"/>
  <c r="O313" i="30"/>
  <c r="M313" i="30"/>
  <c r="K313" i="30"/>
  <c r="X312" i="30"/>
  <c r="W312" i="30"/>
  <c r="V312" i="30"/>
  <c r="U312" i="30"/>
  <c r="T312" i="30"/>
  <c r="S312" i="30"/>
  <c r="Q312" i="30"/>
  <c r="O312" i="30"/>
  <c r="M312" i="30"/>
  <c r="K312" i="30"/>
  <c r="X311" i="30"/>
  <c r="W311" i="30"/>
  <c r="V311" i="30"/>
  <c r="U311" i="30"/>
  <c r="T311" i="30"/>
  <c r="S311" i="30"/>
  <c r="Q311" i="30"/>
  <c r="O311" i="30"/>
  <c r="M311" i="30"/>
  <c r="K311" i="30"/>
  <c r="X310" i="30"/>
  <c r="W310" i="30"/>
  <c r="V310" i="30"/>
  <c r="U310" i="30"/>
  <c r="T310" i="30"/>
  <c r="S310" i="30"/>
  <c r="Q310" i="30"/>
  <c r="O310" i="30"/>
  <c r="M310" i="30"/>
  <c r="K310" i="30"/>
  <c r="X309" i="30"/>
  <c r="W309" i="30"/>
  <c r="V309" i="30"/>
  <c r="U309" i="30"/>
  <c r="T309" i="30"/>
  <c r="S309" i="30"/>
  <c r="Q309" i="30"/>
  <c r="O309" i="30"/>
  <c r="M309" i="30"/>
  <c r="K309" i="30"/>
  <c r="X308" i="30"/>
  <c r="W308" i="30"/>
  <c r="V308" i="30"/>
  <c r="U308" i="30"/>
  <c r="T308" i="30"/>
  <c r="S308" i="30"/>
  <c r="Q308" i="30"/>
  <c r="O308" i="30"/>
  <c r="M308" i="30"/>
  <c r="K308" i="30"/>
  <c r="X307" i="30"/>
  <c r="W307" i="30"/>
  <c r="V307" i="30"/>
  <c r="U307" i="30"/>
  <c r="T307" i="30"/>
  <c r="S307" i="30"/>
  <c r="Q307" i="30"/>
  <c r="O307" i="30"/>
  <c r="M307" i="30"/>
  <c r="K307" i="30"/>
  <c r="X306" i="30"/>
  <c r="W306" i="30"/>
  <c r="V306" i="30"/>
  <c r="U306" i="30"/>
  <c r="T306" i="30"/>
  <c r="S306" i="30"/>
  <c r="Q306" i="30"/>
  <c r="O306" i="30"/>
  <c r="M306" i="30"/>
  <c r="K306" i="30"/>
  <c r="X305" i="30"/>
  <c r="W305" i="30"/>
  <c r="V305" i="30"/>
  <c r="U305" i="30"/>
  <c r="T305" i="30"/>
  <c r="S305" i="30"/>
  <c r="Q305" i="30"/>
  <c r="O305" i="30"/>
  <c r="M305" i="30"/>
  <c r="K305" i="30"/>
  <c r="X304" i="30"/>
  <c r="W304" i="30"/>
  <c r="V304" i="30"/>
  <c r="U304" i="30"/>
  <c r="T304" i="30"/>
  <c r="S304" i="30"/>
  <c r="Q304" i="30"/>
  <c r="O304" i="30"/>
  <c r="M304" i="30"/>
  <c r="K304" i="30"/>
  <c r="X303" i="30"/>
  <c r="W303" i="30"/>
  <c r="V303" i="30"/>
  <c r="U303" i="30"/>
  <c r="T303" i="30"/>
  <c r="S303" i="30"/>
  <c r="Q303" i="30"/>
  <c r="O303" i="30"/>
  <c r="M303" i="30"/>
  <c r="K303" i="30"/>
  <c r="X302" i="30"/>
  <c r="W302" i="30"/>
  <c r="V302" i="30"/>
  <c r="U302" i="30"/>
  <c r="T302" i="30"/>
  <c r="S302" i="30"/>
  <c r="Q302" i="30"/>
  <c r="O302" i="30"/>
  <c r="M302" i="30"/>
  <c r="K302" i="30"/>
  <c r="X301" i="30"/>
  <c r="W301" i="30"/>
  <c r="V301" i="30"/>
  <c r="U301" i="30"/>
  <c r="T301" i="30"/>
  <c r="S301" i="30"/>
  <c r="Q301" i="30"/>
  <c r="O301" i="30"/>
  <c r="M301" i="30"/>
  <c r="K301" i="30"/>
  <c r="X300" i="30"/>
  <c r="W300" i="30"/>
  <c r="V300" i="30"/>
  <c r="U300" i="30"/>
  <c r="T300" i="30"/>
  <c r="S300" i="30"/>
  <c r="Q300" i="30"/>
  <c r="O300" i="30"/>
  <c r="M300" i="30"/>
  <c r="K300" i="30"/>
  <c r="X299" i="30"/>
  <c r="W299" i="30"/>
  <c r="V299" i="30"/>
  <c r="U299" i="30"/>
  <c r="T299" i="30"/>
  <c r="S299" i="30"/>
  <c r="Q299" i="30"/>
  <c r="O299" i="30"/>
  <c r="M299" i="30"/>
  <c r="K299" i="30"/>
  <c r="X298" i="30"/>
  <c r="W298" i="30"/>
  <c r="V298" i="30"/>
  <c r="U298" i="30"/>
  <c r="T298" i="30"/>
  <c r="S298" i="30"/>
  <c r="Q298" i="30"/>
  <c r="O298" i="30"/>
  <c r="M298" i="30"/>
  <c r="K298" i="30"/>
  <c r="X297" i="30"/>
  <c r="W297" i="30"/>
  <c r="V297" i="30"/>
  <c r="U297" i="30"/>
  <c r="T297" i="30"/>
  <c r="S297" i="30"/>
  <c r="Q297" i="30"/>
  <c r="O297" i="30"/>
  <c r="M297" i="30"/>
  <c r="K297" i="30"/>
  <c r="X296" i="30"/>
  <c r="W296" i="30"/>
  <c r="V296" i="30"/>
  <c r="U296" i="30"/>
  <c r="T296" i="30"/>
  <c r="S296" i="30"/>
  <c r="Q296" i="30"/>
  <c r="O296" i="30"/>
  <c r="M296" i="30"/>
  <c r="K296" i="30"/>
  <c r="X295" i="30"/>
  <c r="W295" i="30"/>
  <c r="V295" i="30"/>
  <c r="U295" i="30"/>
  <c r="T295" i="30"/>
  <c r="S295" i="30"/>
  <c r="Q295" i="30"/>
  <c r="O295" i="30"/>
  <c r="M295" i="30"/>
  <c r="K295" i="30"/>
  <c r="X294" i="30"/>
  <c r="W294" i="30"/>
  <c r="V294" i="30"/>
  <c r="U294" i="30"/>
  <c r="T294" i="30"/>
  <c r="S294" i="30"/>
  <c r="Q294" i="30"/>
  <c r="O294" i="30"/>
  <c r="M294" i="30"/>
  <c r="K294" i="30"/>
  <c r="X293" i="30"/>
  <c r="W293" i="30"/>
  <c r="V293" i="30"/>
  <c r="U293" i="30"/>
  <c r="T293" i="30"/>
  <c r="S293" i="30"/>
  <c r="Q293" i="30"/>
  <c r="O293" i="30"/>
  <c r="M293" i="30"/>
  <c r="K293" i="30"/>
  <c r="X292" i="30"/>
  <c r="W292" i="30"/>
  <c r="V292" i="30"/>
  <c r="U292" i="30"/>
  <c r="T292" i="30"/>
  <c r="S292" i="30"/>
  <c r="Q292" i="30"/>
  <c r="O292" i="30"/>
  <c r="M292" i="30"/>
  <c r="K292" i="30"/>
  <c r="X291" i="30"/>
  <c r="W291" i="30"/>
  <c r="V291" i="30"/>
  <c r="U291" i="30"/>
  <c r="T291" i="30"/>
  <c r="S291" i="30"/>
  <c r="Q291" i="30"/>
  <c r="O291" i="30"/>
  <c r="M291" i="30"/>
  <c r="K291" i="30"/>
  <c r="X290" i="30"/>
  <c r="W290" i="30"/>
  <c r="V290" i="30"/>
  <c r="U290" i="30"/>
  <c r="T290" i="30"/>
  <c r="S290" i="30"/>
  <c r="Q290" i="30"/>
  <c r="O290" i="30"/>
  <c r="M290" i="30"/>
  <c r="K290" i="30"/>
  <c r="X289" i="30"/>
  <c r="W289" i="30"/>
  <c r="V289" i="30"/>
  <c r="U289" i="30"/>
  <c r="T289" i="30"/>
  <c r="S289" i="30"/>
  <c r="Q289" i="30"/>
  <c r="O289" i="30"/>
  <c r="M289" i="30"/>
  <c r="K289" i="30"/>
  <c r="X288" i="30"/>
  <c r="W288" i="30"/>
  <c r="V288" i="30"/>
  <c r="U288" i="30"/>
  <c r="T288" i="30"/>
  <c r="S288" i="30"/>
  <c r="Q288" i="30"/>
  <c r="O288" i="30"/>
  <c r="M288" i="30"/>
  <c r="K288" i="30"/>
  <c r="X287" i="30"/>
  <c r="W287" i="30"/>
  <c r="V287" i="30"/>
  <c r="U287" i="30"/>
  <c r="T287" i="30"/>
  <c r="S287" i="30"/>
  <c r="Q287" i="30"/>
  <c r="O287" i="30"/>
  <c r="M287" i="30"/>
  <c r="K287" i="30"/>
  <c r="X286" i="30"/>
  <c r="W286" i="30"/>
  <c r="V286" i="30"/>
  <c r="U286" i="30"/>
  <c r="T286" i="30"/>
  <c r="S286" i="30"/>
  <c r="Q286" i="30"/>
  <c r="O286" i="30"/>
  <c r="M286" i="30"/>
  <c r="K286" i="30"/>
  <c r="X285" i="30"/>
  <c r="W285" i="30"/>
  <c r="V285" i="30"/>
  <c r="U285" i="30"/>
  <c r="T285" i="30"/>
  <c r="S285" i="30"/>
  <c r="Q285" i="30"/>
  <c r="O285" i="30"/>
  <c r="M285" i="30"/>
  <c r="K285" i="30"/>
  <c r="X284" i="30"/>
  <c r="W284" i="30"/>
  <c r="V284" i="30"/>
  <c r="U284" i="30"/>
  <c r="T284" i="30"/>
  <c r="S284" i="30"/>
  <c r="Q284" i="30"/>
  <c r="O284" i="30"/>
  <c r="M284" i="30"/>
  <c r="K284" i="30"/>
  <c r="X283" i="30"/>
  <c r="W283" i="30"/>
  <c r="V283" i="30"/>
  <c r="U283" i="30"/>
  <c r="T283" i="30"/>
  <c r="S283" i="30"/>
  <c r="Q283" i="30"/>
  <c r="O283" i="30"/>
  <c r="M283" i="30"/>
  <c r="K283" i="30"/>
  <c r="X282" i="30"/>
  <c r="W282" i="30"/>
  <c r="V282" i="30"/>
  <c r="U282" i="30"/>
  <c r="T282" i="30"/>
  <c r="S282" i="30"/>
  <c r="Q282" i="30"/>
  <c r="O282" i="30"/>
  <c r="M282" i="30"/>
  <c r="K282" i="30"/>
  <c r="X281" i="30"/>
  <c r="W281" i="30"/>
  <c r="V281" i="30"/>
  <c r="U281" i="30"/>
  <c r="T281" i="30"/>
  <c r="S281" i="30"/>
  <c r="Q281" i="30"/>
  <c r="O281" i="30"/>
  <c r="M281" i="30"/>
  <c r="K281" i="30"/>
  <c r="X280" i="30"/>
  <c r="W280" i="30"/>
  <c r="V280" i="30"/>
  <c r="U280" i="30"/>
  <c r="T280" i="30"/>
  <c r="S280" i="30"/>
  <c r="Q280" i="30"/>
  <c r="O280" i="30"/>
  <c r="M280" i="30"/>
  <c r="K280" i="30"/>
  <c r="X279" i="30"/>
  <c r="W279" i="30"/>
  <c r="V279" i="30"/>
  <c r="U279" i="30"/>
  <c r="T279" i="30"/>
  <c r="S279" i="30"/>
  <c r="Q279" i="30"/>
  <c r="O279" i="30"/>
  <c r="M279" i="30"/>
  <c r="K279" i="30"/>
  <c r="X278" i="30"/>
  <c r="W278" i="30"/>
  <c r="V278" i="30"/>
  <c r="U278" i="30"/>
  <c r="T278" i="30"/>
  <c r="S278" i="30"/>
  <c r="Q278" i="30"/>
  <c r="O278" i="30"/>
  <c r="M278" i="30"/>
  <c r="K278" i="30"/>
  <c r="X277" i="30"/>
  <c r="W277" i="30"/>
  <c r="V277" i="30"/>
  <c r="U277" i="30"/>
  <c r="T277" i="30"/>
  <c r="S277" i="30"/>
  <c r="Q277" i="30"/>
  <c r="O277" i="30"/>
  <c r="M277" i="30"/>
  <c r="K277" i="30"/>
  <c r="X276" i="30"/>
  <c r="W276" i="30"/>
  <c r="V276" i="30"/>
  <c r="U276" i="30"/>
  <c r="T276" i="30"/>
  <c r="S276" i="30"/>
  <c r="Q276" i="30"/>
  <c r="O276" i="30"/>
  <c r="M276" i="30"/>
  <c r="K276" i="30"/>
  <c r="X275" i="30"/>
  <c r="W275" i="30"/>
  <c r="V275" i="30"/>
  <c r="U275" i="30"/>
  <c r="T275" i="30"/>
  <c r="S275" i="30"/>
  <c r="Q275" i="30"/>
  <c r="O275" i="30"/>
  <c r="M275" i="30"/>
  <c r="K275" i="30"/>
  <c r="X274" i="30"/>
  <c r="W274" i="30"/>
  <c r="V274" i="30"/>
  <c r="U274" i="30"/>
  <c r="T274" i="30"/>
  <c r="S274" i="30"/>
  <c r="Q274" i="30"/>
  <c r="O274" i="30"/>
  <c r="M274" i="30"/>
  <c r="K274" i="30"/>
  <c r="X273" i="30"/>
  <c r="W273" i="30"/>
  <c r="V273" i="30"/>
  <c r="U273" i="30"/>
  <c r="T273" i="30"/>
  <c r="S273" i="30"/>
  <c r="Q273" i="30"/>
  <c r="O273" i="30"/>
  <c r="M273" i="30"/>
  <c r="K273" i="30"/>
  <c r="X272" i="30"/>
  <c r="W272" i="30"/>
  <c r="V272" i="30"/>
  <c r="U272" i="30"/>
  <c r="T272" i="30"/>
  <c r="S272" i="30"/>
  <c r="Q272" i="30"/>
  <c r="O272" i="30"/>
  <c r="M272" i="30"/>
  <c r="K272" i="30"/>
  <c r="X271" i="30"/>
  <c r="W271" i="30"/>
  <c r="V271" i="30"/>
  <c r="U271" i="30"/>
  <c r="T271" i="30"/>
  <c r="S271" i="30"/>
  <c r="Q271" i="30"/>
  <c r="O271" i="30"/>
  <c r="M271" i="30"/>
  <c r="K271" i="30"/>
  <c r="X270" i="30"/>
  <c r="W270" i="30"/>
  <c r="V270" i="30"/>
  <c r="U270" i="30"/>
  <c r="T270" i="30"/>
  <c r="S270" i="30"/>
  <c r="Q270" i="30"/>
  <c r="O270" i="30"/>
  <c r="M270" i="30"/>
  <c r="K270" i="30"/>
  <c r="X269" i="30"/>
  <c r="W269" i="30"/>
  <c r="V269" i="30"/>
  <c r="U269" i="30"/>
  <c r="T269" i="30"/>
  <c r="S269" i="30"/>
  <c r="Q269" i="30"/>
  <c r="O269" i="30"/>
  <c r="M269" i="30"/>
  <c r="K269" i="30"/>
  <c r="X268" i="30"/>
  <c r="W268" i="30"/>
  <c r="V268" i="30"/>
  <c r="U268" i="30"/>
  <c r="T268" i="30"/>
  <c r="S268" i="30"/>
  <c r="Q268" i="30"/>
  <c r="O268" i="30"/>
  <c r="M268" i="30"/>
  <c r="K268" i="30"/>
  <c r="X267" i="30"/>
  <c r="W267" i="30"/>
  <c r="V267" i="30"/>
  <c r="U267" i="30"/>
  <c r="T267" i="30"/>
  <c r="S267" i="30"/>
  <c r="Q267" i="30"/>
  <c r="O267" i="30"/>
  <c r="M267" i="30"/>
  <c r="K267" i="30"/>
  <c r="X266" i="30"/>
  <c r="W266" i="30"/>
  <c r="V266" i="30"/>
  <c r="U266" i="30"/>
  <c r="T266" i="30"/>
  <c r="S266" i="30"/>
  <c r="Q266" i="30"/>
  <c r="O266" i="30"/>
  <c r="M266" i="30"/>
  <c r="K266" i="30"/>
  <c r="X265" i="30"/>
  <c r="W265" i="30"/>
  <c r="V265" i="30"/>
  <c r="U265" i="30"/>
  <c r="T265" i="30"/>
  <c r="S265" i="30"/>
  <c r="Q265" i="30"/>
  <c r="O265" i="30"/>
  <c r="M265" i="30"/>
  <c r="K265" i="30"/>
  <c r="X264" i="30"/>
  <c r="W264" i="30"/>
  <c r="V264" i="30"/>
  <c r="U264" i="30"/>
  <c r="T264" i="30"/>
  <c r="S264" i="30"/>
  <c r="Q264" i="30"/>
  <c r="O264" i="30"/>
  <c r="M264" i="30"/>
  <c r="K264" i="30"/>
  <c r="X263" i="30"/>
  <c r="W263" i="30"/>
  <c r="V263" i="30"/>
  <c r="U263" i="30"/>
  <c r="T263" i="30"/>
  <c r="S263" i="30"/>
  <c r="Q263" i="30"/>
  <c r="O263" i="30"/>
  <c r="M263" i="30"/>
  <c r="K263" i="30"/>
  <c r="X262" i="30"/>
  <c r="W262" i="30"/>
  <c r="V262" i="30"/>
  <c r="U262" i="30"/>
  <c r="T262" i="30"/>
  <c r="S262" i="30"/>
  <c r="Q262" i="30"/>
  <c r="O262" i="30"/>
  <c r="M262" i="30"/>
  <c r="K262" i="30"/>
  <c r="X261" i="30"/>
  <c r="W261" i="30"/>
  <c r="V261" i="30"/>
  <c r="U261" i="30"/>
  <c r="T261" i="30"/>
  <c r="S261" i="30"/>
  <c r="Q261" i="30"/>
  <c r="O261" i="30"/>
  <c r="M261" i="30"/>
  <c r="K261" i="30"/>
  <c r="X260" i="30"/>
  <c r="W260" i="30"/>
  <c r="V260" i="30"/>
  <c r="U260" i="30"/>
  <c r="T260" i="30"/>
  <c r="S260" i="30"/>
  <c r="Q260" i="30"/>
  <c r="O260" i="30"/>
  <c r="M260" i="30"/>
  <c r="K260" i="30"/>
  <c r="X259" i="30"/>
  <c r="W259" i="30"/>
  <c r="V259" i="30"/>
  <c r="U259" i="30"/>
  <c r="T259" i="30"/>
  <c r="S259" i="30"/>
  <c r="Q259" i="30"/>
  <c r="O259" i="30"/>
  <c r="M259" i="30"/>
  <c r="K259" i="30"/>
  <c r="X258" i="30"/>
  <c r="W258" i="30"/>
  <c r="V258" i="30"/>
  <c r="U258" i="30"/>
  <c r="T258" i="30"/>
  <c r="S258" i="30"/>
  <c r="Q258" i="30"/>
  <c r="O258" i="30"/>
  <c r="M258" i="30"/>
  <c r="K258" i="30"/>
  <c r="X257" i="30"/>
  <c r="W257" i="30"/>
  <c r="V257" i="30"/>
  <c r="U257" i="30"/>
  <c r="T257" i="30"/>
  <c r="S257" i="30"/>
  <c r="Q257" i="30"/>
  <c r="O257" i="30"/>
  <c r="M257" i="30"/>
  <c r="K257" i="30"/>
  <c r="X256" i="30"/>
  <c r="W256" i="30"/>
  <c r="V256" i="30"/>
  <c r="U256" i="30"/>
  <c r="T256" i="30"/>
  <c r="S256" i="30"/>
  <c r="Q256" i="30"/>
  <c r="O256" i="30"/>
  <c r="M256" i="30"/>
  <c r="K256" i="30"/>
  <c r="X255" i="30"/>
  <c r="W255" i="30"/>
  <c r="V255" i="30"/>
  <c r="U255" i="30"/>
  <c r="T255" i="30"/>
  <c r="S255" i="30"/>
  <c r="Q255" i="30"/>
  <c r="O255" i="30"/>
  <c r="M255" i="30"/>
  <c r="K255" i="30"/>
  <c r="X254" i="30"/>
  <c r="W254" i="30"/>
  <c r="V254" i="30"/>
  <c r="U254" i="30"/>
  <c r="T254" i="30"/>
  <c r="S254" i="30"/>
  <c r="Q254" i="30"/>
  <c r="O254" i="30"/>
  <c r="M254" i="30"/>
  <c r="K254" i="30"/>
  <c r="X253" i="30"/>
  <c r="W253" i="30"/>
  <c r="V253" i="30"/>
  <c r="U253" i="30"/>
  <c r="T253" i="30"/>
  <c r="S253" i="30"/>
  <c r="Q253" i="30"/>
  <c r="O253" i="30"/>
  <c r="M253" i="30"/>
  <c r="K253" i="30"/>
  <c r="X252" i="30"/>
  <c r="W252" i="30"/>
  <c r="V252" i="30"/>
  <c r="U252" i="30"/>
  <c r="T252" i="30"/>
  <c r="S252" i="30"/>
  <c r="Q252" i="30"/>
  <c r="O252" i="30"/>
  <c r="M252" i="30"/>
  <c r="K252" i="30"/>
  <c r="X251" i="30"/>
  <c r="W251" i="30"/>
  <c r="V251" i="30"/>
  <c r="U251" i="30"/>
  <c r="T251" i="30"/>
  <c r="S251" i="30"/>
  <c r="Q251" i="30"/>
  <c r="O251" i="30"/>
  <c r="M251" i="30"/>
  <c r="K251" i="30"/>
  <c r="X250" i="30"/>
  <c r="W250" i="30"/>
  <c r="V250" i="30"/>
  <c r="U250" i="30"/>
  <c r="T250" i="30"/>
  <c r="S250" i="30"/>
  <c r="Q250" i="30"/>
  <c r="O250" i="30"/>
  <c r="M250" i="30"/>
  <c r="K250" i="30"/>
  <c r="X249" i="30"/>
  <c r="W249" i="30"/>
  <c r="V249" i="30"/>
  <c r="U249" i="30"/>
  <c r="T249" i="30"/>
  <c r="S249" i="30"/>
  <c r="Q249" i="30"/>
  <c r="O249" i="30"/>
  <c r="M249" i="30"/>
  <c r="K249" i="30"/>
  <c r="X248" i="30"/>
  <c r="W248" i="30"/>
  <c r="V248" i="30"/>
  <c r="U248" i="30"/>
  <c r="T248" i="30"/>
  <c r="S248" i="30"/>
  <c r="Q248" i="30"/>
  <c r="O248" i="30"/>
  <c r="M248" i="30"/>
  <c r="K248" i="30"/>
  <c r="X247" i="30"/>
  <c r="W247" i="30"/>
  <c r="V247" i="30"/>
  <c r="U247" i="30"/>
  <c r="T247" i="30"/>
  <c r="S247" i="30"/>
  <c r="Q247" i="30"/>
  <c r="O247" i="30"/>
  <c r="M247" i="30"/>
  <c r="K247" i="30"/>
  <c r="X246" i="30"/>
  <c r="W246" i="30"/>
  <c r="V246" i="30"/>
  <c r="U246" i="30"/>
  <c r="T246" i="30"/>
  <c r="S246" i="30"/>
  <c r="Q246" i="30"/>
  <c r="O246" i="30"/>
  <c r="M246" i="30"/>
  <c r="K246" i="30"/>
  <c r="X245" i="30"/>
  <c r="W245" i="30"/>
  <c r="V245" i="30"/>
  <c r="U245" i="30"/>
  <c r="T245" i="30"/>
  <c r="S245" i="30"/>
  <c r="Q245" i="30"/>
  <c r="O245" i="30"/>
  <c r="M245" i="30"/>
  <c r="K245" i="30"/>
  <c r="X244" i="30"/>
  <c r="W244" i="30"/>
  <c r="V244" i="30"/>
  <c r="U244" i="30"/>
  <c r="T244" i="30"/>
  <c r="S244" i="30"/>
  <c r="Q244" i="30"/>
  <c r="O244" i="30"/>
  <c r="M244" i="30"/>
  <c r="K244" i="30"/>
  <c r="X243" i="30"/>
  <c r="W243" i="30"/>
  <c r="V243" i="30"/>
  <c r="U243" i="30"/>
  <c r="T243" i="30"/>
  <c r="S243" i="30"/>
  <c r="Q243" i="30"/>
  <c r="O243" i="30"/>
  <c r="M243" i="30"/>
  <c r="K243" i="30"/>
  <c r="X242" i="30"/>
  <c r="W242" i="30"/>
  <c r="V242" i="30"/>
  <c r="U242" i="30"/>
  <c r="T242" i="30"/>
  <c r="S242" i="30"/>
  <c r="Q242" i="30"/>
  <c r="O242" i="30"/>
  <c r="M242" i="30"/>
  <c r="K242" i="30"/>
  <c r="X241" i="30"/>
  <c r="W241" i="30"/>
  <c r="V241" i="30"/>
  <c r="U241" i="30"/>
  <c r="T241" i="30"/>
  <c r="S241" i="30"/>
  <c r="Q241" i="30"/>
  <c r="O241" i="30"/>
  <c r="M241" i="30"/>
  <c r="K241" i="30"/>
  <c r="X240" i="30"/>
  <c r="W240" i="30"/>
  <c r="V240" i="30"/>
  <c r="U240" i="30"/>
  <c r="T240" i="30"/>
  <c r="S240" i="30"/>
  <c r="Q240" i="30"/>
  <c r="O240" i="30"/>
  <c r="M240" i="30"/>
  <c r="K240" i="30"/>
  <c r="X239" i="30"/>
  <c r="W239" i="30"/>
  <c r="V239" i="30"/>
  <c r="U239" i="30"/>
  <c r="T239" i="30"/>
  <c r="S239" i="30"/>
  <c r="Q239" i="30"/>
  <c r="O239" i="30"/>
  <c r="M239" i="30"/>
  <c r="K239" i="30"/>
  <c r="X238" i="30"/>
  <c r="W238" i="30"/>
  <c r="V238" i="30"/>
  <c r="U238" i="30"/>
  <c r="T238" i="30"/>
  <c r="S238" i="30"/>
  <c r="Q238" i="30"/>
  <c r="O238" i="30"/>
  <c r="M238" i="30"/>
  <c r="K238" i="30"/>
  <c r="X237" i="30"/>
  <c r="W237" i="30"/>
  <c r="V237" i="30"/>
  <c r="U237" i="30"/>
  <c r="T237" i="30"/>
  <c r="S237" i="30"/>
  <c r="Q237" i="30"/>
  <c r="O237" i="30"/>
  <c r="M237" i="30"/>
  <c r="K237" i="30"/>
  <c r="X236" i="30"/>
  <c r="W236" i="30"/>
  <c r="V236" i="30"/>
  <c r="U236" i="30"/>
  <c r="T236" i="30"/>
  <c r="S236" i="30"/>
  <c r="Q236" i="30"/>
  <c r="O236" i="30"/>
  <c r="M236" i="30"/>
  <c r="K236" i="30"/>
  <c r="X235" i="30"/>
  <c r="W235" i="30"/>
  <c r="V235" i="30"/>
  <c r="U235" i="30"/>
  <c r="T235" i="30"/>
  <c r="S235" i="30"/>
  <c r="Q235" i="30"/>
  <c r="O235" i="30"/>
  <c r="M235" i="30"/>
  <c r="K235" i="30"/>
  <c r="X234" i="30"/>
  <c r="W234" i="30"/>
  <c r="V234" i="30"/>
  <c r="U234" i="30"/>
  <c r="T234" i="30"/>
  <c r="S234" i="30"/>
  <c r="Q234" i="30"/>
  <c r="O234" i="30"/>
  <c r="M234" i="30"/>
  <c r="K234" i="30"/>
  <c r="X233" i="30"/>
  <c r="W233" i="30"/>
  <c r="V233" i="30"/>
  <c r="U233" i="30"/>
  <c r="T233" i="30"/>
  <c r="S233" i="30"/>
  <c r="Q233" i="30"/>
  <c r="O233" i="30"/>
  <c r="M233" i="30"/>
  <c r="K233" i="30"/>
  <c r="X232" i="30"/>
  <c r="W232" i="30"/>
  <c r="V232" i="30"/>
  <c r="U232" i="30"/>
  <c r="T232" i="30"/>
  <c r="S232" i="30"/>
  <c r="Q232" i="30"/>
  <c r="O232" i="30"/>
  <c r="M232" i="30"/>
  <c r="K232" i="30"/>
  <c r="X231" i="30"/>
  <c r="W231" i="30"/>
  <c r="V231" i="30"/>
  <c r="U231" i="30"/>
  <c r="T231" i="30"/>
  <c r="S231" i="30"/>
  <c r="Q231" i="30"/>
  <c r="O231" i="30"/>
  <c r="M231" i="30"/>
  <c r="K231" i="30"/>
  <c r="X230" i="30"/>
  <c r="W230" i="30"/>
  <c r="V230" i="30"/>
  <c r="U230" i="30"/>
  <c r="T230" i="30"/>
  <c r="S230" i="30"/>
  <c r="Q230" i="30"/>
  <c r="O230" i="30"/>
  <c r="M230" i="30"/>
  <c r="K230" i="30"/>
  <c r="X229" i="30"/>
  <c r="W229" i="30"/>
  <c r="V229" i="30"/>
  <c r="U229" i="30"/>
  <c r="T229" i="30"/>
  <c r="S229" i="30"/>
  <c r="Q229" i="30"/>
  <c r="O229" i="30"/>
  <c r="M229" i="30"/>
  <c r="K229" i="30"/>
  <c r="X228" i="30"/>
  <c r="W228" i="30"/>
  <c r="V228" i="30"/>
  <c r="U228" i="30"/>
  <c r="T228" i="30"/>
  <c r="S228" i="30"/>
  <c r="Q228" i="30"/>
  <c r="O228" i="30"/>
  <c r="M228" i="30"/>
  <c r="K228" i="30"/>
  <c r="X227" i="30"/>
  <c r="W227" i="30"/>
  <c r="V227" i="30"/>
  <c r="U227" i="30"/>
  <c r="T227" i="30"/>
  <c r="S227" i="30"/>
  <c r="Q227" i="30"/>
  <c r="O227" i="30"/>
  <c r="M227" i="30"/>
  <c r="K227" i="30"/>
  <c r="X226" i="30"/>
  <c r="W226" i="30"/>
  <c r="V226" i="30"/>
  <c r="U226" i="30"/>
  <c r="T226" i="30"/>
  <c r="S226" i="30"/>
  <c r="Q226" i="30"/>
  <c r="O226" i="30"/>
  <c r="M226" i="30"/>
  <c r="K226" i="30"/>
  <c r="X225" i="30"/>
  <c r="W225" i="30"/>
  <c r="V225" i="30"/>
  <c r="U225" i="30"/>
  <c r="T225" i="30"/>
  <c r="S225" i="30"/>
  <c r="Q225" i="30"/>
  <c r="O225" i="30"/>
  <c r="M225" i="30"/>
  <c r="K225" i="30"/>
  <c r="X224" i="30"/>
  <c r="W224" i="30"/>
  <c r="V224" i="30"/>
  <c r="U224" i="30"/>
  <c r="T224" i="30"/>
  <c r="S224" i="30"/>
  <c r="Q224" i="30"/>
  <c r="O224" i="30"/>
  <c r="M224" i="30"/>
  <c r="K224" i="30"/>
  <c r="X223" i="30"/>
  <c r="W223" i="30"/>
  <c r="V223" i="30"/>
  <c r="U223" i="30"/>
  <c r="T223" i="30"/>
  <c r="S223" i="30"/>
  <c r="Q223" i="30"/>
  <c r="O223" i="30"/>
  <c r="M223" i="30"/>
  <c r="K223" i="30"/>
  <c r="X222" i="30"/>
  <c r="W222" i="30"/>
  <c r="V222" i="30"/>
  <c r="U222" i="30"/>
  <c r="T222" i="30"/>
  <c r="S222" i="30"/>
  <c r="Q222" i="30"/>
  <c r="O222" i="30"/>
  <c r="M222" i="30"/>
  <c r="K222" i="30"/>
  <c r="X221" i="30"/>
  <c r="W221" i="30"/>
  <c r="V221" i="30"/>
  <c r="U221" i="30"/>
  <c r="T221" i="30"/>
  <c r="S221" i="30"/>
  <c r="Q221" i="30"/>
  <c r="O221" i="30"/>
  <c r="M221" i="30"/>
  <c r="K221" i="30"/>
  <c r="X220" i="30"/>
  <c r="W220" i="30"/>
  <c r="V220" i="30"/>
  <c r="U220" i="30"/>
  <c r="T220" i="30"/>
  <c r="S220" i="30"/>
  <c r="Q220" i="30"/>
  <c r="O220" i="30"/>
  <c r="M220" i="30"/>
  <c r="K220" i="30"/>
  <c r="X219" i="30"/>
  <c r="W219" i="30"/>
  <c r="V219" i="30"/>
  <c r="U219" i="30"/>
  <c r="T219" i="30"/>
  <c r="S219" i="30"/>
  <c r="Q219" i="30"/>
  <c r="O219" i="30"/>
  <c r="M219" i="30"/>
  <c r="K219" i="30"/>
  <c r="X218" i="30"/>
  <c r="W218" i="30"/>
  <c r="V218" i="30"/>
  <c r="U218" i="30"/>
  <c r="T218" i="30"/>
  <c r="S218" i="30"/>
  <c r="Q218" i="30"/>
  <c r="O218" i="30"/>
  <c r="M218" i="30"/>
  <c r="K218" i="30"/>
  <c r="X217" i="30"/>
  <c r="W217" i="30"/>
  <c r="V217" i="30"/>
  <c r="U217" i="30"/>
  <c r="T217" i="30"/>
  <c r="S217" i="30"/>
  <c r="Q217" i="30"/>
  <c r="O217" i="30"/>
  <c r="M217" i="30"/>
  <c r="K217" i="30"/>
  <c r="X216" i="30"/>
  <c r="W216" i="30"/>
  <c r="V216" i="30"/>
  <c r="U216" i="30"/>
  <c r="T216" i="30"/>
  <c r="S216" i="30"/>
  <c r="Q216" i="30"/>
  <c r="O216" i="30"/>
  <c r="M216" i="30"/>
  <c r="K216" i="30"/>
  <c r="X215" i="30"/>
  <c r="W215" i="30"/>
  <c r="V215" i="30"/>
  <c r="U215" i="30"/>
  <c r="T215" i="30"/>
  <c r="S215" i="30"/>
  <c r="Q215" i="30"/>
  <c r="O215" i="30"/>
  <c r="M215" i="30"/>
  <c r="K215" i="30"/>
  <c r="X214" i="30"/>
  <c r="W214" i="30"/>
  <c r="V214" i="30"/>
  <c r="U214" i="30"/>
  <c r="T214" i="30"/>
  <c r="S214" i="30"/>
  <c r="Q214" i="30"/>
  <c r="O214" i="30"/>
  <c r="M214" i="30"/>
  <c r="K214" i="30"/>
  <c r="X213" i="30"/>
  <c r="W213" i="30"/>
  <c r="V213" i="30"/>
  <c r="U213" i="30"/>
  <c r="T213" i="30"/>
  <c r="S213" i="30"/>
  <c r="Q213" i="30"/>
  <c r="O213" i="30"/>
  <c r="M213" i="30"/>
  <c r="K213" i="30"/>
  <c r="X212" i="30"/>
  <c r="W212" i="30"/>
  <c r="V212" i="30"/>
  <c r="U212" i="30"/>
  <c r="T212" i="30"/>
  <c r="S212" i="30"/>
  <c r="Q212" i="30"/>
  <c r="O212" i="30"/>
  <c r="M212" i="30"/>
  <c r="K212" i="30"/>
  <c r="X211" i="30"/>
  <c r="W211" i="30"/>
  <c r="V211" i="30"/>
  <c r="U211" i="30"/>
  <c r="T211" i="30"/>
  <c r="S211" i="30"/>
  <c r="Q211" i="30"/>
  <c r="O211" i="30"/>
  <c r="M211" i="30"/>
  <c r="K211" i="30"/>
  <c r="X210" i="30"/>
  <c r="W210" i="30"/>
  <c r="V210" i="30"/>
  <c r="U210" i="30"/>
  <c r="T210" i="30"/>
  <c r="S210" i="30"/>
  <c r="Q210" i="30"/>
  <c r="O210" i="30"/>
  <c r="M210" i="30"/>
  <c r="K210" i="30"/>
  <c r="X209" i="30"/>
  <c r="W209" i="30"/>
  <c r="V209" i="30"/>
  <c r="U209" i="30"/>
  <c r="T209" i="30"/>
  <c r="S209" i="30"/>
  <c r="Q209" i="30"/>
  <c r="O209" i="30"/>
  <c r="M209" i="30"/>
  <c r="K209" i="30"/>
  <c r="X208" i="30"/>
  <c r="W208" i="30"/>
  <c r="V208" i="30"/>
  <c r="U208" i="30"/>
  <c r="T208" i="30"/>
  <c r="S208" i="30"/>
  <c r="Q208" i="30"/>
  <c r="O208" i="30"/>
  <c r="M208" i="30"/>
  <c r="K208" i="30"/>
  <c r="X207" i="30"/>
  <c r="W207" i="30"/>
  <c r="V207" i="30"/>
  <c r="U207" i="30"/>
  <c r="T207" i="30"/>
  <c r="S207" i="30"/>
  <c r="Q207" i="30"/>
  <c r="O207" i="30"/>
  <c r="M207" i="30"/>
  <c r="K207" i="30"/>
  <c r="X206" i="30"/>
  <c r="W206" i="30"/>
  <c r="V206" i="30"/>
  <c r="U206" i="30"/>
  <c r="T206" i="30"/>
  <c r="S206" i="30"/>
  <c r="Q206" i="30"/>
  <c r="O206" i="30"/>
  <c r="M206" i="30"/>
  <c r="K206" i="30"/>
  <c r="X205" i="30"/>
  <c r="W205" i="30"/>
  <c r="V205" i="30"/>
  <c r="U205" i="30"/>
  <c r="T205" i="30"/>
  <c r="S205" i="30"/>
  <c r="Q205" i="30"/>
  <c r="O205" i="30"/>
  <c r="M205" i="30"/>
  <c r="K205" i="30"/>
  <c r="X204" i="30"/>
  <c r="W204" i="30"/>
  <c r="V204" i="30"/>
  <c r="U204" i="30"/>
  <c r="T204" i="30"/>
  <c r="S204" i="30"/>
  <c r="Q204" i="30"/>
  <c r="O204" i="30"/>
  <c r="M204" i="30"/>
  <c r="K204" i="30"/>
  <c r="X203" i="30"/>
  <c r="W203" i="30"/>
  <c r="V203" i="30"/>
  <c r="U203" i="30"/>
  <c r="T203" i="30"/>
  <c r="S203" i="30"/>
  <c r="Q203" i="30"/>
  <c r="O203" i="30"/>
  <c r="M203" i="30"/>
  <c r="K203" i="30"/>
  <c r="X202" i="30"/>
  <c r="W202" i="30"/>
  <c r="V202" i="30"/>
  <c r="U202" i="30"/>
  <c r="T202" i="30"/>
  <c r="S202" i="30"/>
  <c r="Q202" i="30"/>
  <c r="O202" i="30"/>
  <c r="M202" i="30"/>
  <c r="K202" i="30"/>
  <c r="X201" i="30"/>
  <c r="W201" i="30"/>
  <c r="V201" i="30"/>
  <c r="U201" i="30"/>
  <c r="T201" i="30"/>
  <c r="S201" i="30"/>
  <c r="Q201" i="30"/>
  <c r="O201" i="30"/>
  <c r="M201" i="30"/>
  <c r="K201" i="30"/>
  <c r="X200" i="30"/>
  <c r="W200" i="30"/>
  <c r="V200" i="30"/>
  <c r="U200" i="30"/>
  <c r="T200" i="30"/>
  <c r="S200" i="30"/>
  <c r="Q200" i="30"/>
  <c r="O200" i="30"/>
  <c r="M200" i="30"/>
  <c r="K200" i="30"/>
  <c r="X199" i="30"/>
  <c r="W199" i="30"/>
  <c r="V199" i="30"/>
  <c r="U199" i="30"/>
  <c r="T199" i="30"/>
  <c r="S199" i="30"/>
  <c r="Q199" i="30"/>
  <c r="O199" i="30"/>
  <c r="M199" i="30"/>
  <c r="K199" i="30"/>
  <c r="X198" i="30"/>
  <c r="W198" i="30"/>
  <c r="V198" i="30"/>
  <c r="U198" i="30"/>
  <c r="T198" i="30"/>
  <c r="S198" i="30"/>
  <c r="Q198" i="30"/>
  <c r="O198" i="30"/>
  <c r="M198" i="30"/>
  <c r="K198" i="30"/>
  <c r="X197" i="30"/>
  <c r="W197" i="30"/>
  <c r="V197" i="30"/>
  <c r="U197" i="30"/>
  <c r="T197" i="30"/>
  <c r="S197" i="30"/>
  <c r="Q197" i="30"/>
  <c r="O197" i="30"/>
  <c r="M197" i="30"/>
  <c r="K197" i="30"/>
  <c r="X196" i="30"/>
  <c r="W196" i="30"/>
  <c r="V196" i="30"/>
  <c r="U196" i="30"/>
  <c r="T196" i="30"/>
  <c r="S196" i="30"/>
  <c r="Q196" i="30"/>
  <c r="O196" i="30"/>
  <c r="M196" i="30"/>
  <c r="K196" i="30"/>
  <c r="X195" i="30"/>
  <c r="W195" i="30"/>
  <c r="V195" i="30"/>
  <c r="U195" i="30"/>
  <c r="T195" i="30"/>
  <c r="S195" i="30"/>
  <c r="Q195" i="30"/>
  <c r="O195" i="30"/>
  <c r="M195" i="30"/>
  <c r="K195" i="30"/>
  <c r="X194" i="30"/>
  <c r="W194" i="30"/>
  <c r="V194" i="30"/>
  <c r="U194" i="30"/>
  <c r="T194" i="30"/>
  <c r="S194" i="30"/>
  <c r="Q194" i="30"/>
  <c r="O194" i="30"/>
  <c r="M194" i="30"/>
  <c r="K194" i="30"/>
  <c r="X193" i="30"/>
  <c r="W193" i="30"/>
  <c r="V193" i="30"/>
  <c r="U193" i="30"/>
  <c r="T193" i="30"/>
  <c r="S193" i="30"/>
  <c r="Q193" i="30"/>
  <c r="O193" i="30"/>
  <c r="M193" i="30"/>
  <c r="K193" i="30"/>
  <c r="X192" i="30"/>
  <c r="W192" i="30"/>
  <c r="V192" i="30"/>
  <c r="U192" i="30"/>
  <c r="T192" i="30"/>
  <c r="S192" i="30"/>
  <c r="Q192" i="30"/>
  <c r="O192" i="30"/>
  <c r="M192" i="30"/>
  <c r="K192" i="30"/>
  <c r="X191" i="30"/>
  <c r="W191" i="30"/>
  <c r="V191" i="30"/>
  <c r="U191" i="30"/>
  <c r="T191" i="30"/>
  <c r="S191" i="30"/>
  <c r="Q191" i="30"/>
  <c r="O191" i="30"/>
  <c r="M191" i="30"/>
  <c r="K191" i="30"/>
  <c r="X190" i="30"/>
  <c r="W190" i="30"/>
  <c r="V190" i="30"/>
  <c r="U190" i="30"/>
  <c r="T190" i="30"/>
  <c r="S190" i="30"/>
  <c r="Q190" i="30"/>
  <c r="O190" i="30"/>
  <c r="M190" i="30"/>
  <c r="K190" i="30"/>
  <c r="X189" i="30"/>
  <c r="W189" i="30"/>
  <c r="V189" i="30"/>
  <c r="U189" i="30"/>
  <c r="T189" i="30"/>
  <c r="S189" i="30"/>
  <c r="Q189" i="30"/>
  <c r="O189" i="30"/>
  <c r="M189" i="30"/>
  <c r="K189" i="30"/>
  <c r="X188" i="30"/>
  <c r="W188" i="30"/>
  <c r="V188" i="30"/>
  <c r="U188" i="30"/>
  <c r="T188" i="30"/>
  <c r="S188" i="30"/>
  <c r="Q188" i="30"/>
  <c r="O188" i="30"/>
  <c r="M188" i="30"/>
  <c r="K188" i="30"/>
  <c r="X187" i="30"/>
  <c r="W187" i="30"/>
  <c r="V187" i="30"/>
  <c r="U187" i="30"/>
  <c r="T187" i="30"/>
  <c r="S187" i="30"/>
  <c r="Q187" i="30"/>
  <c r="O187" i="30"/>
  <c r="M187" i="30"/>
  <c r="K187" i="30"/>
  <c r="X186" i="30"/>
  <c r="W186" i="30"/>
  <c r="V186" i="30"/>
  <c r="U186" i="30"/>
  <c r="T186" i="30"/>
  <c r="S186" i="30"/>
  <c r="Q186" i="30"/>
  <c r="O186" i="30"/>
  <c r="M186" i="30"/>
  <c r="K186" i="30"/>
  <c r="X185" i="30"/>
  <c r="W185" i="30"/>
  <c r="V185" i="30"/>
  <c r="U185" i="30"/>
  <c r="T185" i="30"/>
  <c r="S185" i="30"/>
  <c r="Q185" i="30"/>
  <c r="O185" i="30"/>
  <c r="M185" i="30"/>
  <c r="K185" i="30"/>
  <c r="X184" i="30"/>
  <c r="W184" i="30"/>
  <c r="V184" i="30"/>
  <c r="U184" i="30"/>
  <c r="T184" i="30"/>
  <c r="S184" i="30"/>
  <c r="Q184" i="30"/>
  <c r="O184" i="30"/>
  <c r="M184" i="30"/>
  <c r="K184" i="30"/>
  <c r="X183" i="30"/>
  <c r="W183" i="30"/>
  <c r="V183" i="30"/>
  <c r="U183" i="30"/>
  <c r="T183" i="30"/>
  <c r="S183" i="30"/>
  <c r="Q183" i="30"/>
  <c r="O183" i="30"/>
  <c r="M183" i="30"/>
  <c r="K183" i="30"/>
  <c r="X182" i="30"/>
  <c r="W182" i="30"/>
  <c r="V182" i="30"/>
  <c r="U182" i="30"/>
  <c r="T182" i="30"/>
  <c r="S182" i="30"/>
  <c r="Q182" i="30"/>
  <c r="O182" i="30"/>
  <c r="M182" i="30"/>
  <c r="K182" i="30"/>
  <c r="X181" i="30"/>
  <c r="W181" i="30"/>
  <c r="V181" i="30"/>
  <c r="U181" i="30"/>
  <c r="T181" i="30"/>
  <c r="S181" i="30"/>
  <c r="Q181" i="30"/>
  <c r="O181" i="30"/>
  <c r="M181" i="30"/>
  <c r="K181" i="30"/>
  <c r="X180" i="30"/>
  <c r="W180" i="30"/>
  <c r="V180" i="30"/>
  <c r="U180" i="30"/>
  <c r="T180" i="30"/>
  <c r="S180" i="30"/>
  <c r="Q180" i="30"/>
  <c r="O180" i="30"/>
  <c r="M180" i="30"/>
  <c r="K180" i="30"/>
  <c r="X179" i="30"/>
  <c r="W179" i="30"/>
  <c r="V179" i="30"/>
  <c r="U179" i="30"/>
  <c r="T179" i="30"/>
  <c r="S179" i="30"/>
  <c r="Q179" i="30"/>
  <c r="O179" i="30"/>
  <c r="M179" i="30"/>
  <c r="K179" i="30"/>
  <c r="X178" i="30"/>
  <c r="W178" i="30"/>
  <c r="V178" i="30"/>
  <c r="U178" i="30"/>
  <c r="T178" i="30"/>
  <c r="S178" i="30"/>
  <c r="Q178" i="30"/>
  <c r="O178" i="30"/>
  <c r="M178" i="30"/>
  <c r="K178" i="30"/>
  <c r="X177" i="30"/>
  <c r="W177" i="30"/>
  <c r="V177" i="30"/>
  <c r="U177" i="30"/>
  <c r="T177" i="30"/>
  <c r="S177" i="30"/>
  <c r="Q177" i="30"/>
  <c r="O177" i="30"/>
  <c r="M177" i="30"/>
  <c r="K177" i="30"/>
  <c r="X176" i="30"/>
  <c r="W176" i="30"/>
  <c r="V176" i="30"/>
  <c r="U176" i="30"/>
  <c r="T176" i="30"/>
  <c r="S176" i="30"/>
  <c r="Q176" i="30"/>
  <c r="O176" i="30"/>
  <c r="M176" i="30"/>
  <c r="K176" i="30"/>
  <c r="X175" i="30"/>
  <c r="W175" i="30"/>
  <c r="V175" i="30"/>
  <c r="U175" i="30"/>
  <c r="T175" i="30"/>
  <c r="S175" i="30"/>
  <c r="Q175" i="30"/>
  <c r="O175" i="30"/>
  <c r="M175" i="30"/>
  <c r="K175" i="30"/>
  <c r="X174" i="30"/>
  <c r="W174" i="30"/>
  <c r="V174" i="30"/>
  <c r="U174" i="30"/>
  <c r="T174" i="30"/>
  <c r="S174" i="30"/>
  <c r="Q174" i="30"/>
  <c r="O174" i="30"/>
  <c r="M174" i="30"/>
  <c r="K174" i="30"/>
  <c r="X173" i="30"/>
  <c r="W173" i="30"/>
  <c r="V173" i="30"/>
  <c r="U173" i="30"/>
  <c r="T173" i="30"/>
  <c r="S173" i="30"/>
  <c r="Q173" i="30"/>
  <c r="O173" i="30"/>
  <c r="M173" i="30"/>
  <c r="K173" i="30"/>
  <c r="X172" i="30"/>
  <c r="W172" i="30"/>
  <c r="V172" i="30"/>
  <c r="U172" i="30"/>
  <c r="T172" i="30"/>
  <c r="S172" i="30"/>
  <c r="Q172" i="30"/>
  <c r="O172" i="30"/>
  <c r="M172" i="30"/>
  <c r="K172" i="30"/>
  <c r="X171" i="30"/>
  <c r="W171" i="30"/>
  <c r="V171" i="30"/>
  <c r="U171" i="30"/>
  <c r="T171" i="30"/>
  <c r="S171" i="30"/>
  <c r="Q171" i="30"/>
  <c r="O171" i="30"/>
  <c r="M171" i="30"/>
  <c r="K171" i="30"/>
  <c r="X170" i="30"/>
  <c r="W170" i="30"/>
  <c r="V170" i="30"/>
  <c r="U170" i="30"/>
  <c r="T170" i="30"/>
  <c r="S170" i="30"/>
  <c r="Q170" i="30"/>
  <c r="O170" i="30"/>
  <c r="M170" i="30"/>
  <c r="K170" i="30"/>
  <c r="X169" i="30"/>
  <c r="W169" i="30"/>
  <c r="V169" i="30"/>
  <c r="U169" i="30"/>
  <c r="T169" i="30"/>
  <c r="S169" i="30"/>
  <c r="Q169" i="30"/>
  <c r="O169" i="30"/>
  <c r="M169" i="30"/>
  <c r="K169" i="30"/>
  <c r="X168" i="30"/>
  <c r="W168" i="30"/>
  <c r="V168" i="30"/>
  <c r="U168" i="30"/>
  <c r="T168" i="30"/>
  <c r="S168" i="30"/>
  <c r="Q168" i="30"/>
  <c r="O168" i="30"/>
  <c r="M168" i="30"/>
  <c r="K168" i="30"/>
  <c r="X167" i="30"/>
  <c r="W167" i="30"/>
  <c r="V167" i="30"/>
  <c r="U167" i="30"/>
  <c r="T167" i="30"/>
  <c r="S167" i="30"/>
  <c r="Q167" i="30"/>
  <c r="O167" i="30"/>
  <c r="M167" i="30"/>
  <c r="K167" i="30"/>
  <c r="X166" i="30"/>
  <c r="W166" i="30"/>
  <c r="V166" i="30"/>
  <c r="U166" i="30"/>
  <c r="T166" i="30"/>
  <c r="S166" i="30"/>
  <c r="Q166" i="30"/>
  <c r="O166" i="30"/>
  <c r="M166" i="30"/>
  <c r="K166" i="30"/>
  <c r="X165" i="30"/>
  <c r="W165" i="30"/>
  <c r="V165" i="30"/>
  <c r="U165" i="30"/>
  <c r="T165" i="30"/>
  <c r="S165" i="30"/>
  <c r="Q165" i="30"/>
  <c r="O165" i="30"/>
  <c r="M165" i="30"/>
  <c r="K165" i="30"/>
  <c r="X164" i="30"/>
  <c r="W164" i="30"/>
  <c r="V164" i="30"/>
  <c r="U164" i="30"/>
  <c r="T164" i="30"/>
  <c r="S164" i="30"/>
  <c r="Q164" i="30"/>
  <c r="O164" i="30"/>
  <c r="M164" i="30"/>
  <c r="K164" i="30"/>
  <c r="X163" i="30"/>
  <c r="W163" i="30"/>
  <c r="V163" i="30"/>
  <c r="U163" i="30"/>
  <c r="T163" i="30"/>
  <c r="S163" i="30"/>
  <c r="Q163" i="30"/>
  <c r="O163" i="30"/>
  <c r="M163" i="30"/>
  <c r="K163" i="30"/>
  <c r="X162" i="30"/>
  <c r="W162" i="30"/>
  <c r="V162" i="30"/>
  <c r="U162" i="30"/>
  <c r="T162" i="30"/>
  <c r="S162" i="30"/>
  <c r="Q162" i="30"/>
  <c r="O162" i="30"/>
  <c r="M162" i="30"/>
  <c r="K162" i="30"/>
  <c r="X161" i="30"/>
  <c r="W161" i="30"/>
  <c r="V161" i="30"/>
  <c r="U161" i="30"/>
  <c r="T161" i="30"/>
  <c r="S161" i="30"/>
  <c r="Q161" i="30"/>
  <c r="O161" i="30"/>
  <c r="M161" i="30"/>
  <c r="K161" i="30"/>
  <c r="X160" i="30"/>
  <c r="W160" i="30"/>
  <c r="V160" i="30"/>
  <c r="U160" i="30"/>
  <c r="T160" i="30"/>
  <c r="S160" i="30"/>
  <c r="Q160" i="30"/>
  <c r="O160" i="30"/>
  <c r="M160" i="30"/>
  <c r="K160" i="30"/>
  <c r="X159" i="30"/>
  <c r="W159" i="30"/>
  <c r="V159" i="30"/>
  <c r="U159" i="30"/>
  <c r="T159" i="30"/>
  <c r="S159" i="30"/>
  <c r="Q159" i="30"/>
  <c r="O159" i="30"/>
  <c r="M159" i="30"/>
  <c r="K159" i="30"/>
  <c r="X158" i="30"/>
  <c r="W158" i="30"/>
  <c r="V158" i="30"/>
  <c r="U158" i="30"/>
  <c r="T158" i="30"/>
  <c r="S158" i="30"/>
  <c r="Q158" i="30"/>
  <c r="O158" i="30"/>
  <c r="M158" i="30"/>
  <c r="K158" i="30"/>
  <c r="X157" i="30"/>
  <c r="W157" i="30"/>
  <c r="V157" i="30"/>
  <c r="U157" i="30"/>
  <c r="T157" i="30"/>
  <c r="S157" i="30"/>
  <c r="Q157" i="30"/>
  <c r="O157" i="30"/>
  <c r="M157" i="30"/>
  <c r="K157" i="30"/>
  <c r="X156" i="30"/>
  <c r="W156" i="30"/>
  <c r="V156" i="30"/>
  <c r="U156" i="30"/>
  <c r="T156" i="30"/>
  <c r="S156" i="30"/>
  <c r="Q156" i="30"/>
  <c r="O156" i="30"/>
  <c r="M156" i="30"/>
  <c r="K156" i="30"/>
  <c r="X155" i="30"/>
  <c r="W155" i="30"/>
  <c r="V155" i="30"/>
  <c r="U155" i="30"/>
  <c r="T155" i="30"/>
  <c r="S155" i="30"/>
  <c r="Q155" i="30"/>
  <c r="O155" i="30"/>
  <c r="M155" i="30"/>
  <c r="K155" i="30"/>
  <c r="X154" i="30"/>
  <c r="W154" i="30"/>
  <c r="V154" i="30"/>
  <c r="U154" i="30"/>
  <c r="T154" i="30"/>
  <c r="S154" i="30"/>
  <c r="Q154" i="30"/>
  <c r="O154" i="30"/>
  <c r="M154" i="30"/>
  <c r="K154" i="30"/>
  <c r="X153" i="30"/>
  <c r="W153" i="30"/>
  <c r="V153" i="30"/>
  <c r="U153" i="30"/>
  <c r="T153" i="30"/>
  <c r="S153" i="30"/>
  <c r="Q153" i="30"/>
  <c r="O153" i="30"/>
  <c r="M153" i="30"/>
  <c r="K153" i="30"/>
  <c r="X152" i="30"/>
  <c r="W152" i="30"/>
  <c r="V152" i="30"/>
  <c r="U152" i="30"/>
  <c r="T152" i="30"/>
  <c r="S152" i="30"/>
  <c r="Q152" i="30"/>
  <c r="O152" i="30"/>
  <c r="M152" i="30"/>
  <c r="K152" i="30"/>
  <c r="X151" i="30"/>
  <c r="W151" i="30"/>
  <c r="V151" i="30"/>
  <c r="U151" i="30"/>
  <c r="T151" i="30"/>
  <c r="S151" i="30"/>
  <c r="Q151" i="30"/>
  <c r="O151" i="30"/>
  <c r="M151" i="30"/>
  <c r="K151" i="30"/>
  <c r="X150" i="30"/>
  <c r="W150" i="30"/>
  <c r="V150" i="30"/>
  <c r="U150" i="30"/>
  <c r="T150" i="30"/>
  <c r="S150" i="30"/>
  <c r="Q150" i="30"/>
  <c r="O150" i="30"/>
  <c r="M150" i="30"/>
  <c r="K150" i="30"/>
  <c r="X149" i="30"/>
  <c r="W149" i="30"/>
  <c r="V149" i="30"/>
  <c r="U149" i="30"/>
  <c r="T149" i="30"/>
  <c r="S149" i="30"/>
  <c r="Q149" i="30"/>
  <c r="O149" i="30"/>
  <c r="M149" i="30"/>
  <c r="K149" i="30"/>
  <c r="X148" i="30"/>
  <c r="W148" i="30"/>
  <c r="V148" i="30"/>
  <c r="U148" i="30"/>
  <c r="T148" i="30"/>
  <c r="S148" i="30"/>
  <c r="Q148" i="30"/>
  <c r="O148" i="30"/>
  <c r="M148" i="30"/>
  <c r="K148" i="30"/>
  <c r="X147" i="30"/>
  <c r="W147" i="30"/>
  <c r="V147" i="30"/>
  <c r="U147" i="30"/>
  <c r="T147" i="30"/>
  <c r="S147" i="30"/>
  <c r="Q147" i="30"/>
  <c r="O147" i="30"/>
  <c r="M147" i="30"/>
  <c r="K147" i="30"/>
  <c r="X146" i="30"/>
  <c r="W146" i="30"/>
  <c r="V146" i="30"/>
  <c r="U146" i="30"/>
  <c r="T146" i="30"/>
  <c r="S146" i="30"/>
  <c r="Q146" i="30"/>
  <c r="O146" i="30"/>
  <c r="M146" i="30"/>
  <c r="K146" i="30"/>
  <c r="X145" i="30"/>
  <c r="W145" i="30"/>
  <c r="V145" i="30"/>
  <c r="U145" i="30"/>
  <c r="T145" i="30"/>
  <c r="S145" i="30"/>
  <c r="Q145" i="30"/>
  <c r="O145" i="30"/>
  <c r="M145" i="30"/>
  <c r="K145" i="30"/>
  <c r="X144" i="30"/>
  <c r="W144" i="30"/>
  <c r="V144" i="30"/>
  <c r="U144" i="30"/>
  <c r="T144" i="30"/>
  <c r="S144" i="30"/>
  <c r="Q144" i="30"/>
  <c r="O144" i="30"/>
  <c r="M144" i="30"/>
  <c r="K144" i="30"/>
  <c r="X143" i="30"/>
  <c r="W143" i="30"/>
  <c r="V143" i="30"/>
  <c r="U143" i="30"/>
  <c r="T143" i="30"/>
  <c r="S143" i="30"/>
  <c r="Q143" i="30"/>
  <c r="O143" i="30"/>
  <c r="M143" i="30"/>
  <c r="K143" i="30"/>
  <c r="X142" i="30"/>
  <c r="W142" i="30"/>
  <c r="V142" i="30"/>
  <c r="U142" i="30"/>
  <c r="T142" i="30"/>
  <c r="S142" i="30"/>
  <c r="Q142" i="30"/>
  <c r="O142" i="30"/>
  <c r="M142" i="30"/>
  <c r="K142" i="30"/>
  <c r="X141" i="30"/>
  <c r="W141" i="30"/>
  <c r="V141" i="30"/>
  <c r="U141" i="30"/>
  <c r="T141" i="30"/>
  <c r="S141" i="30"/>
  <c r="Q141" i="30"/>
  <c r="O141" i="30"/>
  <c r="M141" i="30"/>
  <c r="K141" i="30"/>
  <c r="X140" i="30"/>
  <c r="W140" i="30"/>
  <c r="V140" i="30"/>
  <c r="U140" i="30"/>
  <c r="T140" i="30"/>
  <c r="S140" i="30"/>
  <c r="Q140" i="30"/>
  <c r="O140" i="30"/>
  <c r="M140" i="30"/>
  <c r="K140" i="30"/>
  <c r="X139" i="30"/>
  <c r="W139" i="30"/>
  <c r="V139" i="30"/>
  <c r="U139" i="30"/>
  <c r="T139" i="30"/>
  <c r="S139" i="30"/>
  <c r="Q139" i="30"/>
  <c r="O139" i="30"/>
  <c r="M139" i="30"/>
  <c r="K139" i="30"/>
  <c r="X138" i="30"/>
  <c r="W138" i="30"/>
  <c r="V138" i="30"/>
  <c r="U138" i="30"/>
  <c r="T138" i="30"/>
  <c r="S138" i="30"/>
  <c r="Q138" i="30"/>
  <c r="O138" i="30"/>
  <c r="M138" i="30"/>
  <c r="K138" i="30"/>
  <c r="X137" i="30"/>
  <c r="W137" i="30"/>
  <c r="V137" i="30"/>
  <c r="U137" i="30"/>
  <c r="T137" i="30"/>
  <c r="S137" i="30"/>
  <c r="Q137" i="30"/>
  <c r="O137" i="30"/>
  <c r="M137" i="30"/>
  <c r="K137" i="30"/>
  <c r="X136" i="30"/>
  <c r="W136" i="30"/>
  <c r="V136" i="30"/>
  <c r="U136" i="30"/>
  <c r="T136" i="30"/>
  <c r="S136" i="30"/>
  <c r="Q136" i="30"/>
  <c r="O136" i="30"/>
  <c r="M136" i="30"/>
  <c r="K136" i="30"/>
  <c r="X135" i="30"/>
  <c r="W135" i="30"/>
  <c r="V135" i="30"/>
  <c r="U135" i="30"/>
  <c r="T135" i="30"/>
  <c r="S135" i="30"/>
  <c r="Q135" i="30"/>
  <c r="O135" i="30"/>
  <c r="M135" i="30"/>
  <c r="K135" i="30"/>
  <c r="X134" i="30"/>
  <c r="W134" i="30"/>
  <c r="V134" i="30"/>
  <c r="U134" i="30"/>
  <c r="T134" i="30"/>
  <c r="S134" i="30"/>
  <c r="Q134" i="30"/>
  <c r="O134" i="30"/>
  <c r="M134" i="30"/>
  <c r="K134" i="30"/>
  <c r="X133" i="30"/>
  <c r="W133" i="30"/>
  <c r="V133" i="30"/>
  <c r="U133" i="30"/>
  <c r="T133" i="30"/>
  <c r="S133" i="30"/>
  <c r="Q133" i="30"/>
  <c r="O133" i="30"/>
  <c r="M133" i="30"/>
  <c r="K133" i="30"/>
  <c r="X132" i="30"/>
  <c r="W132" i="30"/>
  <c r="V132" i="30"/>
  <c r="U132" i="30"/>
  <c r="T132" i="30"/>
  <c r="S132" i="30"/>
  <c r="Q132" i="30"/>
  <c r="O132" i="30"/>
  <c r="M132" i="30"/>
  <c r="K132" i="30"/>
  <c r="X131" i="30"/>
  <c r="W131" i="30"/>
  <c r="V131" i="30"/>
  <c r="U131" i="30"/>
  <c r="T131" i="30"/>
  <c r="S131" i="30"/>
  <c r="Q131" i="30"/>
  <c r="O131" i="30"/>
  <c r="M131" i="30"/>
  <c r="K131" i="30"/>
  <c r="X130" i="30"/>
  <c r="W130" i="30"/>
  <c r="V130" i="30"/>
  <c r="U130" i="30"/>
  <c r="T130" i="30"/>
  <c r="S130" i="30"/>
  <c r="Q130" i="30"/>
  <c r="O130" i="30"/>
  <c r="M130" i="30"/>
  <c r="K130" i="30"/>
  <c r="X129" i="30"/>
  <c r="W129" i="30"/>
  <c r="V129" i="30"/>
  <c r="U129" i="30"/>
  <c r="T129" i="30"/>
  <c r="S129" i="30"/>
  <c r="Q129" i="30"/>
  <c r="O129" i="30"/>
  <c r="M129" i="30"/>
  <c r="K129" i="30"/>
  <c r="X128" i="30"/>
  <c r="W128" i="30"/>
  <c r="V128" i="30"/>
  <c r="U128" i="30"/>
  <c r="T128" i="30"/>
  <c r="S128" i="30"/>
  <c r="Q128" i="30"/>
  <c r="O128" i="30"/>
  <c r="M128" i="30"/>
  <c r="K128" i="30"/>
  <c r="X127" i="30"/>
  <c r="W127" i="30"/>
  <c r="V127" i="30"/>
  <c r="U127" i="30"/>
  <c r="T127" i="30"/>
  <c r="S127" i="30"/>
  <c r="Q127" i="30"/>
  <c r="O127" i="30"/>
  <c r="M127" i="30"/>
  <c r="K127" i="30"/>
  <c r="X126" i="30"/>
  <c r="W126" i="30"/>
  <c r="V126" i="30"/>
  <c r="U126" i="30"/>
  <c r="T126" i="30"/>
  <c r="S126" i="30"/>
  <c r="Q126" i="30"/>
  <c r="O126" i="30"/>
  <c r="M126" i="30"/>
  <c r="K126" i="30"/>
  <c r="X125" i="30"/>
  <c r="W125" i="30"/>
  <c r="V125" i="30"/>
  <c r="U125" i="30"/>
  <c r="T125" i="30"/>
  <c r="S125" i="30"/>
  <c r="Q125" i="30"/>
  <c r="O125" i="30"/>
  <c r="M125" i="30"/>
  <c r="K125" i="30"/>
  <c r="X124" i="30"/>
  <c r="W124" i="30"/>
  <c r="V124" i="30"/>
  <c r="U124" i="30"/>
  <c r="T124" i="30"/>
  <c r="S124" i="30"/>
  <c r="Q124" i="30"/>
  <c r="O124" i="30"/>
  <c r="M124" i="30"/>
  <c r="K124" i="30"/>
  <c r="X123" i="30"/>
  <c r="W123" i="30"/>
  <c r="V123" i="30"/>
  <c r="U123" i="30"/>
  <c r="T123" i="30"/>
  <c r="S123" i="30"/>
  <c r="Q123" i="30"/>
  <c r="O123" i="30"/>
  <c r="M123" i="30"/>
  <c r="K123" i="30"/>
  <c r="X122" i="30"/>
  <c r="W122" i="30"/>
  <c r="V122" i="30"/>
  <c r="U122" i="30"/>
  <c r="T122" i="30"/>
  <c r="S122" i="30"/>
  <c r="Q122" i="30"/>
  <c r="O122" i="30"/>
  <c r="M122" i="30"/>
  <c r="K122" i="30"/>
  <c r="X121" i="30"/>
  <c r="W121" i="30"/>
  <c r="V121" i="30"/>
  <c r="U121" i="30"/>
  <c r="T121" i="30"/>
  <c r="S121" i="30"/>
  <c r="Q121" i="30"/>
  <c r="O121" i="30"/>
  <c r="M121" i="30"/>
  <c r="K121" i="30"/>
  <c r="X120" i="30"/>
  <c r="W120" i="30"/>
  <c r="V120" i="30"/>
  <c r="U120" i="30"/>
  <c r="T120" i="30"/>
  <c r="S120" i="30"/>
  <c r="Q120" i="30"/>
  <c r="O120" i="30"/>
  <c r="M120" i="30"/>
  <c r="K120" i="30"/>
  <c r="X119" i="30"/>
  <c r="W119" i="30"/>
  <c r="V119" i="30"/>
  <c r="U119" i="30"/>
  <c r="T119" i="30"/>
  <c r="S119" i="30"/>
  <c r="Q119" i="30"/>
  <c r="O119" i="30"/>
  <c r="M119" i="30"/>
  <c r="K119" i="30"/>
  <c r="X118" i="30"/>
  <c r="W118" i="30"/>
  <c r="V118" i="30"/>
  <c r="U118" i="30"/>
  <c r="T118" i="30"/>
  <c r="S118" i="30"/>
  <c r="Q118" i="30"/>
  <c r="O118" i="30"/>
  <c r="M118" i="30"/>
  <c r="K118" i="30"/>
  <c r="X117" i="30"/>
  <c r="W117" i="30"/>
  <c r="V117" i="30"/>
  <c r="U117" i="30"/>
  <c r="T117" i="30"/>
  <c r="S117" i="30"/>
  <c r="Q117" i="30"/>
  <c r="O117" i="30"/>
  <c r="M117" i="30"/>
  <c r="K117" i="30"/>
  <c r="X116" i="30"/>
  <c r="W116" i="30"/>
  <c r="V116" i="30"/>
  <c r="U116" i="30"/>
  <c r="T116" i="30"/>
  <c r="S116" i="30"/>
  <c r="Q116" i="30"/>
  <c r="O116" i="30"/>
  <c r="M116" i="30"/>
  <c r="K116" i="30"/>
  <c r="X115" i="30"/>
  <c r="W115" i="30"/>
  <c r="V115" i="30"/>
  <c r="U115" i="30"/>
  <c r="T115" i="30"/>
  <c r="S115" i="30"/>
  <c r="Q115" i="30"/>
  <c r="O115" i="30"/>
  <c r="M115" i="30"/>
  <c r="K115" i="30"/>
  <c r="X114" i="30"/>
  <c r="W114" i="30"/>
  <c r="V114" i="30"/>
  <c r="U114" i="30"/>
  <c r="T114" i="30"/>
  <c r="S114" i="30"/>
  <c r="Q114" i="30"/>
  <c r="O114" i="30"/>
  <c r="M114" i="30"/>
  <c r="K114" i="30"/>
  <c r="X113" i="30"/>
  <c r="W113" i="30"/>
  <c r="V113" i="30"/>
  <c r="U113" i="30"/>
  <c r="T113" i="30"/>
  <c r="S113" i="30"/>
  <c r="Q113" i="30"/>
  <c r="O113" i="30"/>
  <c r="M113" i="30"/>
  <c r="K113" i="30"/>
  <c r="X112" i="30"/>
  <c r="W112" i="30"/>
  <c r="V112" i="30"/>
  <c r="U112" i="30"/>
  <c r="T112" i="30"/>
  <c r="S112" i="30"/>
  <c r="Q112" i="30"/>
  <c r="O112" i="30"/>
  <c r="M112" i="30"/>
  <c r="K112" i="30"/>
  <c r="X111" i="30"/>
  <c r="W111" i="30"/>
  <c r="V111" i="30"/>
  <c r="U111" i="30"/>
  <c r="T111" i="30"/>
  <c r="S111" i="30"/>
  <c r="Q111" i="30"/>
  <c r="O111" i="30"/>
  <c r="M111" i="30"/>
  <c r="K111" i="30"/>
  <c r="X110" i="30"/>
  <c r="W110" i="30"/>
  <c r="V110" i="30"/>
  <c r="U110" i="30"/>
  <c r="T110" i="30"/>
  <c r="S110" i="30"/>
  <c r="Q110" i="30"/>
  <c r="O110" i="30"/>
  <c r="M110" i="30"/>
  <c r="K110" i="30"/>
  <c r="X109" i="30"/>
  <c r="W109" i="30"/>
  <c r="V109" i="30"/>
  <c r="U109" i="30"/>
  <c r="T109" i="30"/>
  <c r="S109" i="30"/>
  <c r="Q109" i="30"/>
  <c r="O109" i="30"/>
  <c r="M109" i="30"/>
  <c r="K109" i="30"/>
  <c r="X108" i="30"/>
  <c r="W108" i="30"/>
  <c r="V108" i="30"/>
  <c r="U108" i="30"/>
  <c r="T108" i="30"/>
  <c r="S108" i="30"/>
  <c r="Q108" i="30"/>
  <c r="O108" i="30"/>
  <c r="M108" i="30"/>
  <c r="K108" i="30"/>
  <c r="X107" i="30"/>
  <c r="W107" i="30"/>
  <c r="V107" i="30"/>
  <c r="U107" i="30"/>
  <c r="T107" i="30"/>
  <c r="S107" i="30"/>
  <c r="Q107" i="30"/>
  <c r="O107" i="30"/>
  <c r="M107" i="30"/>
  <c r="K107" i="30"/>
  <c r="X106" i="30"/>
  <c r="W106" i="30"/>
  <c r="V106" i="30"/>
  <c r="U106" i="30"/>
  <c r="T106" i="30"/>
  <c r="S106" i="30"/>
  <c r="Q106" i="30"/>
  <c r="O106" i="30"/>
  <c r="M106" i="30"/>
  <c r="K106" i="30"/>
  <c r="X105" i="30"/>
  <c r="W105" i="30"/>
  <c r="V105" i="30"/>
  <c r="U105" i="30"/>
  <c r="T105" i="30"/>
  <c r="S105" i="30"/>
  <c r="Q105" i="30"/>
  <c r="O105" i="30"/>
  <c r="M105" i="30"/>
  <c r="K105" i="30"/>
  <c r="X104" i="30"/>
  <c r="W104" i="30"/>
  <c r="V104" i="30"/>
  <c r="U104" i="30"/>
  <c r="T104" i="30"/>
  <c r="S104" i="30"/>
  <c r="Q104" i="30"/>
  <c r="O104" i="30"/>
  <c r="M104" i="30"/>
  <c r="K104" i="30"/>
  <c r="X103" i="30"/>
  <c r="W103" i="30"/>
  <c r="V103" i="30"/>
  <c r="U103" i="30"/>
  <c r="T103" i="30"/>
  <c r="S103" i="30"/>
  <c r="Q103" i="30"/>
  <c r="O103" i="30"/>
  <c r="M103" i="30"/>
  <c r="K103" i="30"/>
  <c r="X102" i="30"/>
  <c r="W102" i="30"/>
  <c r="V102" i="30"/>
  <c r="U102" i="30"/>
  <c r="T102" i="30"/>
  <c r="S102" i="30"/>
  <c r="Q102" i="30"/>
  <c r="O102" i="30"/>
  <c r="M102" i="30"/>
  <c r="K102" i="30"/>
  <c r="X101" i="30"/>
  <c r="W101" i="30"/>
  <c r="V101" i="30"/>
  <c r="U101" i="30"/>
  <c r="T101" i="30"/>
  <c r="S101" i="30"/>
  <c r="Q101" i="30"/>
  <c r="O101" i="30"/>
  <c r="M101" i="30"/>
  <c r="K101" i="30"/>
  <c r="X100" i="30"/>
  <c r="W100" i="30"/>
  <c r="V100" i="30"/>
  <c r="U100" i="30"/>
  <c r="T100" i="30"/>
  <c r="S100" i="30"/>
  <c r="Q100" i="30"/>
  <c r="O100" i="30"/>
  <c r="M100" i="30"/>
  <c r="K100" i="30"/>
  <c r="X99" i="30"/>
  <c r="W99" i="30"/>
  <c r="V99" i="30"/>
  <c r="U99" i="30"/>
  <c r="T99" i="30"/>
  <c r="S99" i="30"/>
  <c r="Q99" i="30"/>
  <c r="O99" i="30"/>
  <c r="M99" i="30"/>
  <c r="K99" i="30"/>
  <c r="X98" i="30"/>
  <c r="W98" i="30"/>
  <c r="V98" i="30"/>
  <c r="U98" i="30"/>
  <c r="T98" i="30"/>
  <c r="S98" i="30"/>
  <c r="Q98" i="30"/>
  <c r="O98" i="30"/>
  <c r="M98" i="30"/>
  <c r="K98" i="30"/>
  <c r="X97" i="30"/>
  <c r="W97" i="30"/>
  <c r="V97" i="30"/>
  <c r="U97" i="30"/>
  <c r="T97" i="30"/>
  <c r="S97" i="30"/>
  <c r="Q97" i="30"/>
  <c r="O97" i="30"/>
  <c r="M97" i="30"/>
  <c r="K97" i="30"/>
  <c r="X96" i="30"/>
  <c r="W96" i="30"/>
  <c r="V96" i="30"/>
  <c r="U96" i="30"/>
  <c r="T96" i="30"/>
  <c r="S96" i="30"/>
  <c r="Q96" i="30"/>
  <c r="O96" i="30"/>
  <c r="M96" i="30"/>
  <c r="K96" i="30"/>
  <c r="X95" i="30"/>
  <c r="W95" i="30"/>
  <c r="V95" i="30"/>
  <c r="U95" i="30"/>
  <c r="T95" i="30"/>
  <c r="S95" i="30"/>
  <c r="Q95" i="30"/>
  <c r="O95" i="30"/>
  <c r="M95" i="30"/>
  <c r="K95" i="30"/>
  <c r="X94" i="30"/>
  <c r="W94" i="30"/>
  <c r="V94" i="30"/>
  <c r="U94" i="30"/>
  <c r="T94" i="30"/>
  <c r="S94" i="30"/>
  <c r="Q94" i="30"/>
  <c r="O94" i="30"/>
  <c r="M94" i="30"/>
  <c r="K94" i="30"/>
  <c r="X93" i="30"/>
  <c r="W93" i="30"/>
  <c r="V93" i="30"/>
  <c r="U93" i="30"/>
  <c r="T93" i="30"/>
  <c r="S93" i="30"/>
  <c r="Q93" i="30"/>
  <c r="O93" i="30"/>
  <c r="M93" i="30"/>
  <c r="K93" i="30"/>
  <c r="X92" i="30"/>
  <c r="W92" i="30"/>
  <c r="V92" i="30"/>
  <c r="U92" i="30"/>
  <c r="T92" i="30"/>
  <c r="S92" i="30"/>
  <c r="Q92" i="30"/>
  <c r="O92" i="30"/>
  <c r="M92" i="30"/>
  <c r="K92" i="30"/>
  <c r="X91" i="30"/>
  <c r="W91" i="30"/>
  <c r="V91" i="30"/>
  <c r="U91" i="30"/>
  <c r="T91" i="30"/>
  <c r="S91" i="30"/>
  <c r="Q91" i="30"/>
  <c r="O91" i="30"/>
  <c r="M91" i="30"/>
  <c r="K91" i="30"/>
  <c r="X90" i="30"/>
  <c r="W90" i="30"/>
  <c r="V90" i="30"/>
  <c r="U90" i="30"/>
  <c r="T90" i="30"/>
  <c r="S90" i="30"/>
  <c r="Q90" i="30"/>
  <c r="O90" i="30"/>
  <c r="M90" i="30"/>
  <c r="K90" i="30"/>
  <c r="X89" i="30"/>
  <c r="W89" i="30"/>
  <c r="V89" i="30"/>
  <c r="U89" i="30"/>
  <c r="T89" i="30"/>
  <c r="S89" i="30"/>
  <c r="Q89" i="30"/>
  <c r="O89" i="30"/>
  <c r="M89" i="30"/>
  <c r="K89" i="30"/>
  <c r="X88" i="30"/>
  <c r="W88" i="30"/>
  <c r="V88" i="30"/>
  <c r="U88" i="30"/>
  <c r="T88" i="30"/>
  <c r="S88" i="30"/>
  <c r="Q88" i="30"/>
  <c r="O88" i="30"/>
  <c r="M88" i="30"/>
  <c r="K88" i="30"/>
  <c r="X87" i="30"/>
  <c r="W87" i="30"/>
  <c r="V87" i="30"/>
  <c r="U87" i="30"/>
  <c r="T87" i="30"/>
  <c r="S87" i="30"/>
  <c r="Q87" i="30"/>
  <c r="O87" i="30"/>
  <c r="M87" i="30"/>
  <c r="K87" i="30"/>
  <c r="X86" i="30"/>
  <c r="W86" i="30"/>
  <c r="V86" i="30"/>
  <c r="U86" i="30"/>
  <c r="T86" i="30"/>
  <c r="S86" i="30"/>
  <c r="Q86" i="30"/>
  <c r="O86" i="30"/>
  <c r="M86" i="30"/>
  <c r="K86" i="30"/>
  <c r="X85" i="30"/>
  <c r="W85" i="30"/>
  <c r="V85" i="30"/>
  <c r="U85" i="30"/>
  <c r="T85" i="30"/>
  <c r="S85" i="30"/>
  <c r="Q85" i="30"/>
  <c r="O85" i="30"/>
  <c r="M85" i="30"/>
  <c r="K85" i="30"/>
  <c r="X84" i="30"/>
  <c r="W84" i="30"/>
  <c r="V84" i="30"/>
  <c r="U84" i="30"/>
  <c r="T84" i="30"/>
  <c r="S84" i="30"/>
  <c r="Q84" i="30"/>
  <c r="O84" i="30"/>
  <c r="M84" i="30"/>
  <c r="K84" i="30"/>
  <c r="X83" i="30"/>
  <c r="W83" i="30"/>
  <c r="V83" i="30"/>
  <c r="U83" i="30"/>
  <c r="T83" i="30"/>
  <c r="S83" i="30"/>
  <c r="Q83" i="30"/>
  <c r="O83" i="30"/>
  <c r="M83" i="30"/>
  <c r="K83" i="30"/>
  <c r="X82" i="30"/>
  <c r="W82" i="30"/>
  <c r="V82" i="30"/>
  <c r="U82" i="30"/>
  <c r="T82" i="30"/>
  <c r="S82" i="30"/>
  <c r="Q82" i="30"/>
  <c r="O82" i="30"/>
  <c r="M82" i="30"/>
  <c r="K82" i="30"/>
  <c r="X81" i="30"/>
  <c r="W81" i="30"/>
  <c r="V81" i="30"/>
  <c r="U81" i="30"/>
  <c r="T81" i="30"/>
  <c r="S81" i="30"/>
  <c r="Q81" i="30"/>
  <c r="O81" i="30"/>
  <c r="M81" i="30"/>
  <c r="K81" i="30"/>
  <c r="X80" i="30"/>
  <c r="W80" i="30"/>
  <c r="V80" i="30"/>
  <c r="U80" i="30"/>
  <c r="T80" i="30"/>
  <c r="S80" i="30"/>
  <c r="Q80" i="30"/>
  <c r="O80" i="30"/>
  <c r="M80" i="30"/>
  <c r="K80" i="30"/>
  <c r="X79" i="30"/>
  <c r="W79" i="30"/>
  <c r="V79" i="30"/>
  <c r="U79" i="30"/>
  <c r="T79" i="30"/>
  <c r="S79" i="30"/>
  <c r="Q79" i="30"/>
  <c r="O79" i="30"/>
  <c r="M79" i="30"/>
  <c r="K79" i="30"/>
  <c r="X78" i="30"/>
  <c r="W78" i="30"/>
  <c r="V78" i="30"/>
  <c r="U78" i="30"/>
  <c r="T78" i="30"/>
  <c r="S78" i="30"/>
  <c r="Q78" i="30"/>
  <c r="O78" i="30"/>
  <c r="M78" i="30"/>
  <c r="K78" i="30"/>
  <c r="X77" i="30"/>
  <c r="W77" i="30"/>
  <c r="V77" i="30"/>
  <c r="U77" i="30"/>
  <c r="T77" i="30"/>
  <c r="S77" i="30"/>
  <c r="Q77" i="30"/>
  <c r="O77" i="30"/>
  <c r="M77" i="30"/>
  <c r="K77" i="30"/>
  <c r="X76" i="30"/>
  <c r="W76" i="30"/>
  <c r="V76" i="30"/>
  <c r="U76" i="30"/>
  <c r="T76" i="30"/>
  <c r="S76" i="30"/>
  <c r="Q76" i="30"/>
  <c r="O76" i="30"/>
  <c r="M76" i="30"/>
  <c r="K76" i="30"/>
  <c r="X75" i="30"/>
  <c r="W75" i="30"/>
  <c r="V75" i="30"/>
  <c r="U75" i="30"/>
  <c r="T75" i="30"/>
  <c r="S75" i="30"/>
  <c r="Q75" i="30"/>
  <c r="O75" i="30"/>
  <c r="M75" i="30"/>
  <c r="K75" i="30"/>
  <c r="X74" i="30"/>
  <c r="W74" i="30"/>
  <c r="V74" i="30"/>
  <c r="U74" i="30"/>
  <c r="T74" i="30"/>
  <c r="S74" i="30"/>
  <c r="Q74" i="30"/>
  <c r="O74" i="30"/>
  <c r="M74" i="30"/>
  <c r="K74" i="30"/>
  <c r="X73" i="30"/>
  <c r="W73" i="30"/>
  <c r="V73" i="30"/>
  <c r="U73" i="30"/>
  <c r="T73" i="30"/>
  <c r="S73" i="30"/>
  <c r="Q73" i="30"/>
  <c r="O73" i="30"/>
  <c r="M73" i="30"/>
  <c r="K73" i="30"/>
  <c r="X72" i="30"/>
  <c r="W72" i="30"/>
  <c r="V72" i="30"/>
  <c r="U72" i="30"/>
  <c r="T72" i="30"/>
  <c r="S72" i="30"/>
  <c r="Q72" i="30"/>
  <c r="O72" i="30"/>
  <c r="M72" i="30"/>
  <c r="K72" i="30"/>
  <c r="X71" i="30"/>
  <c r="W71" i="30"/>
  <c r="V71" i="30"/>
  <c r="U71" i="30"/>
  <c r="T71" i="30"/>
  <c r="S71" i="30"/>
  <c r="Q71" i="30"/>
  <c r="O71" i="30"/>
  <c r="M71" i="30"/>
  <c r="K71" i="30"/>
  <c r="X70" i="30"/>
  <c r="W70" i="30"/>
  <c r="V70" i="30"/>
  <c r="U70" i="30"/>
  <c r="T70" i="30"/>
  <c r="S70" i="30"/>
  <c r="Q70" i="30"/>
  <c r="O70" i="30"/>
  <c r="M70" i="30"/>
  <c r="K70" i="30"/>
  <c r="X69" i="30"/>
  <c r="W69" i="30"/>
  <c r="V69" i="30"/>
  <c r="U69" i="30"/>
  <c r="T69" i="30"/>
  <c r="S69" i="30"/>
  <c r="Q69" i="30"/>
  <c r="O69" i="30"/>
  <c r="M69" i="30"/>
  <c r="K69" i="30"/>
  <c r="X68" i="30"/>
  <c r="W68" i="30"/>
  <c r="V68" i="30"/>
  <c r="U68" i="30"/>
  <c r="T68" i="30"/>
  <c r="S68" i="30"/>
  <c r="Q68" i="30"/>
  <c r="O68" i="30"/>
  <c r="M68" i="30"/>
  <c r="K68" i="30"/>
  <c r="X67" i="30"/>
  <c r="W67" i="30"/>
  <c r="V67" i="30"/>
  <c r="U67" i="30"/>
  <c r="T67" i="30"/>
  <c r="S67" i="30"/>
  <c r="Q67" i="30"/>
  <c r="O67" i="30"/>
  <c r="M67" i="30"/>
  <c r="K67" i="30"/>
  <c r="X66" i="30"/>
  <c r="W66" i="30"/>
  <c r="V66" i="30"/>
  <c r="U66" i="30"/>
  <c r="T66" i="30"/>
  <c r="S66" i="30"/>
  <c r="Q66" i="30"/>
  <c r="O66" i="30"/>
  <c r="M66" i="30"/>
  <c r="K66" i="30"/>
  <c r="X65" i="30"/>
  <c r="W65" i="30"/>
  <c r="V65" i="30"/>
  <c r="U65" i="30"/>
  <c r="T65" i="30"/>
  <c r="S65" i="30"/>
  <c r="Q65" i="30"/>
  <c r="O65" i="30"/>
  <c r="M65" i="30"/>
  <c r="K65" i="30"/>
  <c r="X64" i="30"/>
  <c r="W64" i="30"/>
  <c r="V64" i="30"/>
  <c r="U64" i="30"/>
  <c r="T64" i="30"/>
  <c r="S64" i="30"/>
  <c r="Q64" i="30"/>
  <c r="O64" i="30"/>
  <c r="M64" i="30"/>
  <c r="K64" i="30"/>
  <c r="X63" i="30"/>
  <c r="W63" i="30"/>
  <c r="V63" i="30"/>
  <c r="U63" i="30"/>
  <c r="T63" i="30"/>
  <c r="S63" i="30"/>
  <c r="Q63" i="30"/>
  <c r="O63" i="30"/>
  <c r="M63" i="30"/>
  <c r="K63" i="30"/>
  <c r="X62" i="30"/>
  <c r="W62" i="30"/>
  <c r="V62" i="30"/>
  <c r="U62" i="30"/>
  <c r="T62" i="30"/>
  <c r="S62" i="30"/>
  <c r="Q62" i="30"/>
  <c r="O62" i="30"/>
  <c r="M62" i="30"/>
  <c r="K62" i="30"/>
  <c r="X61" i="30"/>
  <c r="W61" i="30"/>
  <c r="V61" i="30"/>
  <c r="U61" i="30"/>
  <c r="T61" i="30"/>
  <c r="S61" i="30"/>
  <c r="Q61" i="30"/>
  <c r="O61" i="30"/>
  <c r="M61" i="30"/>
  <c r="K61" i="30"/>
  <c r="X60" i="30"/>
  <c r="W60" i="30"/>
  <c r="V60" i="30"/>
  <c r="U60" i="30"/>
  <c r="T60" i="30"/>
  <c r="S60" i="30"/>
  <c r="Q60" i="30"/>
  <c r="O60" i="30"/>
  <c r="M60" i="30"/>
  <c r="K60" i="30"/>
  <c r="X59" i="30"/>
  <c r="W59" i="30"/>
  <c r="V59" i="30"/>
  <c r="U59" i="30"/>
  <c r="T59" i="30"/>
  <c r="S59" i="30"/>
  <c r="Q59" i="30"/>
  <c r="O59" i="30"/>
  <c r="M59" i="30"/>
  <c r="K59" i="30"/>
  <c r="X58" i="30"/>
  <c r="W58" i="30"/>
  <c r="V58" i="30"/>
  <c r="U58" i="30"/>
  <c r="T58" i="30"/>
  <c r="S58" i="30"/>
  <c r="Q58" i="30"/>
  <c r="O58" i="30"/>
  <c r="M58" i="30"/>
  <c r="K58" i="30"/>
  <c r="X57" i="30"/>
  <c r="W57" i="30"/>
  <c r="V57" i="30"/>
  <c r="U57" i="30"/>
  <c r="T57" i="30"/>
  <c r="S57" i="30"/>
  <c r="Q57" i="30"/>
  <c r="O57" i="30"/>
  <c r="M57" i="30"/>
  <c r="K57" i="30"/>
  <c r="X56" i="30"/>
  <c r="W56" i="30"/>
  <c r="V56" i="30"/>
  <c r="U56" i="30"/>
  <c r="T56" i="30"/>
  <c r="S56" i="30"/>
  <c r="Q56" i="30"/>
  <c r="O56" i="30"/>
  <c r="M56" i="30"/>
  <c r="K56" i="30"/>
  <c r="X55" i="30"/>
  <c r="W55" i="30"/>
  <c r="V55" i="30"/>
  <c r="U55" i="30"/>
  <c r="T55" i="30"/>
  <c r="S55" i="30"/>
  <c r="Q55" i="30"/>
  <c r="O55" i="30"/>
  <c r="M55" i="30"/>
  <c r="K55" i="30"/>
  <c r="X54" i="30"/>
  <c r="W54" i="30"/>
  <c r="V54" i="30"/>
  <c r="U54" i="30"/>
  <c r="T54" i="30"/>
  <c r="S54" i="30"/>
  <c r="Q54" i="30"/>
  <c r="O54" i="30"/>
  <c r="M54" i="30"/>
  <c r="K54" i="30"/>
  <c r="X53" i="30"/>
  <c r="W53" i="30"/>
  <c r="V53" i="30"/>
  <c r="U53" i="30"/>
  <c r="T53" i="30"/>
  <c r="S53" i="30"/>
  <c r="Q53" i="30"/>
  <c r="O53" i="30"/>
  <c r="M53" i="30"/>
  <c r="K53" i="30"/>
  <c r="X52" i="30"/>
  <c r="W52" i="30"/>
  <c r="V52" i="30"/>
  <c r="U52" i="30"/>
  <c r="T52" i="30"/>
  <c r="S52" i="30"/>
  <c r="Q52" i="30"/>
  <c r="O52" i="30"/>
  <c r="M52" i="30"/>
  <c r="K52" i="30"/>
  <c r="X51" i="30"/>
  <c r="W51" i="30"/>
  <c r="V51" i="30"/>
  <c r="U51" i="30"/>
  <c r="T51" i="30"/>
  <c r="S51" i="30"/>
  <c r="Q51" i="30"/>
  <c r="O51" i="30"/>
  <c r="M51" i="30"/>
  <c r="K51" i="30"/>
  <c r="X50" i="30"/>
  <c r="W50" i="30"/>
  <c r="V50" i="30"/>
  <c r="U50" i="30"/>
  <c r="T50" i="30"/>
  <c r="S50" i="30"/>
  <c r="Q50" i="30"/>
  <c r="O50" i="30"/>
  <c r="M50" i="30"/>
  <c r="K50" i="30"/>
  <c r="X49" i="30"/>
  <c r="W49" i="30"/>
  <c r="V49" i="30"/>
  <c r="U49" i="30"/>
  <c r="T49" i="30"/>
  <c r="S49" i="30"/>
  <c r="Q49" i="30"/>
  <c r="O49" i="30"/>
  <c r="M49" i="30"/>
  <c r="K49" i="30"/>
  <c r="X48" i="30"/>
  <c r="W48" i="30"/>
  <c r="V48" i="30"/>
  <c r="U48" i="30"/>
  <c r="T48" i="30"/>
  <c r="S48" i="30"/>
  <c r="Q48" i="30"/>
  <c r="O48" i="30"/>
  <c r="M48" i="30"/>
  <c r="K48" i="30"/>
  <c r="X47" i="30"/>
  <c r="W47" i="30"/>
  <c r="V47" i="30"/>
  <c r="U47" i="30"/>
  <c r="T47" i="30"/>
  <c r="S47" i="30"/>
  <c r="Q47" i="30"/>
  <c r="O47" i="30"/>
  <c r="M47" i="30"/>
  <c r="K47" i="30"/>
  <c r="X46" i="30"/>
  <c r="W46" i="30"/>
  <c r="V46" i="30"/>
  <c r="U46" i="30"/>
  <c r="T46" i="30"/>
  <c r="S46" i="30"/>
  <c r="Q46" i="30"/>
  <c r="O46" i="30"/>
  <c r="M46" i="30"/>
  <c r="K46" i="30"/>
  <c r="X45" i="30"/>
  <c r="W45" i="30"/>
  <c r="V45" i="30"/>
  <c r="U45" i="30"/>
  <c r="T45" i="30"/>
  <c r="S45" i="30"/>
  <c r="Q45" i="30"/>
  <c r="O45" i="30"/>
  <c r="M45" i="30"/>
  <c r="K45" i="30"/>
  <c r="X44" i="30"/>
  <c r="W44" i="30"/>
  <c r="V44" i="30"/>
  <c r="U44" i="30"/>
  <c r="T44" i="30"/>
  <c r="S44" i="30"/>
  <c r="Q44" i="30"/>
  <c r="O44" i="30"/>
  <c r="M44" i="30"/>
  <c r="K44" i="30"/>
  <c r="X43" i="30"/>
  <c r="W43" i="30"/>
  <c r="V43" i="30"/>
  <c r="U43" i="30"/>
  <c r="T43" i="30"/>
  <c r="S43" i="30"/>
  <c r="Q43" i="30"/>
  <c r="O43" i="30"/>
  <c r="M43" i="30"/>
  <c r="K43" i="30"/>
  <c r="X42" i="30"/>
  <c r="W42" i="30"/>
  <c r="V42" i="30"/>
  <c r="U42" i="30"/>
  <c r="T42" i="30"/>
  <c r="S42" i="30"/>
  <c r="Q42" i="30"/>
  <c r="O42" i="30"/>
  <c r="M42" i="30"/>
  <c r="K42" i="30"/>
  <c r="X41" i="30"/>
  <c r="W41" i="30"/>
  <c r="V41" i="30"/>
  <c r="U41" i="30"/>
  <c r="T41" i="30"/>
  <c r="S41" i="30"/>
  <c r="Q41" i="30"/>
  <c r="O41" i="30"/>
  <c r="M41" i="30"/>
  <c r="K41" i="30"/>
  <c r="X40" i="30"/>
  <c r="W40" i="30"/>
  <c r="V40" i="30"/>
  <c r="U40" i="30"/>
  <c r="T40" i="30"/>
  <c r="S40" i="30"/>
  <c r="Q40" i="30"/>
  <c r="O40" i="30"/>
  <c r="M40" i="30"/>
  <c r="K40" i="30"/>
  <c r="X39" i="30"/>
  <c r="W39" i="30"/>
  <c r="V39" i="30"/>
  <c r="U39" i="30"/>
  <c r="T39" i="30"/>
  <c r="S39" i="30"/>
  <c r="Q39" i="30"/>
  <c r="O39" i="30"/>
  <c r="M39" i="30"/>
  <c r="K39" i="30"/>
  <c r="X38" i="30"/>
  <c r="W38" i="30"/>
  <c r="V38" i="30"/>
  <c r="U38" i="30"/>
  <c r="T38" i="30"/>
  <c r="S38" i="30"/>
  <c r="Q38" i="30"/>
  <c r="O38" i="30"/>
  <c r="M38" i="30"/>
  <c r="K38" i="30"/>
  <c r="X37" i="30"/>
  <c r="W37" i="30"/>
  <c r="V37" i="30"/>
  <c r="U37" i="30"/>
  <c r="T37" i="30"/>
  <c r="S37" i="30"/>
  <c r="Q37" i="30"/>
  <c r="O37" i="30"/>
  <c r="M37" i="30"/>
  <c r="K37" i="30"/>
  <c r="X36" i="30"/>
  <c r="W36" i="30"/>
  <c r="V36" i="30"/>
  <c r="U36" i="30"/>
  <c r="T36" i="30"/>
  <c r="S36" i="30"/>
  <c r="Q36" i="30"/>
  <c r="O36" i="30"/>
  <c r="M36" i="30"/>
  <c r="K36" i="30"/>
  <c r="X35" i="30"/>
  <c r="W35" i="30"/>
  <c r="V35" i="30"/>
  <c r="U35" i="30"/>
  <c r="T35" i="30"/>
  <c r="S35" i="30"/>
  <c r="Q35" i="30"/>
  <c r="O35" i="30"/>
  <c r="M35" i="30"/>
  <c r="K35" i="30"/>
  <c r="X34" i="30"/>
  <c r="W34" i="30"/>
  <c r="V34" i="30"/>
  <c r="U34" i="30"/>
  <c r="T34" i="30"/>
  <c r="S34" i="30"/>
  <c r="Q34" i="30"/>
  <c r="O34" i="30"/>
  <c r="M34" i="30"/>
  <c r="K34" i="30"/>
  <c r="X33" i="30"/>
  <c r="W33" i="30"/>
  <c r="V33" i="30"/>
  <c r="U33" i="30"/>
  <c r="T33" i="30"/>
  <c r="S33" i="30"/>
  <c r="Q33" i="30"/>
  <c r="O33" i="30"/>
  <c r="M33" i="30"/>
  <c r="K33" i="30"/>
  <c r="X32" i="30"/>
  <c r="W32" i="30"/>
  <c r="V32" i="30"/>
  <c r="U32" i="30"/>
  <c r="T32" i="30"/>
  <c r="S32" i="30"/>
  <c r="Q32" i="30"/>
  <c r="O32" i="30"/>
  <c r="M32" i="30"/>
  <c r="K32" i="30"/>
  <c r="X31" i="30"/>
  <c r="W31" i="30"/>
  <c r="V31" i="30"/>
  <c r="U31" i="30"/>
  <c r="T31" i="30"/>
  <c r="S31" i="30"/>
  <c r="Q31" i="30"/>
  <c r="O31" i="30"/>
  <c r="M31" i="30"/>
  <c r="K31" i="30"/>
  <c r="X30" i="30"/>
  <c r="W30" i="30"/>
  <c r="V30" i="30"/>
  <c r="U30" i="30"/>
  <c r="T30" i="30"/>
  <c r="S30" i="30"/>
  <c r="Q30" i="30"/>
  <c r="O30" i="30"/>
  <c r="M30" i="30"/>
  <c r="K30" i="30"/>
  <c r="X29" i="30"/>
  <c r="W29" i="30"/>
  <c r="V29" i="30"/>
  <c r="U29" i="30"/>
  <c r="T29" i="30"/>
  <c r="S29" i="30"/>
  <c r="Q29" i="30"/>
  <c r="O29" i="30"/>
  <c r="M29" i="30"/>
  <c r="K29" i="30"/>
  <c r="X28" i="30"/>
  <c r="W28" i="30"/>
  <c r="V28" i="30"/>
  <c r="U28" i="30"/>
  <c r="T28" i="30"/>
  <c r="S28" i="30"/>
  <c r="Q28" i="30"/>
  <c r="O28" i="30"/>
  <c r="M28" i="30"/>
  <c r="K28" i="30"/>
  <c r="X27" i="30"/>
  <c r="W27" i="30"/>
  <c r="V27" i="30"/>
  <c r="U27" i="30"/>
  <c r="T27" i="30"/>
  <c r="S27" i="30"/>
  <c r="Q27" i="30"/>
  <c r="O27" i="30"/>
  <c r="M27" i="30"/>
  <c r="K27" i="30"/>
  <c r="X26" i="30"/>
  <c r="W26" i="30"/>
  <c r="V26" i="30"/>
  <c r="U26" i="30"/>
  <c r="T26" i="30"/>
  <c r="S26" i="30"/>
  <c r="Q26" i="30"/>
  <c r="O26" i="30"/>
  <c r="M26" i="30"/>
  <c r="K26" i="30"/>
  <c r="X25" i="30"/>
  <c r="W25" i="30"/>
  <c r="V25" i="30"/>
  <c r="U25" i="30"/>
  <c r="T25" i="30"/>
  <c r="S25" i="30"/>
  <c r="Q25" i="30"/>
  <c r="O25" i="30"/>
  <c r="M25" i="30"/>
  <c r="K25" i="30"/>
  <c r="X24" i="30"/>
  <c r="W24" i="30"/>
  <c r="V24" i="30"/>
  <c r="U24" i="30"/>
  <c r="T24" i="30"/>
  <c r="S24" i="30"/>
  <c r="Q24" i="30"/>
  <c r="O24" i="30"/>
  <c r="M24" i="30"/>
  <c r="K24" i="30"/>
  <c r="X23" i="30"/>
  <c r="W23" i="30"/>
  <c r="V23" i="30"/>
  <c r="U23" i="30"/>
  <c r="T23" i="30"/>
  <c r="S23" i="30"/>
  <c r="Q23" i="30"/>
  <c r="O23" i="30"/>
  <c r="M23" i="30"/>
  <c r="K23" i="30"/>
  <c r="X22" i="30"/>
  <c r="W22" i="30"/>
  <c r="V22" i="30"/>
  <c r="U22" i="30"/>
  <c r="T22" i="30"/>
  <c r="S22" i="30"/>
  <c r="Q22" i="30"/>
  <c r="O22" i="30"/>
  <c r="M22" i="30"/>
  <c r="K22" i="30"/>
  <c r="X21" i="30"/>
  <c r="W21" i="30"/>
  <c r="V21" i="30"/>
  <c r="U21" i="30"/>
  <c r="T21" i="30"/>
  <c r="S21" i="30"/>
  <c r="Q21" i="30"/>
  <c r="O21" i="30"/>
  <c r="M21" i="30"/>
  <c r="K21" i="30"/>
  <c r="X20" i="30"/>
  <c r="W20" i="30"/>
  <c r="V20" i="30"/>
  <c r="U20" i="30"/>
  <c r="T20" i="30"/>
  <c r="S20" i="30"/>
  <c r="Q20" i="30"/>
  <c r="O20" i="30"/>
  <c r="M20" i="30"/>
  <c r="K20" i="30"/>
  <c r="X19" i="30"/>
  <c r="W19" i="30"/>
  <c r="V19" i="30"/>
  <c r="U19" i="30"/>
  <c r="T19" i="30"/>
  <c r="S19" i="30"/>
  <c r="Q19" i="30"/>
  <c r="O19" i="30"/>
  <c r="M19" i="30"/>
  <c r="K19" i="30"/>
  <c r="X18" i="30"/>
  <c r="W18" i="30"/>
  <c r="V18" i="30"/>
  <c r="U18" i="30"/>
  <c r="T18" i="30"/>
  <c r="S18" i="30"/>
  <c r="Q18" i="30"/>
  <c r="O18" i="30"/>
  <c r="M18" i="30"/>
  <c r="K18" i="30"/>
  <c r="X17" i="30"/>
  <c r="W17" i="30"/>
  <c r="V17" i="30"/>
  <c r="U17" i="30"/>
  <c r="T17" i="30"/>
  <c r="S17" i="30"/>
  <c r="Q17" i="30"/>
  <c r="O17" i="30"/>
  <c r="M17" i="30"/>
  <c r="K17" i="30"/>
  <c r="X16" i="30"/>
  <c r="W16" i="30"/>
  <c r="V16" i="30"/>
  <c r="U16" i="30"/>
  <c r="T16" i="30"/>
  <c r="S16" i="30"/>
  <c r="Q16" i="30"/>
  <c r="O16" i="30"/>
  <c r="M16" i="30"/>
  <c r="K16" i="30"/>
  <c r="X15" i="30"/>
  <c r="W15" i="30"/>
  <c r="V15" i="30"/>
  <c r="U15" i="30"/>
  <c r="T15" i="30"/>
  <c r="S15" i="30"/>
  <c r="Q15" i="30"/>
  <c r="O15" i="30"/>
  <c r="M15" i="30"/>
  <c r="K15" i="30"/>
  <c r="X14" i="30"/>
  <c r="W14" i="30"/>
  <c r="V14" i="30"/>
  <c r="U14" i="30"/>
  <c r="T14" i="30"/>
  <c r="S14" i="30"/>
  <c r="Q14" i="30"/>
  <c r="O14" i="30"/>
  <c r="M14" i="30"/>
  <c r="K14" i="30"/>
  <c r="X13" i="30"/>
  <c r="W13" i="30"/>
  <c r="V13" i="30"/>
  <c r="U13" i="30"/>
  <c r="T13" i="30"/>
  <c r="S13" i="30"/>
  <c r="Q13" i="30"/>
  <c r="O13" i="30"/>
  <c r="M13" i="30"/>
  <c r="K13" i="30"/>
  <c r="X12" i="30"/>
  <c r="W12" i="30"/>
  <c r="V12" i="30"/>
  <c r="U12" i="30"/>
  <c r="T12" i="30"/>
  <c r="S12" i="30"/>
  <c r="Q12" i="30"/>
  <c r="O12" i="30"/>
  <c r="M12" i="30"/>
  <c r="K12" i="30"/>
  <c r="X11" i="30"/>
  <c r="W11" i="30"/>
  <c r="V11" i="30"/>
  <c r="U11" i="30"/>
  <c r="T11" i="30"/>
  <c r="S11" i="30"/>
  <c r="Q11" i="30"/>
  <c r="O11" i="30"/>
  <c r="M11" i="30"/>
  <c r="K11" i="30"/>
  <c r="X10" i="30"/>
  <c r="W10" i="30"/>
  <c r="V10" i="30"/>
  <c r="U10" i="30"/>
  <c r="T10" i="30"/>
  <c r="S10" i="30"/>
  <c r="Q10" i="30"/>
  <c r="O10" i="30"/>
  <c r="M10" i="30"/>
  <c r="K10" i="30"/>
  <c r="X9" i="30"/>
  <c r="W9" i="30"/>
  <c r="V9" i="30"/>
  <c r="U9" i="30"/>
  <c r="T9" i="30"/>
  <c r="S9" i="30"/>
  <c r="Q9" i="30"/>
  <c r="O9" i="30"/>
  <c r="M9" i="30"/>
  <c r="K9" i="30"/>
  <c r="X8" i="30"/>
  <c r="W8" i="30"/>
  <c r="V8" i="30"/>
  <c r="U8" i="30"/>
  <c r="T8" i="30"/>
  <c r="S8" i="30"/>
  <c r="Q8" i="30"/>
  <c r="O8" i="30"/>
  <c r="M8" i="30"/>
  <c r="K8" i="30"/>
  <c r="X7" i="30"/>
  <c r="W7" i="30"/>
  <c r="V7" i="30"/>
  <c r="U7" i="30"/>
  <c r="T7" i="30"/>
  <c r="S7" i="30"/>
  <c r="Q7" i="30"/>
  <c r="O7" i="30"/>
  <c r="M7" i="30"/>
  <c r="K7" i="30"/>
  <c r="X326" i="29"/>
  <c r="W326" i="29"/>
  <c r="V326" i="29"/>
  <c r="U326" i="29"/>
  <c r="T326" i="29"/>
  <c r="S326" i="29"/>
  <c r="Q326" i="29"/>
  <c r="O326" i="29"/>
  <c r="M326" i="29"/>
  <c r="K326" i="29"/>
  <c r="X325" i="29"/>
  <c r="W325" i="29"/>
  <c r="V325" i="29"/>
  <c r="U325" i="29"/>
  <c r="T325" i="29"/>
  <c r="S325" i="29"/>
  <c r="Q325" i="29"/>
  <c r="O325" i="29"/>
  <c r="M325" i="29"/>
  <c r="K325" i="29"/>
  <c r="X324" i="29"/>
  <c r="W324" i="29"/>
  <c r="V324" i="29"/>
  <c r="U324" i="29"/>
  <c r="T324" i="29"/>
  <c r="S324" i="29"/>
  <c r="Q324" i="29"/>
  <c r="O324" i="29"/>
  <c r="M324" i="29"/>
  <c r="K324" i="29"/>
  <c r="X323" i="29"/>
  <c r="W323" i="29"/>
  <c r="V323" i="29"/>
  <c r="U323" i="29"/>
  <c r="T323" i="29"/>
  <c r="S323" i="29"/>
  <c r="Q323" i="29"/>
  <c r="O323" i="29"/>
  <c r="M323" i="29"/>
  <c r="K323" i="29"/>
  <c r="X322" i="29"/>
  <c r="W322" i="29"/>
  <c r="V322" i="29"/>
  <c r="U322" i="29"/>
  <c r="T322" i="29"/>
  <c r="S322" i="29"/>
  <c r="Q322" i="29"/>
  <c r="O322" i="29"/>
  <c r="M322" i="29"/>
  <c r="K322" i="29"/>
  <c r="X321" i="29"/>
  <c r="W321" i="29"/>
  <c r="V321" i="29"/>
  <c r="U321" i="29"/>
  <c r="T321" i="29"/>
  <c r="S321" i="29"/>
  <c r="Q321" i="29"/>
  <c r="O321" i="29"/>
  <c r="M321" i="29"/>
  <c r="K321" i="29"/>
  <c r="X320" i="29"/>
  <c r="W320" i="29"/>
  <c r="V320" i="29"/>
  <c r="U320" i="29"/>
  <c r="T320" i="29"/>
  <c r="S320" i="29"/>
  <c r="Q320" i="29"/>
  <c r="O320" i="29"/>
  <c r="M320" i="29"/>
  <c r="K320" i="29"/>
  <c r="X319" i="29"/>
  <c r="W319" i="29"/>
  <c r="V319" i="29"/>
  <c r="U319" i="29"/>
  <c r="T319" i="29"/>
  <c r="S319" i="29"/>
  <c r="Q319" i="29"/>
  <c r="O319" i="29"/>
  <c r="M319" i="29"/>
  <c r="K319" i="29"/>
  <c r="X318" i="29"/>
  <c r="W318" i="29"/>
  <c r="V318" i="29"/>
  <c r="U318" i="29"/>
  <c r="T318" i="29"/>
  <c r="S318" i="29"/>
  <c r="Q318" i="29"/>
  <c r="O318" i="29"/>
  <c r="M318" i="29"/>
  <c r="K318" i="29"/>
  <c r="X317" i="29"/>
  <c r="W317" i="29"/>
  <c r="V317" i="29"/>
  <c r="U317" i="29"/>
  <c r="T317" i="29"/>
  <c r="S317" i="29"/>
  <c r="Q317" i="29"/>
  <c r="O317" i="29"/>
  <c r="M317" i="29"/>
  <c r="K317" i="29"/>
  <c r="X316" i="29"/>
  <c r="W316" i="29"/>
  <c r="V316" i="29"/>
  <c r="U316" i="29"/>
  <c r="T316" i="29"/>
  <c r="S316" i="29"/>
  <c r="Q316" i="29"/>
  <c r="O316" i="29"/>
  <c r="M316" i="29"/>
  <c r="K316" i="29"/>
  <c r="X315" i="29"/>
  <c r="W315" i="29"/>
  <c r="V315" i="29"/>
  <c r="U315" i="29"/>
  <c r="T315" i="29"/>
  <c r="S315" i="29"/>
  <c r="Q315" i="29"/>
  <c r="O315" i="29"/>
  <c r="M315" i="29"/>
  <c r="K315" i="29"/>
  <c r="X314" i="29"/>
  <c r="W314" i="29"/>
  <c r="V314" i="29"/>
  <c r="U314" i="29"/>
  <c r="T314" i="29"/>
  <c r="S314" i="29"/>
  <c r="Q314" i="29"/>
  <c r="O314" i="29"/>
  <c r="M314" i="29"/>
  <c r="K314" i="29"/>
  <c r="X313" i="29"/>
  <c r="W313" i="29"/>
  <c r="V313" i="29"/>
  <c r="U313" i="29"/>
  <c r="T313" i="29"/>
  <c r="S313" i="29"/>
  <c r="Q313" i="29"/>
  <c r="O313" i="29"/>
  <c r="M313" i="29"/>
  <c r="K313" i="29"/>
  <c r="X312" i="29"/>
  <c r="W312" i="29"/>
  <c r="V312" i="29"/>
  <c r="U312" i="29"/>
  <c r="T312" i="29"/>
  <c r="S312" i="29"/>
  <c r="Q312" i="29"/>
  <c r="O312" i="29"/>
  <c r="M312" i="29"/>
  <c r="K312" i="29"/>
  <c r="X311" i="29"/>
  <c r="W311" i="29"/>
  <c r="V311" i="29"/>
  <c r="U311" i="29"/>
  <c r="T311" i="29"/>
  <c r="S311" i="29"/>
  <c r="Q311" i="29"/>
  <c r="O311" i="29"/>
  <c r="M311" i="29"/>
  <c r="K311" i="29"/>
  <c r="X310" i="29"/>
  <c r="W310" i="29"/>
  <c r="V310" i="29"/>
  <c r="U310" i="29"/>
  <c r="T310" i="29"/>
  <c r="S310" i="29"/>
  <c r="Q310" i="29"/>
  <c r="O310" i="29"/>
  <c r="M310" i="29"/>
  <c r="K310" i="29"/>
  <c r="X309" i="29"/>
  <c r="W309" i="29"/>
  <c r="V309" i="29"/>
  <c r="U309" i="29"/>
  <c r="T309" i="29"/>
  <c r="S309" i="29"/>
  <c r="Q309" i="29"/>
  <c r="O309" i="29"/>
  <c r="M309" i="29"/>
  <c r="K309" i="29"/>
  <c r="X308" i="29"/>
  <c r="W308" i="29"/>
  <c r="V308" i="29"/>
  <c r="U308" i="29"/>
  <c r="T308" i="29"/>
  <c r="S308" i="29"/>
  <c r="Q308" i="29"/>
  <c r="O308" i="29"/>
  <c r="M308" i="29"/>
  <c r="K308" i="29"/>
  <c r="X307" i="29"/>
  <c r="W307" i="29"/>
  <c r="V307" i="29"/>
  <c r="U307" i="29"/>
  <c r="T307" i="29"/>
  <c r="S307" i="29"/>
  <c r="Q307" i="29"/>
  <c r="O307" i="29"/>
  <c r="M307" i="29"/>
  <c r="K307" i="29"/>
  <c r="X306" i="29"/>
  <c r="W306" i="29"/>
  <c r="V306" i="29"/>
  <c r="U306" i="29"/>
  <c r="T306" i="29"/>
  <c r="S306" i="29"/>
  <c r="Q306" i="29"/>
  <c r="O306" i="29"/>
  <c r="M306" i="29"/>
  <c r="K306" i="29"/>
  <c r="X305" i="29"/>
  <c r="W305" i="29"/>
  <c r="V305" i="29"/>
  <c r="U305" i="29"/>
  <c r="T305" i="29"/>
  <c r="S305" i="29"/>
  <c r="Q305" i="29"/>
  <c r="O305" i="29"/>
  <c r="M305" i="29"/>
  <c r="K305" i="29"/>
  <c r="X304" i="29"/>
  <c r="W304" i="29"/>
  <c r="V304" i="29"/>
  <c r="U304" i="29"/>
  <c r="T304" i="29"/>
  <c r="S304" i="29"/>
  <c r="Q304" i="29"/>
  <c r="O304" i="29"/>
  <c r="M304" i="29"/>
  <c r="K304" i="29"/>
  <c r="X303" i="29"/>
  <c r="W303" i="29"/>
  <c r="V303" i="29"/>
  <c r="U303" i="29"/>
  <c r="T303" i="29"/>
  <c r="S303" i="29"/>
  <c r="Q303" i="29"/>
  <c r="O303" i="29"/>
  <c r="M303" i="29"/>
  <c r="K303" i="29"/>
  <c r="X302" i="29"/>
  <c r="W302" i="29"/>
  <c r="V302" i="29"/>
  <c r="U302" i="29"/>
  <c r="T302" i="29"/>
  <c r="S302" i="29"/>
  <c r="Q302" i="29"/>
  <c r="O302" i="29"/>
  <c r="M302" i="29"/>
  <c r="K302" i="29"/>
  <c r="X301" i="29"/>
  <c r="W301" i="29"/>
  <c r="V301" i="29"/>
  <c r="U301" i="29"/>
  <c r="T301" i="29"/>
  <c r="S301" i="29"/>
  <c r="Q301" i="29"/>
  <c r="O301" i="29"/>
  <c r="M301" i="29"/>
  <c r="K301" i="29"/>
  <c r="X300" i="29"/>
  <c r="W300" i="29"/>
  <c r="V300" i="29"/>
  <c r="U300" i="29"/>
  <c r="T300" i="29"/>
  <c r="S300" i="29"/>
  <c r="Q300" i="29"/>
  <c r="O300" i="29"/>
  <c r="M300" i="29"/>
  <c r="K300" i="29"/>
  <c r="X299" i="29"/>
  <c r="W299" i="29"/>
  <c r="V299" i="29"/>
  <c r="U299" i="29"/>
  <c r="T299" i="29"/>
  <c r="S299" i="29"/>
  <c r="Q299" i="29"/>
  <c r="O299" i="29"/>
  <c r="M299" i="29"/>
  <c r="K299" i="29"/>
  <c r="X298" i="29"/>
  <c r="W298" i="29"/>
  <c r="V298" i="29"/>
  <c r="U298" i="29"/>
  <c r="T298" i="29"/>
  <c r="S298" i="29"/>
  <c r="Q298" i="29"/>
  <c r="O298" i="29"/>
  <c r="M298" i="29"/>
  <c r="K298" i="29"/>
  <c r="X297" i="29"/>
  <c r="W297" i="29"/>
  <c r="V297" i="29"/>
  <c r="U297" i="29"/>
  <c r="T297" i="29"/>
  <c r="S297" i="29"/>
  <c r="Q297" i="29"/>
  <c r="O297" i="29"/>
  <c r="M297" i="29"/>
  <c r="K297" i="29"/>
  <c r="X296" i="29"/>
  <c r="W296" i="29"/>
  <c r="V296" i="29"/>
  <c r="U296" i="29"/>
  <c r="T296" i="29"/>
  <c r="S296" i="29"/>
  <c r="Q296" i="29"/>
  <c r="O296" i="29"/>
  <c r="M296" i="29"/>
  <c r="K296" i="29"/>
  <c r="X295" i="29"/>
  <c r="W295" i="29"/>
  <c r="V295" i="29"/>
  <c r="U295" i="29"/>
  <c r="T295" i="29"/>
  <c r="S295" i="29"/>
  <c r="Q295" i="29"/>
  <c r="O295" i="29"/>
  <c r="M295" i="29"/>
  <c r="K295" i="29"/>
  <c r="X294" i="29"/>
  <c r="W294" i="29"/>
  <c r="V294" i="29"/>
  <c r="U294" i="29"/>
  <c r="T294" i="29"/>
  <c r="S294" i="29"/>
  <c r="Q294" i="29"/>
  <c r="O294" i="29"/>
  <c r="M294" i="29"/>
  <c r="K294" i="29"/>
  <c r="X293" i="29"/>
  <c r="W293" i="29"/>
  <c r="V293" i="29"/>
  <c r="U293" i="29"/>
  <c r="T293" i="29"/>
  <c r="S293" i="29"/>
  <c r="Q293" i="29"/>
  <c r="O293" i="29"/>
  <c r="M293" i="29"/>
  <c r="K293" i="29"/>
  <c r="X292" i="29"/>
  <c r="W292" i="29"/>
  <c r="V292" i="29"/>
  <c r="U292" i="29"/>
  <c r="T292" i="29"/>
  <c r="S292" i="29"/>
  <c r="Q292" i="29"/>
  <c r="O292" i="29"/>
  <c r="M292" i="29"/>
  <c r="K292" i="29"/>
  <c r="X291" i="29"/>
  <c r="W291" i="29"/>
  <c r="V291" i="29"/>
  <c r="U291" i="29"/>
  <c r="T291" i="29"/>
  <c r="S291" i="29"/>
  <c r="Q291" i="29"/>
  <c r="O291" i="29"/>
  <c r="M291" i="29"/>
  <c r="K291" i="29"/>
  <c r="X290" i="29"/>
  <c r="W290" i="29"/>
  <c r="V290" i="29"/>
  <c r="U290" i="29"/>
  <c r="T290" i="29"/>
  <c r="S290" i="29"/>
  <c r="Q290" i="29"/>
  <c r="O290" i="29"/>
  <c r="M290" i="29"/>
  <c r="K290" i="29"/>
  <c r="X289" i="29"/>
  <c r="W289" i="29"/>
  <c r="V289" i="29"/>
  <c r="U289" i="29"/>
  <c r="T289" i="29"/>
  <c r="S289" i="29"/>
  <c r="Q289" i="29"/>
  <c r="O289" i="29"/>
  <c r="M289" i="29"/>
  <c r="K289" i="29"/>
  <c r="X288" i="29"/>
  <c r="W288" i="29"/>
  <c r="V288" i="29"/>
  <c r="U288" i="29"/>
  <c r="T288" i="29"/>
  <c r="S288" i="29"/>
  <c r="Q288" i="29"/>
  <c r="O288" i="29"/>
  <c r="M288" i="29"/>
  <c r="K288" i="29"/>
  <c r="X287" i="29"/>
  <c r="W287" i="29"/>
  <c r="V287" i="29"/>
  <c r="U287" i="29"/>
  <c r="T287" i="29"/>
  <c r="S287" i="29"/>
  <c r="Q287" i="29"/>
  <c r="O287" i="29"/>
  <c r="M287" i="29"/>
  <c r="K287" i="29"/>
  <c r="X286" i="29"/>
  <c r="W286" i="29"/>
  <c r="V286" i="29"/>
  <c r="U286" i="29"/>
  <c r="T286" i="29"/>
  <c r="S286" i="29"/>
  <c r="Q286" i="29"/>
  <c r="O286" i="29"/>
  <c r="M286" i="29"/>
  <c r="K286" i="29"/>
  <c r="X285" i="29"/>
  <c r="W285" i="29"/>
  <c r="V285" i="29"/>
  <c r="U285" i="29"/>
  <c r="T285" i="29"/>
  <c r="S285" i="29"/>
  <c r="Q285" i="29"/>
  <c r="O285" i="29"/>
  <c r="M285" i="29"/>
  <c r="K285" i="29"/>
  <c r="X284" i="29"/>
  <c r="W284" i="29"/>
  <c r="V284" i="29"/>
  <c r="U284" i="29"/>
  <c r="T284" i="29"/>
  <c r="S284" i="29"/>
  <c r="Q284" i="29"/>
  <c r="O284" i="29"/>
  <c r="M284" i="29"/>
  <c r="K284" i="29"/>
  <c r="X283" i="29"/>
  <c r="W283" i="29"/>
  <c r="V283" i="29"/>
  <c r="U283" i="29"/>
  <c r="T283" i="29"/>
  <c r="S283" i="29"/>
  <c r="Q283" i="29"/>
  <c r="O283" i="29"/>
  <c r="M283" i="29"/>
  <c r="K283" i="29"/>
  <c r="X282" i="29"/>
  <c r="W282" i="29"/>
  <c r="V282" i="29"/>
  <c r="U282" i="29"/>
  <c r="T282" i="29"/>
  <c r="S282" i="29"/>
  <c r="Q282" i="29"/>
  <c r="O282" i="29"/>
  <c r="M282" i="29"/>
  <c r="K282" i="29"/>
  <c r="X281" i="29"/>
  <c r="W281" i="29"/>
  <c r="V281" i="29"/>
  <c r="U281" i="29"/>
  <c r="T281" i="29"/>
  <c r="S281" i="29"/>
  <c r="Q281" i="29"/>
  <c r="O281" i="29"/>
  <c r="M281" i="29"/>
  <c r="K281" i="29"/>
  <c r="X280" i="29"/>
  <c r="W280" i="29"/>
  <c r="V280" i="29"/>
  <c r="U280" i="29"/>
  <c r="T280" i="29"/>
  <c r="S280" i="29"/>
  <c r="Q280" i="29"/>
  <c r="O280" i="29"/>
  <c r="M280" i="29"/>
  <c r="K280" i="29"/>
  <c r="X279" i="29"/>
  <c r="W279" i="29"/>
  <c r="V279" i="29"/>
  <c r="U279" i="29"/>
  <c r="T279" i="29"/>
  <c r="S279" i="29"/>
  <c r="Q279" i="29"/>
  <c r="O279" i="29"/>
  <c r="M279" i="29"/>
  <c r="K279" i="29"/>
  <c r="X278" i="29"/>
  <c r="W278" i="29"/>
  <c r="V278" i="29"/>
  <c r="U278" i="29"/>
  <c r="T278" i="29"/>
  <c r="S278" i="29"/>
  <c r="Q278" i="29"/>
  <c r="O278" i="29"/>
  <c r="M278" i="29"/>
  <c r="K278" i="29"/>
  <c r="X277" i="29"/>
  <c r="W277" i="29"/>
  <c r="V277" i="29"/>
  <c r="U277" i="29"/>
  <c r="T277" i="29"/>
  <c r="S277" i="29"/>
  <c r="Q277" i="29"/>
  <c r="O277" i="29"/>
  <c r="M277" i="29"/>
  <c r="K277" i="29"/>
  <c r="X276" i="29"/>
  <c r="W276" i="29"/>
  <c r="V276" i="29"/>
  <c r="U276" i="29"/>
  <c r="T276" i="29"/>
  <c r="S276" i="29"/>
  <c r="Q276" i="29"/>
  <c r="O276" i="29"/>
  <c r="M276" i="29"/>
  <c r="K276" i="29"/>
  <c r="X275" i="29"/>
  <c r="W275" i="29"/>
  <c r="V275" i="29"/>
  <c r="U275" i="29"/>
  <c r="T275" i="29"/>
  <c r="S275" i="29"/>
  <c r="Q275" i="29"/>
  <c r="O275" i="29"/>
  <c r="M275" i="29"/>
  <c r="K275" i="29"/>
  <c r="X274" i="29"/>
  <c r="W274" i="29"/>
  <c r="V274" i="29"/>
  <c r="U274" i="29"/>
  <c r="T274" i="29"/>
  <c r="S274" i="29"/>
  <c r="Q274" i="29"/>
  <c r="O274" i="29"/>
  <c r="M274" i="29"/>
  <c r="K274" i="29"/>
  <c r="X273" i="29"/>
  <c r="W273" i="29"/>
  <c r="V273" i="29"/>
  <c r="U273" i="29"/>
  <c r="T273" i="29"/>
  <c r="S273" i="29"/>
  <c r="Q273" i="29"/>
  <c r="O273" i="29"/>
  <c r="M273" i="29"/>
  <c r="K273" i="29"/>
  <c r="X272" i="29"/>
  <c r="W272" i="29"/>
  <c r="V272" i="29"/>
  <c r="U272" i="29"/>
  <c r="T272" i="29"/>
  <c r="S272" i="29"/>
  <c r="Q272" i="29"/>
  <c r="O272" i="29"/>
  <c r="M272" i="29"/>
  <c r="K272" i="29"/>
  <c r="X271" i="29"/>
  <c r="W271" i="29"/>
  <c r="V271" i="29"/>
  <c r="U271" i="29"/>
  <c r="T271" i="29"/>
  <c r="S271" i="29"/>
  <c r="Q271" i="29"/>
  <c r="O271" i="29"/>
  <c r="M271" i="29"/>
  <c r="K271" i="29"/>
  <c r="X270" i="29"/>
  <c r="W270" i="29"/>
  <c r="V270" i="29"/>
  <c r="U270" i="29"/>
  <c r="T270" i="29"/>
  <c r="S270" i="29"/>
  <c r="Q270" i="29"/>
  <c r="O270" i="29"/>
  <c r="M270" i="29"/>
  <c r="K270" i="29"/>
  <c r="X269" i="29"/>
  <c r="W269" i="29"/>
  <c r="V269" i="29"/>
  <c r="U269" i="29"/>
  <c r="T269" i="29"/>
  <c r="S269" i="29"/>
  <c r="Q269" i="29"/>
  <c r="O269" i="29"/>
  <c r="M269" i="29"/>
  <c r="K269" i="29"/>
  <c r="X268" i="29"/>
  <c r="W268" i="29"/>
  <c r="V268" i="29"/>
  <c r="U268" i="29"/>
  <c r="T268" i="29"/>
  <c r="S268" i="29"/>
  <c r="Q268" i="29"/>
  <c r="O268" i="29"/>
  <c r="M268" i="29"/>
  <c r="K268" i="29"/>
  <c r="X267" i="29"/>
  <c r="W267" i="29"/>
  <c r="V267" i="29"/>
  <c r="U267" i="29"/>
  <c r="T267" i="29"/>
  <c r="S267" i="29"/>
  <c r="Q267" i="29"/>
  <c r="O267" i="29"/>
  <c r="M267" i="29"/>
  <c r="K267" i="29"/>
  <c r="X266" i="29"/>
  <c r="W266" i="29"/>
  <c r="V266" i="29"/>
  <c r="U266" i="29"/>
  <c r="T266" i="29"/>
  <c r="S266" i="29"/>
  <c r="Q266" i="29"/>
  <c r="O266" i="29"/>
  <c r="M266" i="29"/>
  <c r="K266" i="29"/>
  <c r="X265" i="29"/>
  <c r="W265" i="29"/>
  <c r="V265" i="29"/>
  <c r="U265" i="29"/>
  <c r="T265" i="29"/>
  <c r="S265" i="29"/>
  <c r="Q265" i="29"/>
  <c r="O265" i="29"/>
  <c r="M265" i="29"/>
  <c r="K265" i="29"/>
  <c r="X264" i="29"/>
  <c r="W264" i="29"/>
  <c r="V264" i="29"/>
  <c r="U264" i="29"/>
  <c r="T264" i="29"/>
  <c r="S264" i="29"/>
  <c r="Q264" i="29"/>
  <c r="O264" i="29"/>
  <c r="M264" i="29"/>
  <c r="K264" i="29"/>
  <c r="X263" i="29"/>
  <c r="W263" i="29"/>
  <c r="V263" i="29"/>
  <c r="U263" i="29"/>
  <c r="T263" i="29"/>
  <c r="S263" i="29"/>
  <c r="Q263" i="29"/>
  <c r="O263" i="29"/>
  <c r="M263" i="29"/>
  <c r="K263" i="29"/>
  <c r="X262" i="29"/>
  <c r="W262" i="29"/>
  <c r="V262" i="29"/>
  <c r="U262" i="29"/>
  <c r="T262" i="29"/>
  <c r="S262" i="29"/>
  <c r="Q262" i="29"/>
  <c r="O262" i="29"/>
  <c r="M262" i="29"/>
  <c r="K262" i="29"/>
  <c r="X261" i="29"/>
  <c r="W261" i="29"/>
  <c r="V261" i="29"/>
  <c r="U261" i="29"/>
  <c r="T261" i="29"/>
  <c r="S261" i="29"/>
  <c r="Q261" i="29"/>
  <c r="O261" i="29"/>
  <c r="M261" i="29"/>
  <c r="K261" i="29"/>
  <c r="X260" i="29"/>
  <c r="W260" i="29"/>
  <c r="V260" i="29"/>
  <c r="U260" i="29"/>
  <c r="T260" i="29"/>
  <c r="S260" i="29"/>
  <c r="Q260" i="29"/>
  <c r="O260" i="29"/>
  <c r="M260" i="29"/>
  <c r="K260" i="29"/>
  <c r="X259" i="29"/>
  <c r="W259" i="29"/>
  <c r="V259" i="29"/>
  <c r="U259" i="29"/>
  <c r="T259" i="29"/>
  <c r="S259" i="29"/>
  <c r="Q259" i="29"/>
  <c r="O259" i="29"/>
  <c r="M259" i="29"/>
  <c r="K259" i="29"/>
  <c r="X258" i="29"/>
  <c r="W258" i="29"/>
  <c r="V258" i="29"/>
  <c r="U258" i="29"/>
  <c r="T258" i="29"/>
  <c r="S258" i="29"/>
  <c r="Q258" i="29"/>
  <c r="O258" i="29"/>
  <c r="M258" i="29"/>
  <c r="K258" i="29"/>
  <c r="X257" i="29"/>
  <c r="W257" i="29"/>
  <c r="V257" i="29"/>
  <c r="U257" i="29"/>
  <c r="T257" i="29"/>
  <c r="S257" i="29"/>
  <c r="Q257" i="29"/>
  <c r="O257" i="29"/>
  <c r="M257" i="29"/>
  <c r="K257" i="29"/>
  <c r="X256" i="29"/>
  <c r="W256" i="29"/>
  <c r="V256" i="29"/>
  <c r="U256" i="29"/>
  <c r="T256" i="29"/>
  <c r="S256" i="29"/>
  <c r="Q256" i="29"/>
  <c r="O256" i="29"/>
  <c r="M256" i="29"/>
  <c r="K256" i="29"/>
  <c r="X255" i="29"/>
  <c r="W255" i="29"/>
  <c r="V255" i="29"/>
  <c r="U255" i="29"/>
  <c r="T255" i="29"/>
  <c r="S255" i="29"/>
  <c r="Q255" i="29"/>
  <c r="O255" i="29"/>
  <c r="M255" i="29"/>
  <c r="K255" i="29"/>
  <c r="X254" i="29"/>
  <c r="W254" i="29"/>
  <c r="V254" i="29"/>
  <c r="U254" i="29"/>
  <c r="T254" i="29"/>
  <c r="S254" i="29"/>
  <c r="Q254" i="29"/>
  <c r="O254" i="29"/>
  <c r="M254" i="29"/>
  <c r="K254" i="29"/>
  <c r="X253" i="29"/>
  <c r="W253" i="29"/>
  <c r="V253" i="29"/>
  <c r="U253" i="29"/>
  <c r="T253" i="29"/>
  <c r="S253" i="29"/>
  <c r="Q253" i="29"/>
  <c r="O253" i="29"/>
  <c r="M253" i="29"/>
  <c r="K253" i="29"/>
  <c r="X252" i="29"/>
  <c r="W252" i="29"/>
  <c r="V252" i="29"/>
  <c r="U252" i="29"/>
  <c r="T252" i="29"/>
  <c r="S252" i="29"/>
  <c r="Q252" i="29"/>
  <c r="O252" i="29"/>
  <c r="M252" i="29"/>
  <c r="K252" i="29"/>
  <c r="X251" i="29"/>
  <c r="W251" i="29"/>
  <c r="V251" i="29"/>
  <c r="U251" i="29"/>
  <c r="T251" i="29"/>
  <c r="S251" i="29"/>
  <c r="Q251" i="29"/>
  <c r="O251" i="29"/>
  <c r="M251" i="29"/>
  <c r="K251" i="29"/>
  <c r="X250" i="29"/>
  <c r="W250" i="29"/>
  <c r="V250" i="29"/>
  <c r="U250" i="29"/>
  <c r="T250" i="29"/>
  <c r="S250" i="29"/>
  <c r="Q250" i="29"/>
  <c r="O250" i="29"/>
  <c r="M250" i="29"/>
  <c r="K250" i="29"/>
  <c r="X249" i="29"/>
  <c r="W249" i="29"/>
  <c r="V249" i="29"/>
  <c r="U249" i="29"/>
  <c r="T249" i="29"/>
  <c r="S249" i="29"/>
  <c r="Q249" i="29"/>
  <c r="O249" i="29"/>
  <c r="M249" i="29"/>
  <c r="K249" i="29"/>
  <c r="X248" i="29"/>
  <c r="W248" i="29"/>
  <c r="V248" i="29"/>
  <c r="U248" i="29"/>
  <c r="T248" i="29"/>
  <c r="S248" i="29"/>
  <c r="Q248" i="29"/>
  <c r="O248" i="29"/>
  <c r="M248" i="29"/>
  <c r="K248" i="29"/>
  <c r="X247" i="29"/>
  <c r="W247" i="29"/>
  <c r="V247" i="29"/>
  <c r="U247" i="29"/>
  <c r="T247" i="29"/>
  <c r="S247" i="29"/>
  <c r="Q247" i="29"/>
  <c r="O247" i="29"/>
  <c r="M247" i="29"/>
  <c r="K247" i="29"/>
  <c r="X246" i="29"/>
  <c r="W246" i="29"/>
  <c r="V246" i="29"/>
  <c r="U246" i="29"/>
  <c r="T246" i="29"/>
  <c r="S246" i="29"/>
  <c r="Q246" i="29"/>
  <c r="O246" i="29"/>
  <c r="M246" i="29"/>
  <c r="K246" i="29"/>
  <c r="X245" i="29"/>
  <c r="W245" i="29"/>
  <c r="V245" i="29"/>
  <c r="U245" i="29"/>
  <c r="T245" i="29"/>
  <c r="S245" i="29"/>
  <c r="Q245" i="29"/>
  <c r="O245" i="29"/>
  <c r="M245" i="29"/>
  <c r="K245" i="29"/>
  <c r="X244" i="29"/>
  <c r="W244" i="29"/>
  <c r="V244" i="29"/>
  <c r="U244" i="29"/>
  <c r="T244" i="29"/>
  <c r="S244" i="29"/>
  <c r="Q244" i="29"/>
  <c r="O244" i="29"/>
  <c r="M244" i="29"/>
  <c r="K244" i="29"/>
  <c r="X243" i="29"/>
  <c r="W243" i="29"/>
  <c r="V243" i="29"/>
  <c r="U243" i="29"/>
  <c r="T243" i="29"/>
  <c r="S243" i="29"/>
  <c r="Q243" i="29"/>
  <c r="O243" i="29"/>
  <c r="M243" i="29"/>
  <c r="K243" i="29"/>
  <c r="X242" i="29"/>
  <c r="W242" i="29"/>
  <c r="V242" i="29"/>
  <c r="U242" i="29"/>
  <c r="T242" i="29"/>
  <c r="S242" i="29"/>
  <c r="Q242" i="29"/>
  <c r="O242" i="29"/>
  <c r="M242" i="29"/>
  <c r="K242" i="29"/>
  <c r="X241" i="29"/>
  <c r="W241" i="29"/>
  <c r="V241" i="29"/>
  <c r="U241" i="29"/>
  <c r="T241" i="29"/>
  <c r="S241" i="29"/>
  <c r="Q241" i="29"/>
  <c r="O241" i="29"/>
  <c r="M241" i="29"/>
  <c r="K241" i="29"/>
  <c r="X240" i="29"/>
  <c r="W240" i="29"/>
  <c r="V240" i="29"/>
  <c r="U240" i="29"/>
  <c r="T240" i="29"/>
  <c r="S240" i="29"/>
  <c r="Q240" i="29"/>
  <c r="O240" i="29"/>
  <c r="M240" i="29"/>
  <c r="K240" i="29"/>
  <c r="X239" i="29"/>
  <c r="W239" i="29"/>
  <c r="V239" i="29"/>
  <c r="U239" i="29"/>
  <c r="T239" i="29"/>
  <c r="S239" i="29"/>
  <c r="Q239" i="29"/>
  <c r="O239" i="29"/>
  <c r="M239" i="29"/>
  <c r="K239" i="29"/>
  <c r="X238" i="29"/>
  <c r="W238" i="29"/>
  <c r="V238" i="29"/>
  <c r="U238" i="29"/>
  <c r="T238" i="29"/>
  <c r="S238" i="29"/>
  <c r="Q238" i="29"/>
  <c r="O238" i="29"/>
  <c r="M238" i="29"/>
  <c r="K238" i="29"/>
  <c r="X237" i="29"/>
  <c r="W237" i="29"/>
  <c r="V237" i="29"/>
  <c r="U237" i="29"/>
  <c r="T237" i="29"/>
  <c r="S237" i="29"/>
  <c r="Q237" i="29"/>
  <c r="O237" i="29"/>
  <c r="M237" i="29"/>
  <c r="K237" i="29"/>
  <c r="X236" i="29"/>
  <c r="W236" i="29"/>
  <c r="V236" i="29"/>
  <c r="U236" i="29"/>
  <c r="T236" i="29"/>
  <c r="S236" i="29"/>
  <c r="Q236" i="29"/>
  <c r="O236" i="29"/>
  <c r="M236" i="29"/>
  <c r="K236" i="29"/>
  <c r="X235" i="29"/>
  <c r="W235" i="29"/>
  <c r="V235" i="29"/>
  <c r="U235" i="29"/>
  <c r="T235" i="29"/>
  <c r="S235" i="29"/>
  <c r="Q235" i="29"/>
  <c r="O235" i="29"/>
  <c r="M235" i="29"/>
  <c r="K235" i="29"/>
  <c r="X234" i="29"/>
  <c r="W234" i="29"/>
  <c r="V234" i="29"/>
  <c r="U234" i="29"/>
  <c r="T234" i="29"/>
  <c r="S234" i="29"/>
  <c r="Q234" i="29"/>
  <c r="O234" i="29"/>
  <c r="M234" i="29"/>
  <c r="K234" i="29"/>
  <c r="X233" i="29"/>
  <c r="W233" i="29"/>
  <c r="V233" i="29"/>
  <c r="U233" i="29"/>
  <c r="T233" i="29"/>
  <c r="S233" i="29"/>
  <c r="Q233" i="29"/>
  <c r="O233" i="29"/>
  <c r="M233" i="29"/>
  <c r="K233" i="29"/>
  <c r="X232" i="29"/>
  <c r="W232" i="29"/>
  <c r="V232" i="29"/>
  <c r="U232" i="29"/>
  <c r="T232" i="29"/>
  <c r="S232" i="29"/>
  <c r="Q232" i="29"/>
  <c r="O232" i="29"/>
  <c r="M232" i="29"/>
  <c r="K232" i="29"/>
  <c r="X231" i="29"/>
  <c r="W231" i="29"/>
  <c r="V231" i="29"/>
  <c r="U231" i="29"/>
  <c r="T231" i="29"/>
  <c r="S231" i="29"/>
  <c r="Q231" i="29"/>
  <c r="O231" i="29"/>
  <c r="M231" i="29"/>
  <c r="K231" i="29"/>
  <c r="X230" i="29"/>
  <c r="W230" i="29"/>
  <c r="V230" i="29"/>
  <c r="U230" i="29"/>
  <c r="T230" i="29"/>
  <c r="S230" i="29"/>
  <c r="Q230" i="29"/>
  <c r="O230" i="29"/>
  <c r="M230" i="29"/>
  <c r="K230" i="29"/>
  <c r="X229" i="29"/>
  <c r="W229" i="29"/>
  <c r="V229" i="29"/>
  <c r="U229" i="29"/>
  <c r="T229" i="29"/>
  <c r="S229" i="29"/>
  <c r="Q229" i="29"/>
  <c r="O229" i="29"/>
  <c r="M229" i="29"/>
  <c r="K229" i="29"/>
  <c r="X228" i="29"/>
  <c r="W228" i="29"/>
  <c r="V228" i="29"/>
  <c r="U228" i="29"/>
  <c r="T228" i="29"/>
  <c r="S228" i="29"/>
  <c r="Q228" i="29"/>
  <c r="O228" i="29"/>
  <c r="M228" i="29"/>
  <c r="K228" i="29"/>
  <c r="X227" i="29"/>
  <c r="W227" i="29"/>
  <c r="V227" i="29"/>
  <c r="U227" i="29"/>
  <c r="T227" i="29"/>
  <c r="S227" i="29"/>
  <c r="Q227" i="29"/>
  <c r="O227" i="29"/>
  <c r="M227" i="29"/>
  <c r="K227" i="29"/>
  <c r="X226" i="29"/>
  <c r="W226" i="29"/>
  <c r="V226" i="29"/>
  <c r="U226" i="29"/>
  <c r="T226" i="29"/>
  <c r="S226" i="29"/>
  <c r="Q226" i="29"/>
  <c r="O226" i="29"/>
  <c r="M226" i="29"/>
  <c r="K226" i="29"/>
  <c r="X225" i="29"/>
  <c r="W225" i="29"/>
  <c r="V225" i="29"/>
  <c r="U225" i="29"/>
  <c r="T225" i="29"/>
  <c r="S225" i="29"/>
  <c r="Q225" i="29"/>
  <c r="O225" i="29"/>
  <c r="M225" i="29"/>
  <c r="K225" i="29"/>
  <c r="X224" i="29"/>
  <c r="W224" i="29"/>
  <c r="V224" i="29"/>
  <c r="U224" i="29"/>
  <c r="T224" i="29"/>
  <c r="S224" i="29"/>
  <c r="Q224" i="29"/>
  <c r="O224" i="29"/>
  <c r="M224" i="29"/>
  <c r="K224" i="29"/>
  <c r="X223" i="29"/>
  <c r="W223" i="29"/>
  <c r="V223" i="29"/>
  <c r="U223" i="29"/>
  <c r="T223" i="29"/>
  <c r="S223" i="29"/>
  <c r="Q223" i="29"/>
  <c r="O223" i="29"/>
  <c r="M223" i="29"/>
  <c r="K223" i="29"/>
  <c r="X222" i="29"/>
  <c r="W222" i="29"/>
  <c r="V222" i="29"/>
  <c r="U222" i="29"/>
  <c r="T222" i="29"/>
  <c r="S222" i="29"/>
  <c r="Q222" i="29"/>
  <c r="O222" i="29"/>
  <c r="M222" i="29"/>
  <c r="K222" i="29"/>
  <c r="X221" i="29"/>
  <c r="W221" i="29"/>
  <c r="V221" i="29"/>
  <c r="U221" i="29"/>
  <c r="T221" i="29"/>
  <c r="S221" i="29"/>
  <c r="Q221" i="29"/>
  <c r="O221" i="29"/>
  <c r="M221" i="29"/>
  <c r="K221" i="29"/>
  <c r="X220" i="29"/>
  <c r="W220" i="29"/>
  <c r="V220" i="29"/>
  <c r="U220" i="29"/>
  <c r="T220" i="29"/>
  <c r="S220" i="29"/>
  <c r="Q220" i="29"/>
  <c r="O220" i="29"/>
  <c r="M220" i="29"/>
  <c r="K220" i="29"/>
  <c r="X219" i="29"/>
  <c r="W219" i="29"/>
  <c r="V219" i="29"/>
  <c r="U219" i="29"/>
  <c r="T219" i="29"/>
  <c r="S219" i="29"/>
  <c r="Q219" i="29"/>
  <c r="O219" i="29"/>
  <c r="M219" i="29"/>
  <c r="K219" i="29"/>
  <c r="X218" i="29"/>
  <c r="W218" i="29"/>
  <c r="V218" i="29"/>
  <c r="U218" i="29"/>
  <c r="T218" i="29"/>
  <c r="S218" i="29"/>
  <c r="Q218" i="29"/>
  <c r="O218" i="29"/>
  <c r="M218" i="29"/>
  <c r="K218" i="29"/>
  <c r="X217" i="29"/>
  <c r="W217" i="29"/>
  <c r="V217" i="29"/>
  <c r="U217" i="29"/>
  <c r="T217" i="29"/>
  <c r="S217" i="29"/>
  <c r="Q217" i="29"/>
  <c r="O217" i="29"/>
  <c r="M217" i="29"/>
  <c r="K217" i="29"/>
  <c r="X216" i="29"/>
  <c r="W216" i="29"/>
  <c r="V216" i="29"/>
  <c r="U216" i="29"/>
  <c r="T216" i="29"/>
  <c r="S216" i="29"/>
  <c r="Q216" i="29"/>
  <c r="O216" i="29"/>
  <c r="M216" i="29"/>
  <c r="K216" i="29"/>
  <c r="X215" i="29"/>
  <c r="W215" i="29"/>
  <c r="V215" i="29"/>
  <c r="U215" i="29"/>
  <c r="T215" i="29"/>
  <c r="S215" i="29"/>
  <c r="Q215" i="29"/>
  <c r="O215" i="29"/>
  <c r="M215" i="29"/>
  <c r="K215" i="29"/>
  <c r="X214" i="29"/>
  <c r="W214" i="29"/>
  <c r="V214" i="29"/>
  <c r="U214" i="29"/>
  <c r="T214" i="29"/>
  <c r="S214" i="29"/>
  <c r="Q214" i="29"/>
  <c r="O214" i="29"/>
  <c r="M214" i="29"/>
  <c r="K214" i="29"/>
  <c r="X213" i="29"/>
  <c r="W213" i="29"/>
  <c r="V213" i="29"/>
  <c r="U213" i="29"/>
  <c r="T213" i="29"/>
  <c r="S213" i="29"/>
  <c r="Q213" i="29"/>
  <c r="O213" i="29"/>
  <c r="M213" i="29"/>
  <c r="K213" i="29"/>
  <c r="X212" i="29"/>
  <c r="W212" i="29"/>
  <c r="V212" i="29"/>
  <c r="U212" i="29"/>
  <c r="T212" i="29"/>
  <c r="S212" i="29"/>
  <c r="Q212" i="29"/>
  <c r="O212" i="29"/>
  <c r="M212" i="29"/>
  <c r="K212" i="29"/>
  <c r="X211" i="29"/>
  <c r="W211" i="29"/>
  <c r="V211" i="29"/>
  <c r="U211" i="29"/>
  <c r="T211" i="29"/>
  <c r="S211" i="29"/>
  <c r="Q211" i="29"/>
  <c r="O211" i="29"/>
  <c r="M211" i="29"/>
  <c r="K211" i="29"/>
  <c r="X210" i="29"/>
  <c r="W210" i="29"/>
  <c r="V210" i="29"/>
  <c r="U210" i="29"/>
  <c r="T210" i="29"/>
  <c r="S210" i="29"/>
  <c r="Q210" i="29"/>
  <c r="O210" i="29"/>
  <c r="M210" i="29"/>
  <c r="K210" i="29"/>
  <c r="X209" i="29"/>
  <c r="W209" i="29"/>
  <c r="V209" i="29"/>
  <c r="U209" i="29"/>
  <c r="T209" i="29"/>
  <c r="S209" i="29"/>
  <c r="Q209" i="29"/>
  <c r="O209" i="29"/>
  <c r="M209" i="29"/>
  <c r="K209" i="29"/>
  <c r="X208" i="29"/>
  <c r="W208" i="29"/>
  <c r="V208" i="29"/>
  <c r="U208" i="29"/>
  <c r="T208" i="29"/>
  <c r="S208" i="29"/>
  <c r="Q208" i="29"/>
  <c r="O208" i="29"/>
  <c r="M208" i="29"/>
  <c r="K208" i="29"/>
  <c r="X207" i="29"/>
  <c r="W207" i="29"/>
  <c r="V207" i="29"/>
  <c r="U207" i="29"/>
  <c r="T207" i="29"/>
  <c r="S207" i="29"/>
  <c r="Q207" i="29"/>
  <c r="O207" i="29"/>
  <c r="M207" i="29"/>
  <c r="K207" i="29"/>
  <c r="X206" i="29"/>
  <c r="W206" i="29"/>
  <c r="V206" i="29"/>
  <c r="U206" i="29"/>
  <c r="T206" i="29"/>
  <c r="S206" i="29"/>
  <c r="Q206" i="29"/>
  <c r="O206" i="29"/>
  <c r="M206" i="29"/>
  <c r="K206" i="29"/>
  <c r="X205" i="29"/>
  <c r="W205" i="29"/>
  <c r="V205" i="29"/>
  <c r="U205" i="29"/>
  <c r="T205" i="29"/>
  <c r="S205" i="29"/>
  <c r="Q205" i="29"/>
  <c r="O205" i="29"/>
  <c r="M205" i="29"/>
  <c r="K205" i="29"/>
  <c r="X204" i="29"/>
  <c r="W204" i="29"/>
  <c r="V204" i="29"/>
  <c r="U204" i="29"/>
  <c r="T204" i="29"/>
  <c r="S204" i="29"/>
  <c r="Q204" i="29"/>
  <c r="O204" i="29"/>
  <c r="M204" i="29"/>
  <c r="K204" i="29"/>
  <c r="X203" i="29"/>
  <c r="W203" i="29"/>
  <c r="V203" i="29"/>
  <c r="U203" i="29"/>
  <c r="T203" i="29"/>
  <c r="S203" i="29"/>
  <c r="Q203" i="29"/>
  <c r="O203" i="29"/>
  <c r="M203" i="29"/>
  <c r="K203" i="29"/>
  <c r="X202" i="29"/>
  <c r="W202" i="29"/>
  <c r="V202" i="29"/>
  <c r="U202" i="29"/>
  <c r="T202" i="29"/>
  <c r="S202" i="29"/>
  <c r="Q202" i="29"/>
  <c r="O202" i="29"/>
  <c r="M202" i="29"/>
  <c r="K202" i="29"/>
  <c r="X201" i="29"/>
  <c r="W201" i="29"/>
  <c r="V201" i="29"/>
  <c r="U201" i="29"/>
  <c r="T201" i="29"/>
  <c r="S201" i="29"/>
  <c r="Q201" i="29"/>
  <c r="O201" i="29"/>
  <c r="M201" i="29"/>
  <c r="K201" i="29"/>
  <c r="X200" i="29"/>
  <c r="W200" i="29"/>
  <c r="V200" i="29"/>
  <c r="U200" i="29"/>
  <c r="T200" i="29"/>
  <c r="S200" i="29"/>
  <c r="Q200" i="29"/>
  <c r="O200" i="29"/>
  <c r="M200" i="29"/>
  <c r="K200" i="29"/>
  <c r="X199" i="29"/>
  <c r="W199" i="29"/>
  <c r="V199" i="29"/>
  <c r="U199" i="29"/>
  <c r="T199" i="29"/>
  <c r="S199" i="29"/>
  <c r="Q199" i="29"/>
  <c r="O199" i="29"/>
  <c r="M199" i="29"/>
  <c r="K199" i="29"/>
  <c r="X198" i="29"/>
  <c r="W198" i="29"/>
  <c r="V198" i="29"/>
  <c r="U198" i="29"/>
  <c r="T198" i="29"/>
  <c r="S198" i="29"/>
  <c r="Q198" i="29"/>
  <c r="O198" i="29"/>
  <c r="M198" i="29"/>
  <c r="K198" i="29"/>
  <c r="X197" i="29"/>
  <c r="W197" i="29"/>
  <c r="V197" i="29"/>
  <c r="U197" i="29"/>
  <c r="T197" i="29"/>
  <c r="S197" i="29"/>
  <c r="Q197" i="29"/>
  <c r="O197" i="29"/>
  <c r="M197" i="29"/>
  <c r="K197" i="29"/>
  <c r="X196" i="29"/>
  <c r="W196" i="29"/>
  <c r="V196" i="29"/>
  <c r="U196" i="29"/>
  <c r="T196" i="29"/>
  <c r="S196" i="29"/>
  <c r="Q196" i="29"/>
  <c r="O196" i="29"/>
  <c r="M196" i="29"/>
  <c r="K196" i="29"/>
  <c r="X195" i="29"/>
  <c r="W195" i="29"/>
  <c r="V195" i="29"/>
  <c r="U195" i="29"/>
  <c r="T195" i="29"/>
  <c r="S195" i="29"/>
  <c r="Q195" i="29"/>
  <c r="O195" i="29"/>
  <c r="M195" i="29"/>
  <c r="K195" i="29"/>
  <c r="X194" i="29"/>
  <c r="W194" i="29"/>
  <c r="V194" i="29"/>
  <c r="U194" i="29"/>
  <c r="T194" i="29"/>
  <c r="S194" i="29"/>
  <c r="Q194" i="29"/>
  <c r="O194" i="29"/>
  <c r="M194" i="29"/>
  <c r="K194" i="29"/>
  <c r="X193" i="29"/>
  <c r="W193" i="29"/>
  <c r="V193" i="29"/>
  <c r="U193" i="29"/>
  <c r="T193" i="29"/>
  <c r="S193" i="29"/>
  <c r="Q193" i="29"/>
  <c r="O193" i="29"/>
  <c r="M193" i="29"/>
  <c r="K193" i="29"/>
  <c r="X192" i="29"/>
  <c r="W192" i="29"/>
  <c r="V192" i="29"/>
  <c r="U192" i="29"/>
  <c r="T192" i="29"/>
  <c r="S192" i="29"/>
  <c r="Q192" i="29"/>
  <c r="O192" i="29"/>
  <c r="M192" i="29"/>
  <c r="K192" i="29"/>
  <c r="X191" i="29"/>
  <c r="W191" i="29"/>
  <c r="V191" i="29"/>
  <c r="U191" i="29"/>
  <c r="T191" i="29"/>
  <c r="S191" i="29"/>
  <c r="Q191" i="29"/>
  <c r="O191" i="29"/>
  <c r="M191" i="29"/>
  <c r="K191" i="29"/>
  <c r="X190" i="29"/>
  <c r="W190" i="29"/>
  <c r="V190" i="29"/>
  <c r="U190" i="29"/>
  <c r="T190" i="29"/>
  <c r="S190" i="29"/>
  <c r="Q190" i="29"/>
  <c r="O190" i="29"/>
  <c r="M190" i="29"/>
  <c r="K190" i="29"/>
  <c r="X189" i="29"/>
  <c r="W189" i="29"/>
  <c r="V189" i="29"/>
  <c r="U189" i="29"/>
  <c r="T189" i="29"/>
  <c r="S189" i="29"/>
  <c r="Q189" i="29"/>
  <c r="O189" i="29"/>
  <c r="M189" i="29"/>
  <c r="K189" i="29"/>
  <c r="X188" i="29"/>
  <c r="W188" i="29"/>
  <c r="V188" i="29"/>
  <c r="U188" i="29"/>
  <c r="T188" i="29"/>
  <c r="S188" i="29"/>
  <c r="Q188" i="29"/>
  <c r="O188" i="29"/>
  <c r="M188" i="29"/>
  <c r="K188" i="29"/>
  <c r="X187" i="29"/>
  <c r="W187" i="29"/>
  <c r="V187" i="29"/>
  <c r="U187" i="29"/>
  <c r="T187" i="29"/>
  <c r="S187" i="29"/>
  <c r="Q187" i="29"/>
  <c r="O187" i="29"/>
  <c r="M187" i="29"/>
  <c r="K187" i="29"/>
  <c r="X186" i="29"/>
  <c r="W186" i="29"/>
  <c r="V186" i="29"/>
  <c r="U186" i="29"/>
  <c r="T186" i="29"/>
  <c r="S186" i="29"/>
  <c r="Q186" i="29"/>
  <c r="O186" i="29"/>
  <c r="M186" i="29"/>
  <c r="K186" i="29"/>
  <c r="X185" i="29"/>
  <c r="W185" i="29"/>
  <c r="V185" i="29"/>
  <c r="U185" i="29"/>
  <c r="T185" i="29"/>
  <c r="S185" i="29"/>
  <c r="Q185" i="29"/>
  <c r="O185" i="29"/>
  <c r="M185" i="29"/>
  <c r="K185" i="29"/>
  <c r="X184" i="29"/>
  <c r="W184" i="29"/>
  <c r="V184" i="29"/>
  <c r="U184" i="29"/>
  <c r="T184" i="29"/>
  <c r="S184" i="29"/>
  <c r="Q184" i="29"/>
  <c r="O184" i="29"/>
  <c r="M184" i="29"/>
  <c r="K184" i="29"/>
  <c r="X183" i="29"/>
  <c r="W183" i="29"/>
  <c r="V183" i="29"/>
  <c r="U183" i="29"/>
  <c r="T183" i="29"/>
  <c r="S183" i="29"/>
  <c r="Q183" i="29"/>
  <c r="O183" i="29"/>
  <c r="M183" i="29"/>
  <c r="K183" i="29"/>
  <c r="X182" i="29"/>
  <c r="W182" i="29"/>
  <c r="V182" i="29"/>
  <c r="U182" i="29"/>
  <c r="T182" i="29"/>
  <c r="S182" i="29"/>
  <c r="Q182" i="29"/>
  <c r="O182" i="29"/>
  <c r="M182" i="29"/>
  <c r="K182" i="29"/>
  <c r="X181" i="29"/>
  <c r="W181" i="29"/>
  <c r="V181" i="29"/>
  <c r="U181" i="29"/>
  <c r="T181" i="29"/>
  <c r="S181" i="29"/>
  <c r="Q181" i="29"/>
  <c r="O181" i="29"/>
  <c r="M181" i="29"/>
  <c r="K181" i="29"/>
  <c r="X180" i="29"/>
  <c r="W180" i="29"/>
  <c r="V180" i="29"/>
  <c r="U180" i="29"/>
  <c r="T180" i="29"/>
  <c r="S180" i="29"/>
  <c r="Q180" i="29"/>
  <c r="O180" i="29"/>
  <c r="M180" i="29"/>
  <c r="K180" i="29"/>
  <c r="X179" i="29"/>
  <c r="W179" i="29"/>
  <c r="V179" i="29"/>
  <c r="U179" i="29"/>
  <c r="T179" i="29"/>
  <c r="S179" i="29"/>
  <c r="Q179" i="29"/>
  <c r="O179" i="29"/>
  <c r="M179" i="29"/>
  <c r="K179" i="29"/>
  <c r="X178" i="29"/>
  <c r="W178" i="29"/>
  <c r="V178" i="29"/>
  <c r="U178" i="29"/>
  <c r="T178" i="29"/>
  <c r="S178" i="29"/>
  <c r="Q178" i="29"/>
  <c r="O178" i="29"/>
  <c r="M178" i="29"/>
  <c r="K178" i="29"/>
  <c r="X177" i="29"/>
  <c r="W177" i="29"/>
  <c r="V177" i="29"/>
  <c r="U177" i="29"/>
  <c r="T177" i="29"/>
  <c r="S177" i="29"/>
  <c r="Q177" i="29"/>
  <c r="O177" i="29"/>
  <c r="M177" i="29"/>
  <c r="K177" i="29"/>
  <c r="X176" i="29"/>
  <c r="W176" i="29"/>
  <c r="V176" i="29"/>
  <c r="U176" i="29"/>
  <c r="T176" i="29"/>
  <c r="S176" i="29"/>
  <c r="Q176" i="29"/>
  <c r="O176" i="29"/>
  <c r="M176" i="29"/>
  <c r="K176" i="29"/>
  <c r="X175" i="29"/>
  <c r="W175" i="29"/>
  <c r="V175" i="29"/>
  <c r="U175" i="29"/>
  <c r="T175" i="29"/>
  <c r="S175" i="29"/>
  <c r="Q175" i="29"/>
  <c r="O175" i="29"/>
  <c r="M175" i="29"/>
  <c r="K175" i="29"/>
  <c r="X174" i="29"/>
  <c r="W174" i="29"/>
  <c r="V174" i="29"/>
  <c r="U174" i="29"/>
  <c r="T174" i="29"/>
  <c r="S174" i="29"/>
  <c r="Q174" i="29"/>
  <c r="O174" i="29"/>
  <c r="M174" i="29"/>
  <c r="K174" i="29"/>
  <c r="X173" i="29"/>
  <c r="W173" i="29"/>
  <c r="V173" i="29"/>
  <c r="U173" i="29"/>
  <c r="T173" i="29"/>
  <c r="S173" i="29"/>
  <c r="Q173" i="29"/>
  <c r="O173" i="29"/>
  <c r="M173" i="29"/>
  <c r="K173" i="29"/>
  <c r="X172" i="29"/>
  <c r="W172" i="29"/>
  <c r="V172" i="29"/>
  <c r="U172" i="29"/>
  <c r="T172" i="29"/>
  <c r="S172" i="29"/>
  <c r="Q172" i="29"/>
  <c r="O172" i="29"/>
  <c r="M172" i="29"/>
  <c r="K172" i="29"/>
  <c r="X171" i="29"/>
  <c r="W171" i="29"/>
  <c r="V171" i="29"/>
  <c r="U171" i="29"/>
  <c r="T171" i="29"/>
  <c r="S171" i="29"/>
  <c r="Q171" i="29"/>
  <c r="O171" i="29"/>
  <c r="M171" i="29"/>
  <c r="K171" i="29"/>
  <c r="X170" i="29"/>
  <c r="W170" i="29"/>
  <c r="V170" i="29"/>
  <c r="U170" i="29"/>
  <c r="T170" i="29"/>
  <c r="S170" i="29"/>
  <c r="Q170" i="29"/>
  <c r="O170" i="29"/>
  <c r="M170" i="29"/>
  <c r="K170" i="29"/>
  <c r="X169" i="29"/>
  <c r="W169" i="29"/>
  <c r="V169" i="29"/>
  <c r="U169" i="29"/>
  <c r="T169" i="29"/>
  <c r="S169" i="29"/>
  <c r="Q169" i="29"/>
  <c r="O169" i="29"/>
  <c r="M169" i="29"/>
  <c r="K169" i="29"/>
  <c r="X168" i="29"/>
  <c r="W168" i="29"/>
  <c r="V168" i="29"/>
  <c r="U168" i="29"/>
  <c r="T168" i="29"/>
  <c r="S168" i="29"/>
  <c r="Q168" i="29"/>
  <c r="O168" i="29"/>
  <c r="M168" i="29"/>
  <c r="K168" i="29"/>
  <c r="X167" i="29"/>
  <c r="W167" i="29"/>
  <c r="V167" i="29"/>
  <c r="U167" i="29"/>
  <c r="T167" i="29"/>
  <c r="S167" i="29"/>
  <c r="Q167" i="29"/>
  <c r="O167" i="29"/>
  <c r="M167" i="29"/>
  <c r="K167" i="29"/>
  <c r="X166" i="29"/>
  <c r="W166" i="29"/>
  <c r="V166" i="29"/>
  <c r="U166" i="29"/>
  <c r="T166" i="29"/>
  <c r="S166" i="29"/>
  <c r="Q166" i="29"/>
  <c r="O166" i="29"/>
  <c r="M166" i="29"/>
  <c r="K166" i="29"/>
  <c r="X165" i="29"/>
  <c r="W165" i="29"/>
  <c r="V165" i="29"/>
  <c r="U165" i="29"/>
  <c r="T165" i="29"/>
  <c r="S165" i="29"/>
  <c r="Q165" i="29"/>
  <c r="O165" i="29"/>
  <c r="M165" i="29"/>
  <c r="K165" i="29"/>
  <c r="X164" i="29"/>
  <c r="W164" i="29"/>
  <c r="V164" i="29"/>
  <c r="U164" i="29"/>
  <c r="T164" i="29"/>
  <c r="S164" i="29"/>
  <c r="Q164" i="29"/>
  <c r="O164" i="29"/>
  <c r="M164" i="29"/>
  <c r="K164" i="29"/>
  <c r="X163" i="29"/>
  <c r="W163" i="29"/>
  <c r="V163" i="29"/>
  <c r="U163" i="29"/>
  <c r="T163" i="29"/>
  <c r="S163" i="29"/>
  <c r="Q163" i="29"/>
  <c r="O163" i="29"/>
  <c r="M163" i="29"/>
  <c r="K163" i="29"/>
  <c r="X162" i="29"/>
  <c r="W162" i="29"/>
  <c r="V162" i="29"/>
  <c r="U162" i="29"/>
  <c r="T162" i="29"/>
  <c r="S162" i="29"/>
  <c r="Q162" i="29"/>
  <c r="O162" i="29"/>
  <c r="M162" i="29"/>
  <c r="K162" i="29"/>
  <c r="X161" i="29"/>
  <c r="W161" i="29"/>
  <c r="V161" i="29"/>
  <c r="U161" i="29"/>
  <c r="T161" i="29"/>
  <c r="S161" i="29"/>
  <c r="Q161" i="29"/>
  <c r="O161" i="29"/>
  <c r="M161" i="29"/>
  <c r="K161" i="29"/>
  <c r="X160" i="29"/>
  <c r="W160" i="29"/>
  <c r="V160" i="29"/>
  <c r="U160" i="29"/>
  <c r="T160" i="29"/>
  <c r="S160" i="29"/>
  <c r="Q160" i="29"/>
  <c r="O160" i="29"/>
  <c r="M160" i="29"/>
  <c r="K160" i="29"/>
  <c r="X159" i="29"/>
  <c r="W159" i="29"/>
  <c r="V159" i="29"/>
  <c r="U159" i="29"/>
  <c r="T159" i="29"/>
  <c r="S159" i="29"/>
  <c r="Q159" i="29"/>
  <c r="O159" i="29"/>
  <c r="M159" i="29"/>
  <c r="K159" i="29"/>
  <c r="X158" i="29"/>
  <c r="W158" i="29"/>
  <c r="V158" i="29"/>
  <c r="U158" i="29"/>
  <c r="T158" i="29"/>
  <c r="S158" i="29"/>
  <c r="Q158" i="29"/>
  <c r="O158" i="29"/>
  <c r="M158" i="29"/>
  <c r="K158" i="29"/>
  <c r="X157" i="29"/>
  <c r="W157" i="29"/>
  <c r="V157" i="29"/>
  <c r="U157" i="29"/>
  <c r="T157" i="29"/>
  <c r="S157" i="29"/>
  <c r="Q157" i="29"/>
  <c r="O157" i="29"/>
  <c r="M157" i="29"/>
  <c r="K157" i="29"/>
  <c r="X156" i="29"/>
  <c r="W156" i="29"/>
  <c r="V156" i="29"/>
  <c r="U156" i="29"/>
  <c r="T156" i="29"/>
  <c r="S156" i="29"/>
  <c r="Q156" i="29"/>
  <c r="O156" i="29"/>
  <c r="M156" i="29"/>
  <c r="K156" i="29"/>
  <c r="X155" i="29"/>
  <c r="W155" i="29"/>
  <c r="V155" i="29"/>
  <c r="U155" i="29"/>
  <c r="T155" i="29"/>
  <c r="S155" i="29"/>
  <c r="Q155" i="29"/>
  <c r="O155" i="29"/>
  <c r="M155" i="29"/>
  <c r="K155" i="29"/>
  <c r="X154" i="29"/>
  <c r="W154" i="29"/>
  <c r="V154" i="29"/>
  <c r="U154" i="29"/>
  <c r="T154" i="29"/>
  <c r="S154" i="29"/>
  <c r="Q154" i="29"/>
  <c r="O154" i="29"/>
  <c r="M154" i="29"/>
  <c r="K154" i="29"/>
  <c r="X153" i="29"/>
  <c r="W153" i="29"/>
  <c r="V153" i="29"/>
  <c r="U153" i="29"/>
  <c r="T153" i="29"/>
  <c r="S153" i="29"/>
  <c r="Q153" i="29"/>
  <c r="O153" i="29"/>
  <c r="M153" i="29"/>
  <c r="K153" i="29"/>
  <c r="X152" i="29"/>
  <c r="W152" i="29"/>
  <c r="V152" i="29"/>
  <c r="U152" i="29"/>
  <c r="T152" i="29"/>
  <c r="S152" i="29"/>
  <c r="Q152" i="29"/>
  <c r="O152" i="29"/>
  <c r="M152" i="29"/>
  <c r="K152" i="29"/>
  <c r="X151" i="29"/>
  <c r="W151" i="29"/>
  <c r="V151" i="29"/>
  <c r="U151" i="29"/>
  <c r="T151" i="29"/>
  <c r="S151" i="29"/>
  <c r="Q151" i="29"/>
  <c r="O151" i="29"/>
  <c r="M151" i="29"/>
  <c r="K151" i="29"/>
  <c r="X150" i="29"/>
  <c r="W150" i="29"/>
  <c r="V150" i="29"/>
  <c r="U150" i="29"/>
  <c r="T150" i="29"/>
  <c r="S150" i="29"/>
  <c r="Q150" i="29"/>
  <c r="O150" i="29"/>
  <c r="M150" i="29"/>
  <c r="K150" i="29"/>
  <c r="X149" i="29"/>
  <c r="W149" i="29"/>
  <c r="V149" i="29"/>
  <c r="U149" i="29"/>
  <c r="T149" i="29"/>
  <c r="S149" i="29"/>
  <c r="Q149" i="29"/>
  <c r="O149" i="29"/>
  <c r="M149" i="29"/>
  <c r="K149" i="29"/>
  <c r="X148" i="29"/>
  <c r="W148" i="29"/>
  <c r="V148" i="29"/>
  <c r="U148" i="29"/>
  <c r="T148" i="29"/>
  <c r="S148" i="29"/>
  <c r="Q148" i="29"/>
  <c r="O148" i="29"/>
  <c r="M148" i="29"/>
  <c r="K148" i="29"/>
  <c r="X147" i="29"/>
  <c r="W147" i="29"/>
  <c r="V147" i="29"/>
  <c r="U147" i="29"/>
  <c r="T147" i="29"/>
  <c r="S147" i="29"/>
  <c r="Q147" i="29"/>
  <c r="O147" i="29"/>
  <c r="M147" i="29"/>
  <c r="K147" i="29"/>
  <c r="X146" i="29"/>
  <c r="W146" i="29"/>
  <c r="V146" i="29"/>
  <c r="U146" i="29"/>
  <c r="T146" i="29"/>
  <c r="S146" i="29"/>
  <c r="Q146" i="29"/>
  <c r="O146" i="29"/>
  <c r="M146" i="29"/>
  <c r="K146" i="29"/>
  <c r="X145" i="29"/>
  <c r="W145" i="29"/>
  <c r="V145" i="29"/>
  <c r="U145" i="29"/>
  <c r="T145" i="29"/>
  <c r="S145" i="29"/>
  <c r="Q145" i="29"/>
  <c r="O145" i="29"/>
  <c r="M145" i="29"/>
  <c r="K145" i="29"/>
  <c r="X144" i="29"/>
  <c r="W144" i="29"/>
  <c r="V144" i="29"/>
  <c r="U144" i="29"/>
  <c r="T144" i="29"/>
  <c r="S144" i="29"/>
  <c r="Q144" i="29"/>
  <c r="O144" i="29"/>
  <c r="M144" i="29"/>
  <c r="K144" i="29"/>
  <c r="X143" i="29"/>
  <c r="W143" i="29"/>
  <c r="V143" i="29"/>
  <c r="U143" i="29"/>
  <c r="T143" i="29"/>
  <c r="S143" i="29"/>
  <c r="Q143" i="29"/>
  <c r="O143" i="29"/>
  <c r="M143" i="29"/>
  <c r="K143" i="29"/>
  <c r="X142" i="29"/>
  <c r="W142" i="29"/>
  <c r="V142" i="29"/>
  <c r="U142" i="29"/>
  <c r="T142" i="29"/>
  <c r="S142" i="29"/>
  <c r="Q142" i="29"/>
  <c r="O142" i="29"/>
  <c r="M142" i="29"/>
  <c r="K142" i="29"/>
  <c r="X141" i="29"/>
  <c r="W141" i="29"/>
  <c r="V141" i="29"/>
  <c r="U141" i="29"/>
  <c r="T141" i="29"/>
  <c r="S141" i="29"/>
  <c r="Q141" i="29"/>
  <c r="O141" i="29"/>
  <c r="M141" i="29"/>
  <c r="K141" i="29"/>
  <c r="X140" i="29"/>
  <c r="W140" i="29"/>
  <c r="V140" i="29"/>
  <c r="U140" i="29"/>
  <c r="T140" i="29"/>
  <c r="S140" i="29"/>
  <c r="Q140" i="29"/>
  <c r="O140" i="29"/>
  <c r="M140" i="29"/>
  <c r="K140" i="29"/>
  <c r="X139" i="29"/>
  <c r="W139" i="29"/>
  <c r="V139" i="29"/>
  <c r="U139" i="29"/>
  <c r="T139" i="29"/>
  <c r="S139" i="29"/>
  <c r="Q139" i="29"/>
  <c r="O139" i="29"/>
  <c r="M139" i="29"/>
  <c r="K139" i="29"/>
  <c r="X138" i="29"/>
  <c r="W138" i="29"/>
  <c r="V138" i="29"/>
  <c r="U138" i="29"/>
  <c r="T138" i="29"/>
  <c r="S138" i="29"/>
  <c r="Q138" i="29"/>
  <c r="O138" i="29"/>
  <c r="M138" i="29"/>
  <c r="K138" i="29"/>
  <c r="X137" i="29"/>
  <c r="W137" i="29"/>
  <c r="V137" i="29"/>
  <c r="U137" i="29"/>
  <c r="T137" i="29"/>
  <c r="S137" i="29"/>
  <c r="Q137" i="29"/>
  <c r="O137" i="29"/>
  <c r="M137" i="29"/>
  <c r="K137" i="29"/>
  <c r="X136" i="29"/>
  <c r="W136" i="29"/>
  <c r="V136" i="29"/>
  <c r="U136" i="29"/>
  <c r="T136" i="29"/>
  <c r="S136" i="29"/>
  <c r="Q136" i="29"/>
  <c r="O136" i="29"/>
  <c r="M136" i="29"/>
  <c r="K136" i="29"/>
  <c r="X135" i="29"/>
  <c r="W135" i="29"/>
  <c r="V135" i="29"/>
  <c r="U135" i="29"/>
  <c r="T135" i="29"/>
  <c r="S135" i="29"/>
  <c r="Q135" i="29"/>
  <c r="O135" i="29"/>
  <c r="M135" i="29"/>
  <c r="K135" i="29"/>
  <c r="X134" i="29"/>
  <c r="W134" i="29"/>
  <c r="V134" i="29"/>
  <c r="U134" i="29"/>
  <c r="T134" i="29"/>
  <c r="S134" i="29"/>
  <c r="Q134" i="29"/>
  <c r="O134" i="29"/>
  <c r="M134" i="29"/>
  <c r="K134" i="29"/>
  <c r="X133" i="29"/>
  <c r="W133" i="29"/>
  <c r="V133" i="29"/>
  <c r="U133" i="29"/>
  <c r="T133" i="29"/>
  <c r="S133" i="29"/>
  <c r="Q133" i="29"/>
  <c r="O133" i="29"/>
  <c r="M133" i="29"/>
  <c r="K133" i="29"/>
  <c r="X132" i="29"/>
  <c r="W132" i="29"/>
  <c r="V132" i="29"/>
  <c r="U132" i="29"/>
  <c r="T132" i="29"/>
  <c r="S132" i="29"/>
  <c r="Q132" i="29"/>
  <c r="O132" i="29"/>
  <c r="M132" i="29"/>
  <c r="K132" i="29"/>
  <c r="X131" i="29"/>
  <c r="W131" i="29"/>
  <c r="V131" i="29"/>
  <c r="U131" i="29"/>
  <c r="T131" i="29"/>
  <c r="S131" i="29"/>
  <c r="Q131" i="29"/>
  <c r="O131" i="29"/>
  <c r="M131" i="29"/>
  <c r="K131" i="29"/>
  <c r="X130" i="29"/>
  <c r="W130" i="29"/>
  <c r="V130" i="29"/>
  <c r="U130" i="29"/>
  <c r="T130" i="29"/>
  <c r="S130" i="29"/>
  <c r="Q130" i="29"/>
  <c r="O130" i="29"/>
  <c r="M130" i="29"/>
  <c r="K130" i="29"/>
  <c r="X129" i="29"/>
  <c r="W129" i="29"/>
  <c r="V129" i="29"/>
  <c r="U129" i="29"/>
  <c r="T129" i="29"/>
  <c r="S129" i="29"/>
  <c r="Q129" i="29"/>
  <c r="O129" i="29"/>
  <c r="M129" i="29"/>
  <c r="K129" i="29"/>
  <c r="X128" i="29"/>
  <c r="W128" i="29"/>
  <c r="V128" i="29"/>
  <c r="U128" i="29"/>
  <c r="T128" i="29"/>
  <c r="S128" i="29"/>
  <c r="Q128" i="29"/>
  <c r="O128" i="29"/>
  <c r="M128" i="29"/>
  <c r="K128" i="29"/>
  <c r="X127" i="29"/>
  <c r="W127" i="29"/>
  <c r="V127" i="29"/>
  <c r="U127" i="29"/>
  <c r="T127" i="29"/>
  <c r="S127" i="29"/>
  <c r="Q127" i="29"/>
  <c r="O127" i="29"/>
  <c r="M127" i="29"/>
  <c r="K127" i="29"/>
  <c r="X126" i="29"/>
  <c r="W126" i="29"/>
  <c r="V126" i="29"/>
  <c r="U126" i="29"/>
  <c r="T126" i="29"/>
  <c r="S126" i="29"/>
  <c r="Q126" i="29"/>
  <c r="O126" i="29"/>
  <c r="M126" i="29"/>
  <c r="K126" i="29"/>
  <c r="X125" i="29"/>
  <c r="W125" i="29"/>
  <c r="V125" i="29"/>
  <c r="U125" i="29"/>
  <c r="T125" i="29"/>
  <c r="S125" i="29"/>
  <c r="Q125" i="29"/>
  <c r="O125" i="29"/>
  <c r="M125" i="29"/>
  <c r="K125" i="29"/>
  <c r="X124" i="29"/>
  <c r="W124" i="29"/>
  <c r="V124" i="29"/>
  <c r="U124" i="29"/>
  <c r="T124" i="29"/>
  <c r="S124" i="29"/>
  <c r="Q124" i="29"/>
  <c r="O124" i="29"/>
  <c r="M124" i="29"/>
  <c r="K124" i="29"/>
  <c r="X123" i="29"/>
  <c r="W123" i="29"/>
  <c r="V123" i="29"/>
  <c r="U123" i="29"/>
  <c r="T123" i="29"/>
  <c r="S123" i="29"/>
  <c r="Q123" i="29"/>
  <c r="O123" i="29"/>
  <c r="M123" i="29"/>
  <c r="K123" i="29"/>
  <c r="X122" i="29"/>
  <c r="W122" i="29"/>
  <c r="V122" i="29"/>
  <c r="U122" i="29"/>
  <c r="T122" i="29"/>
  <c r="S122" i="29"/>
  <c r="Q122" i="29"/>
  <c r="O122" i="29"/>
  <c r="M122" i="29"/>
  <c r="K122" i="29"/>
  <c r="X121" i="29"/>
  <c r="W121" i="29"/>
  <c r="V121" i="29"/>
  <c r="U121" i="29"/>
  <c r="T121" i="29"/>
  <c r="S121" i="29"/>
  <c r="Q121" i="29"/>
  <c r="O121" i="29"/>
  <c r="M121" i="29"/>
  <c r="K121" i="29"/>
  <c r="X120" i="29"/>
  <c r="W120" i="29"/>
  <c r="V120" i="29"/>
  <c r="U120" i="29"/>
  <c r="T120" i="29"/>
  <c r="S120" i="29"/>
  <c r="Q120" i="29"/>
  <c r="O120" i="29"/>
  <c r="M120" i="29"/>
  <c r="K120" i="29"/>
  <c r="X119" i="29"/>
  <c r="W119" i="29"/>
  <c r="V119" i="29"/>
  <c r="U119" i="29"/>
  <c r="T119" i="29"/>
  <c r="S119" i="29"/>
  <c r="Q119" i="29"/>
  <c r="O119" i="29"/>
  <c r="M119" i="29"/>
  <c r="K119" i="29"/>
  <c r="X118" i="29"/>
  <c r="W118" i="29"/>
  <c r="V118" i="29"/>
  <c r="U118" i="29"/>
  <c r="T118" i="29"/>
  <c r="S118" i="29"/>
  <c r="Q118" i="29"/>
  <c r="O118" i="29"/>
  <c r="M118" i="29"/>
  <c r="K118" i="29"/>
  <c r="X117" i="29"/>
  <c r="W117" i="29"/>
  <c r="V117" i="29"/>
  <c r="U117" i="29"/>
  <c r="T117" i="29"/>
  <c r="S117" i="29"/>
  <c r="Q117" i="29"/>
  <c r="O117" i="29"/>
  <c r="M117" i="29"/>
  <c r="K117" i="29"/>
  <c r="X116" i="29"/>
  <c r="W116" i="29"/>
  <c r="V116" i="29"/>
  <c r="U116" i="29"/>
  <c r="T116" i="29"/>
  <c r="S116" i="29"/>
  <c r="Q116" i="29"/>
  <c r="O116" i="29"/>
  <c r="M116" i="29"/>
  <c r="K116" i="29"/>
  <c r="X115" i="29"/>
  <c r="W115" i="29"/>
  <c r="V115" i="29"/>
  <c r="U115" i="29"/>
  <c r="T115" i="29"/>
  <c r="S115" i="29"/>
  <c r="Q115" i="29"/>
  <c r="O115" i="29"/>
  <c r="M115" i="29"/>
  <c r="K115" i="29"/>
  <c r="X114" i="29"/>
  <c r="W114" i="29"/>
  <c r="V114" i="29"/>
  <c r="U114" i="29"/>
  <c r="T114" i="29"/>
  <c r="S114" i="29"/>
  <c r="Q114" i="29"/>
  <c r="O114" i="29"/>
  <c r="M114" i="29"/>
  <c r="K114" i="29"/>
  <c r="X113" i="29"/>
  <c r="W113" i="29"/>
  <c r="V113" i="29"/>
  <c r="U113" i="29"/>
  <c r="T113" i="29"/>
  <c r="S113" i="29"/>
  <c r="Q113" i="29"/>
  <c r="O113" i="29"/>
  <c r="M113" i="29"/>
  <c r="K113" i="29"/>
  <c r="X112" i="29"/>
  <c r="W112" i="29"/>
  <c r="V112" i="29"/>
  <c r="U112" i="29"/>
  <c r="T112" i="29"/>
  <c r="S112" i="29"/>
  <c r="Q112" i="29"/>
  <c r="O112" i="29"/>
  <c r="M112" i="29"/>
  <c r="K112" i="29"/>
  <c r="X111" i="29"/>
  <c r="W111" i="29"/>
  <c r="V111" i="29"/>
  <c r="U111" i="29"/>
  <c r="T111" i="29"/>
  <c r="S111" i="29"/>
  <c r="Q111" i="29"/>
  <c r="O111" i="29"/>
  <c r="M111" i="29"/>
  <c r="K111" i="29"/>
  <c r="X110" i="29"/>
  <c r="W110" i="29"/>
  <c r="V110" i="29"/>
  <c r="U110" i="29"/>
  <c r="T110" i="29"/>
  <c r="S110" i="29"/>
  <c r="Q110" i="29"/>
  <c r="O110" i="29"/>
  <c r="M110" i="29"/>
  <c r="K110" i="29"/>
  <c r="X109" i="29"/>
  <c r="W109" i="29"/>
  <c r="V109" i="29"/>
  <c r="U109" i="29"/>
  <c r="T109" i="29"/>
  <c r="S109" i="29"/>
  <c r="Q109" i="29"/>
  <c r="O109" i="29"/>
  <c r="M109" i="29"/>
  <c r="K109" i="29"/>
  <c r="X108" i="29"/>
  <c r="W108" i="29"/>
  <c r="V108" i="29"/>
  <c r="U108" i="29"/>
  <c r="T108" i="29"/>
  <c r="S108" i="29"/>
  <c r="Q108" i="29"/>
  <c r="O108" i="29"/>
  <c r="M108" i="29"/>
  <c r="K108" i="29"/>
  <c r="X107" i="29"/>
  <c r="W107" i="29"/>
  <c r="V107" i="29"/>
  <c r="U107" i="29"/>
  <c r="T107" i="29"/>
  <c r="S107" i="29"/>
  <c r="Q107" i="29"/>
  <c r="O107" i="29"/>
  <c r="M107" i="29"/>
  <c r="K107" i="29"/>
  <c r="X106" i="29"/>
  <c r="W106" i="29"/>
  <c r="V106" i="29"/>
  <c r="U106" i="29"/>
  <c r="T106" i="29"/>
  <c r="S106" i="29"/>
  <c r="Q106" i="29"/>
  <c r="O106" i="29"/>
  <c r="M106" i="29"/>
  <c r="K106" i="29"/>
  <c r="X105" i="29"/>
  <c r="W105" i="29"/>
  <c r="V105" i="29"/>
  <c r="U105" i="29"/>
  <c r="T105" i="29"/>
  <c r="S105" i="29"/>
  <c r="Q105" i="29"/>
  <c r="O105" i="29"/>
  <c r="M105" i="29"/>
  <c r="K105" i="29"/>
  <c r="X104" i="29"/>
  <c r="W104" i="29"/>
  <c r="V104" i="29"/>
  <c r="U104" i="29"/>
  <c r="T104" i="29"/>
  <c r="S104" i="29"/>
  <c r="Q104" i="29"/>
  <c r="O104" i="29"/>
  <c r="M104" i="29"/>
  <c r="K104" i="29"/>
  <c r="X103" i="29"/>
  <c r="W103" i="29"/>
  <c r="V103" i="29"/>
  <c r="U103" i="29"/>
  <c r="T103" i="29"/>
  <c r="S103" i="29"/>
  <c r="Q103" i="29"/>
  <c r="O103" i="29"/>
  <c r="M103" i="29"/>
  <c r="K103" i="29"/>
  <c r="X102" i="29"/>
  <c r="W102" i="29"/>
  <c r="V102" i="29"/>
  <c r="U102" i="29"/>
  <c r="T102" i="29"/>
  <c r="S102" i="29"/>
  <c r="Q102" i="29"/>
  <c r="O102" i="29"/>
  <c r="M102" i="29"/>
  <c r="K102" i="29"/>
  <c r="X101" i="29"/>
  <c r="W101" i="29"/>
  <c r="V101" i="29"/>
  <c r="U101" i="29"/>
  <c r="T101" i="29"/>
  <c r="S101" i="29"/>
  <c r="Q101" i="29"/>
  <c r="O101" i="29"/>
  <c r="M101" i="29"/>
  <c r="K101" i="29"/>
  <c r="X100" i="29"/>
  <c r="W100" i="29"/>
  <c r="V100" i="29"/>
  <c r="U100" i="29"/>
  <c r="T100" i="29"/>
  <c r="S100" i="29"/>
  <c r="Q100" i="29"/>
  <c r="O100" i="29"/>
  <c r="M100" i="29"/>
  <c r="K100" i="29"/>
  <c r="X99" i="29"/>
  <c r="W99" i="29"/>
  <c r="V99" i="29"/>
  <c r="U99" i="29"/>
  <c r="T99" i="29"/>
  <c r="S99" i="29"/>
  <c r="Q99" i="29"/>
  <c r="O99" i="29"/>
  <c r="M99" i="29"/>
  <c r="K99" i="29"/>
  <c r="X98" i="29"/>
  <c r="W98" i="29"/>
  <c r="V98" i="29"/>
  <c r="U98" i="29"/>
  <c r="T98" i="29"/>
  <c r="S98" i="29"/>
  <c r="Q98" i="29"/>
  <c r="O98" i="29"/>
  <c r="M98" i="29"/>
  <c r="K98" i="29"/>
  <c r="X97" i="29"/>
  <c r="W97" i="29"/>
  <c r="V97" i="29"/>
  <c r="U97" i="29"/>
  <c r="T97" i="29"/>
  <c r="S97" i="29"/>
  <c r="Q97" i="29"/>
  <c r="O97" i="29"/>
  <c r="M97" i="29"/>
  <c r="K97" i="29"/>
  <c r="X96" i="29"/>
  <c r="W96" i="29"/>
  <c r="V96" i="29"/>
  <c r="U96" i="29"/>
  <c r="T96" i="29"/>
  <c r="S96" i="29"/>
  <c r="Q96" i="29"/>
  <c r="O96" i="29"/>
  <c r="M96" i="29"/>
  <c r="K96" i="29"/>
  <c r="X95" i="29"/>
  <c r="W95" i="29"/>
  <c r="V95" i="29"/>
  <c r="U95" i="29"/>
  <c r="T95" i="29"/>
  <c r="S95" i="29"/>
  <c r="Q95" i="29"/>
  <c r="O95" i="29"/>
  <c r="M95" i="29"/>
  <c r="K95" i="29"/>
  <c r="X94" i="29"/>
  <c r="W94" i="29"/>
  <c r="V94" i="29"/>
  <c r="U94" i="29"/>
  <c r="T94" i="29"/>
  <c r="S94" i="29"/>
  <c r="Q94" i="29"/>
  <c r="O94" i="29"/>
  <c r="M94" i="29"/>
  <c r="K94" i="29"/>
  <c r="X93" i="29"/>
  <c r="W93" i="29"/>
  <c r="V93" i="29"/>
  <c r="U93" i="29"/>
  <c r="T93" i="29"/>
  <c r="S93" i="29"/>
  <c r="Q93" i="29"/>
  <c r="O93" i="29"/>
  <c r="M93" i="29"/>
  <c r="K93" i="29"/>
  <c r="X92" i="29"/>
  <c r="W92" i="29"/>
  <c r="V92" i="29"/>
  <c r="U92" i="29"/>
  <c r="T92" i="29"/>
  <c r="S92" i="29"/>
  <c r="Q92" i="29"/>
  <c r="O92" i="29"/>
  <c r="M92" i="29"/>
  <c r="K92" i="29"/>
  <c r="X91" i="29"/>
  <c r="W91" i="29"/>
  <c r="V91" i="29"/>
  <c r="U91" i="29"/>
  <c r="T91" i="29"/>
  <c r="S91" i="29"/>
  <c r="Q91" i="29"/>
  <c r="O91" i="29"/>
  <c r="M91" i="29"/>
  <c r="K91" i="29"/>
  <c r="X90" i="29"/>
  <c r="W90" i="29"/>
  <c r="V90" i="29"/>
  <c r="U90" i="29"/>
  <c r="T90" i="29"/>
  <c r="S90" i="29"/>
  <c r="Q90" i="29"/>
  <c r="O90" i="29"/>
  <c r="M90" i="29"/>
  <c r="K90" i="29"/>
  <c r="X89" i="29"/>
  <c r="W89" i="29"/>
  <c r="V89" i="29"/>
  <c r="U89" i="29"/>
  <c r="T89" i="29"/>
  <c r="S89" i="29"/>
  <c r="Q89" i="29"/>
  <c r="O89" i="29"/>
  <c r="M89" i="29"/>
  <c r="K89" i="29"/>
  <c r="X88" i="29"/>
  <c r="W88" i="29"/>
  <c r="V88" i="29"/>
  <c r="U88" i="29"/>
  <c r="T88" i="29"/>
  <c r="S88" i="29"/>
  <c r="Q88" i="29"/>
  <c r="O88" i="29"/>
  <c r="M88" i="29"/>
  <c r="K88" i="29"/>
  <c r="X87" i="29"/>
  <c r="W87" i="29"/>
  <c r="V87" i="29"/>
  <c r="U87" i="29"/>
  <c r="T87" i="29"/>
  <c r="S87" i="29"/>
  <c r="Q87" i="29"/>
  <c r="O87" i="29"/>
  <c r="M87" i="29"/>
  <c r="K87" i="29"/>
  <c r="X86" i="29"/>
  <c r="W86" i="29"/>
  <c r="V86" i="29"/>
  <c r="U86" i="29"/>
  <c r="T86" i="29"/>
  <c r="S86" i="29"/>
  <c r="Q86" i="29"/>
  <c r="O86" i="29"/>
  <c r="M86" i="29"/>
  <c r="K86" i="29"/>
  <c r="X85" i="29"/>
  <c r="W85" i="29"/>
  <c r="V85" i="29"/>
  <c r="U85" i="29"/>
  <c r="T85" i="29"/>
  <c r="S85" i="29"/>
  <c r="Q85" i="29"/>
  <c r="O85" i="29"/>
  <c r="M85" i="29"/>
  <c r="K85" i="29"/>
  <c r="X84" i="29"/>
  <c r="W84" i="29"/>
  <c r="V84" i="29"/>
  <c r="U84" i="29"/>
  <c r="T84" i="29"/>
  <c r="S84" i="29"/>
  <c r="Q84" i="29"/>
  <c r="O84" i="29"/>
  <c r="M84" i="29"/>
  <c r="K84" i="29"/>
  <c r="X83" i="29"/>
  <c r="W83" i="29"/>
  <c r="V83" i="29"/>
  <c r="U83" i="29"/>
  <c r="T83" i="29"/>
  <c r="S83" i="29"/>
  <c r="Q83" i="29"/>
  <c r="O83" i="29"/>
  <c r="M83" i="29"/>
  <c r="K83" i="29"/>
  <c r="X82" i="29"/>
  <c r="W82" i="29"/>
  <c r="V82" i="29"/>
  <c r="U82" i="29"/>
  <c r="T82" i="29"/>
  <c r="S82" i="29"/>
  <c r="Q82" i="29"/>
  <c r="O82" i="29"/>
  <c r="M82" i="29"/>
  <c r="K82" i="29"/>
  <c r="X81" i="29"/>
  <c r="W81" i="29"/>
  <c r="V81" i="29"/>
  <c r="U81" i="29"/>
  <c r="T81" i="29"/>
  <c r="S81" i="29"/>
  <c r="Q81" i="29"/>
  <c r="O81" i="29"/>
  <c r="M81" i="29"/>
  <c r="K81" i="29"/>
  <c r="X80" i="29"/>
  <c r="W80" i="29"/>
  <c r="V80" i="29"/>
  <c r="U80" i="29"/>
  <c r="T80" i="29"/>
  <c r="S80" i="29"/>
  <c r="Q80" i="29"/>
  <c r="O80" i="29"/>
  <c r="M80" i="29"/>
  <c r="K80" i="29"/>
  <c r="X79" i="29"/>
  <c r="W79" i="29"/>
  <c r="V79" i="29"/>
  <c r="U79" i="29"/>
  <c r="T79" i="29"/>
  <c r="S79" i="29"/>
  <c r="Q79" i="29"/>
  <c r="O79" i="29"/>
  <c r="M79" i="29"/>
  <c r="K79" i="29"/>
  <c r="X78" i="29"/>
  <c r="W78" i="29"/>
  <c r="V78" i="29"/>
  <c r="U78" i="29"/>
  <c r="T78" i="29"/>
  <c r="S78" i="29"/>
  <c r="Q78" i="29"/>
  <c r="O78" i="29"/>
  <c r="M78" i="29"/>
  <c r="K78" i="29"/>
  <c r="X77" i="29"/>
  <c r="W77" i="29"/>
  <c r="V77" i="29"/>
  <c r="U77" i="29"/>
  <c r="T77" i="29"/>
  <c r="S77" i="29"/>
  <c r="Q77" i="29"/>
  <c r="O77" i="29"/>
  <c r="M77" i="29"/>
  <c r="K77" i="29"/>
  <c r="X76" i="29"/>
  <c r="W76" i="29"/>
  <c r="V76" i="29"/>
  <c r="U76" i="29"/>
  <c r="T76" i="29"/>
  <c r="S76" i="29"/>
  <c r="Q76" i="29"/>
  <c r="O76" i="29"/>
  <c r="M76" i="29"/>
  <c r="K76" i="29"/>
  <c r="X75" i="29"/>
  <c r="W75" i="29"/>
  <c r="V75" i="29"/>
  <c r="U75" i="29"/>
  <c r="T75" i="29"/>
  <c r="S75" i="29"/>
  <c r="Q75" i="29"/>
  <c r="O75" i="29"/>
  <c r="M75" i="29"/>
  <c r="K75" i="29"/>
  <c r="X74" i="29"/>
  <c r="W74" i="29"/>
  <c r="V74" i="29"/>
  <c r="U74" i="29"/>
  <c r="T74" i="29"/>
  <c r="S74" i="29"/>
  <c r="Q74" i="29"/>
  <c r="O74" i="29"/>
  <c r="M74" i="29"/>
  <c r="K74" i="29"/>
  <c r="X73" i="29"/>
  <c r="W73" i="29"/>
  <c r="V73" i="29"/>
  <c r="U73" i="29"/>
  <c r="T73" i="29"/>
  <c r="S73" i="29"/>
  <c r="Q73" i="29"/>
  <c r="O73" i="29"/>
  <c r="M73" i="29"/>
  <c r="K73" i="29"/>
  <c r="X72" i="29"/>
  <c r="W72" i="29"/>
  <c r="V72" i="29"/>
  <c r="U72" i="29"/>
  <c r="T72" i="29"/>
  <c r="S72" i="29"/>
  <c r="Q72" i="29"/>
  <c r="O72" i="29"/>
  <c r="M72" i="29"/>
  <c r="K72" i="29"/>
  <c r="X71" i="29"/>
  <c r="W71" i="29"/>
  <c r="V71" i="29"/>
  <c r="U71" i="29"/>
  <c r="T71" i="29"/>
  <c r="S71" i="29"/>
  <c r="Q71" i="29"/>
  <c r="O71" i="29"/>
  <c r="M71" i="29"/>
  <c r="K71" i="29"/>
  <c r="X70" i="29"/>
  <c r="W70" i="29"/>
  <c r="V70" i="29"/>
  <c r="U70" i="29"/>
  <c r="T70" i="29"/>
  <c r="S70" i="29"/>
  <c r="Q70" i="29"/>
  <c r="O70" i="29"/>
  <c r="M70" i="29"/>
  <c r="K70" i="29"/>
  <c r="X69" i="29"/>
  <c r="W69" i="29"/>
  <c r="V69" i="29"/>
  <c r="U69" i="29"/>
  <c r="T69" i="29"/>
  <c r="S69" i="29"/>
  <c r="Q69" i="29"/>
  <c r="O69" i="29"/>
  <c r="M69" i="29"/>
  <c r="K69" i="29"/>
  <c r="X68" i="29"/>
  <c r="W68" i="29"/>
  <c r="V68" i="29"/>
  <c r="U68" i="29"/>
  <c r="T68" i="29"/>
  <c r="S68" i="29"/>
  <c r="Q68" i="29"/>
  <c r="O68" i="29"/>
  <c r="M68" i="29"/>
  <c r="K68" i="29"/>
  <c r="X67" i="29"/>
  <c r="W67" i="29"/>
  <c r="V67" i="29"/>
  <c r="U67" i="29"/>
  <c r="T67" i="29"/>
  <c r="S67" i="29"/>
  <c r="Q67" i="29"/>
  <c r="O67" i="29"/>
  <c r="M67" i="29"/>
  <c r="K67" i="29"/>
  <c r="X66" i="29"/>
  <c r="W66" i="29"/>
  <c r="V66" i="29"/>
  <c r="U66" i="29"/>
  <c r="T66" i="29"/>
  <c r="S66" i="29"/>
  <c r="Q66" i="29"/>
  <c r="O66" i="29"/>
  <c r="M66" i="29"/>
  <c r="K66" i="29"/>
  <c r="X65" i="29"/>
  <c r="W65" i="29"/>
  <c r="V65" i="29"/>
  <c r="U65" i="29"/>
  <c r="T65" i="29"/>
  <c r="S65" i="29"/>
  <c r="Q65" i="29"/>
  <c r="O65" i="29"/>
  <c r="M65" i="29"/>
  <c r="K65" i="29"/>
  <c r="X64" i="29"/>
  <c r="W64" i="29"/>
  <c r="V64" i="29"/>
  <c r="U64" i="29"/>
  <c r="T64" i="29"/>
  <c r="S64" i="29"/>
  <c r="Q64" i="29"/>
  <c r="O64" i="29"/>
  <c r="M64" i="29"/>
  <c r="K64" i="29"/>
  <c r="X63" i="29"/>
  <c r="W63" i="29"/>
  <c r="V63" i="29"/>
  <c r="U63" i="29"/>
  <c r="T63" i="29"/>
  <c r="S63" i="29"/>
  <c r="Q63" i="29"/>
  <c r="O63" i="29"/>
  <c r="M63" i="29"/>
  <c r="K63" i="29"/>
  <c r="X62" i="29"/>
  <c r="W62" i="29"/>
  <c r="V62" i="29"/>
  <c r="U62" i="29"/>
  <c r="T62" i="29"/>
  <c r="S62" i="29"/>
  <c r="Q62" i="29"/>
  <c r="O62" i="29"/>
  <c r="M62" i="29"/>
  <c r="K62" i="29"/>
  <c r="X61" i="29"/>
  <c r="W61" i="29"/>
  <c r="V61" i="29"/>
  <c r="U61" i="29"/>
  <c r="T61" i="29"/>
  <c r="S61" i="29"/>
  <c r="Q61" i="29"/>
  <c r="O61" i="29"/>
  <c r="M61" i="29"/>
  <c r="K61" i="29"/>
  <c r="X60" i="29"/>
  <c r="W60" i="29"/>
  <c r="V60" i="29"/>
  <c r="U60" i="29"/>
  <c r="T60" i="29"/>
  <c r="S60" i="29"/>
  <c r="Q60" i="29"/>
  <c r="O60" i="29"/>
  <c r="M60" i="29"/>
  <c r="K60" i="29"/>
  <c r="X59" i="29"/>
  <c r="W59" i="29"/>
  <c r="V59" i="29"/>
  <c r="U59" i="29"/>
  <c r="T59" i="29"/>
  <c r="S59" i="29"/>
  <c r="Q59" i="29"/>
  <c r="O59" i="29"/>
  <c r="M59" i="29"/>
  <c r="K59" i="29"/>
  <c r="X58" i="29"/>
  <c r="W58" i="29"/>
  <c r="V58" i="29"/>
  <c r="U58" i="29"/>
  <c r="T58" i="29"/>
  <c r="S58" i="29"/>
  <c r="Q58" i="29"/>
  <c r="O58" i="29"/>
  <c r="M58" i="29"/>
  <c r="K58" i="29"/>
  <c r="X57" i="29"/>
  <c r="W57" i="29"/>
  <c r="V57" i="29"/>
  <c r="U57" i="29"/>
  <c r="T57" i="29"/>
  <c r="S57" i="29"/>
  <c r="Q57" i="29"/>
  <c r="O57" i="29"/>
  <c r="M57" i="29"/>
  <c r="K57" i="29"/>
  <c r="X56" i="29"/>
  <c r="W56" i="29"/>
  <c r="V56" i="29"/>
  <c r="U56" i="29"/>
  <c r="T56" i="29"/>
  <c r="S56" i="29"/>
  <c r="Q56" i="29"/>
  <c r="O56" i="29"/>
  <c r="M56" i="29"/>
  <c r="K56" i="29"/>
  <c r="X55" i="29"/>
  <c r="W55" i="29"/>
  <c r="V55" i="29"/>
  <c r="U55" i="29"/>
  <c r="T55" i="29"/>
  <c r="S55" i="29"/>
  <c r="Q55" i="29"/>
  <c r="O55" i="29"/>
  <c r="M55" i="29"/>
  <c r="K55" i="29"/>
  <c r="X54" i="29"/>
  <c r="W54" i="29"/>
  <c r="V54" i="29"/>
  <c r="U54" i="29"/>
  <c r="T54" i="29"/>
  <c r="S54" i="29"/>
  <c r="Q54" i="29"/>
  <c r="O54" i="29"/>
  <c r="M54" i="29"/>
  <c r="K54" i="29"/>
  <c r="X53" i="29"/>
  <c r="W53" i="29"/>
  <c r="V53" i="29"/>
  <c r="U53" i="29"/>
  <c r="T53" i="29"/>
  <c r="S53" i="29"/>
  <c r="Q53" i="29"/>
  <c r="O53" i="29"/>
  <c r="M53" i="29"/>
  <c r="K53" i="29"/>
  <c r="X52" i="29"/>
  <c r="W52" i="29"/>
  <c r="V52" i="29"/>
  <c r="U52" i="29"/>
  <c r="T52" i="29"/>
  <c r="S52" i="29"/>
  <c r="Q52" i="29"/>
  <c r="O52" i="29"/>
  <c r="M52" i="29"/>
  <c r="K52" i="29"/>
  <c r="X51" i="29"/>
  <c r="W51" i="29"/>
  <c r="V51" i="29"/>
  <c r="U51" i="29"/>
  <c r="T51" i="29"/>
  <c r="S51" i="29"/>
  <c r="Q51" i="29"/>
  <c r="O51" i="29"/>
  <c r="M51" i="29"/>
  <c r="K51" i="29"/>
  <c r="X50" i="29"/>
  <c r="W50" i="29"/>
  <c r="V50" i="29"/>
  <c r="U50" i="29"/>
  <c r="T50" i="29"/>
  <c r="S50" i="29"/>
  <c r="Q50" i="29"/>
  <c r="O50" i="29"/>
  <c r="M50" i="29"/>
  <c r="K50" i="29"/>
  <c r="X49" i="29"/>
  <c r="W49" i="29"/>
  <c r="V49" i="29"/>
  <c r="U49" i="29"/>
  <c r="T49" i="29"/>
  <c r="S49" i="29"/>
  <c r="Q49" i="29"/>
  <c r="O49" i="29"/>
  <c r="M49" i="29"/>
  <c r="K49" i="29"/>
  <c r="X48" i="29"/>
  <c r="W48" i="29"/>
  <c r="V48" i="29"/>
  <c r="U48" i="29"/>
  <c r="T48" i="29"/>
  <c r="S48" i="29"/>
  <c r="Q48" i="29"/>
  <c r="O48" i="29"/>
  <c r="M48" i="29"/>
  <c r="K48" i="29"/>
  <c r="X47" i="29"/>
  <c r="W47" i="29"/>
  <c r="V47" i="29"/>
  <c r="U47" i="29"/>
  <c r="T47" i="29"/>
  <c r="S47" i="29"/>
  <c r="Q47" i="29"/>
  <c r="O47" i="29"/>
  <c r="M47" i="29"/>
  <c r="K47" i="29"/>
  <c r="X46" i="29"/>
  <c r="W46" i="29"/>
  <c r="V46" i="29"/>
  <c r="U46" i="29"/>
  <c r="T46" i="29"/>
  <c r="S46" i="29"/>
  <c r="Q46" i="29"/>
  <c r="O46" i="29"/>
  <c r="M46" i="29"/>
  <c r="K46" i="29"/>
  <c r="X45" i="29"/>
  <c r="W45" i="29"/>
  <c r="V45" i="29"/>
  <c r="U45" i="29"/>
  <c r="T45" i="29"/>
  <c r="S45" i="29"/>
  <c r="Q45" i="29"/>
  <c r="O45" i="29"/>
  <c r="M45" i="29"/>
  <c r="K45" i="29"/>
  <c r="X44" i="29"/>
  <c r="W44" i="29"/>
  <c r="V44" i="29"/>
  <c r="U44" i="29"/>
  <c r="T44" i="29"/>
  <c r="S44" i="29"/>
  <c r="Q44" i="29"/>
  <c r="O44" i="29"/>
  <c r="M44" i="29"/>
  <c r="K44" i="29"/>
  <c r="X43" i="29"/>
  <c r="W43" i="29"/>
  <c r="V43" i="29"/>
  <c r="U43" i="29"/>
  <c r="T43" i="29"/>
  <c r="S43" i="29"/>
  <c r="Q43" i="29"/>
  <c r="O43" i="29"/>
  <c r="M43" i="29"/>
  <c r="K43" i="29"/>
  <c r="X42" i="29"/>
  <c r="W42" i="29"/>
  <c r="V42" i="29"/>
  <c r="U42" i="29"/>
  <c r="T42" i="29"/>
  <c r="S42" i="29"/>
  <c r="Q42" i="29"/>
  <c r="O42" i="29"/>
  <c r="M42" i="29"/>
  <c r="K42" i="29"/>
  <c r="X41" i="29"/>
  <c r="W41" i="29"/>
  <c r="V41" i="29"/>
  <c r="U41" i="29"/>
  <c r="T41" i="29"/>
  <c r="S41" i="29"/>
  <c r="Q41" i="29"/>
  <c r="O41" i="29"/>
  <c r="M41" i="29"/>
  <c r="K41" i="29"/>
  <c r="X40" i="29"/>
  <c r="W40" i="29"/>
  <c r="V40" i="29"/>
  <c r="U40" i="29"/>
  <c r="T40" i="29"/>
  <c r="S40" i="29"/>
  <c r="Q40" i="29"/>
  <c r="O40" i="29"/>
  <c r="M40" i="29"/>
  <c r="K40" i="29"/>
  <c r="X39" i="29"/>
  <c r="W39" i="29"/>
  <c r="V39" i="29"/>
  <c r="U39" i="29"/>
  <c r="T39" i="29"/>
  <c r="S39" i="29"/>
  <c r="Q39" i="29"/>
  <c r="O39" i="29"/>
  <c r="M39" i="29"/>
  <c r="K39" i="29"/>
  <c r="X38" i="29"/>
  <c r="W38" i="29"/>
  <c r="V38" i="29"/>
  <c r="U38" i="29"/>
  <c r="T38" i="29"/>
  <c r="S38" i="29"/>
  <c r="Q38" i="29"/>
  <c r="O38" i="29"/>
  <c r="M38" i="29"/>
  <c r="K38" i="29"/>
  <c r="X37" i="29"/>
  <c r="W37" i="29"/>
  <c r="V37" i="29"/>
  <c r="U37" i="29"/>
  <c r="T37" i="29"/>
  <c r="S37" i="29"/>
  <c r="Q37" i="29"/>
  <c r="O37" i="29"/>
  <c r="M37" i="29"/>
  <c r="K37" i="29"/>
  <c r="X36" i="29"/>
  <c r="W36" i="29"/>
  <c r="V36" i="29"/>
  <c r="U36" i="29"/>
  <c r="T36" i="29"/>
  <c r="S36" i="29"/>
  <c r="Q36" i="29"/>
  <c r="O36" i="29"/>
  <c r="M36" i="29"/>
  <c r="K36" i="29"/>
  <c r="X35" i="29"/>
  <c r="W35" i="29"/>
  <c r="V35" i="29"/>
  <c r="U35" i="29"/>
  <c r="T35" i="29"/>
  <c r="S35" i="29"/>
  <c r="Q35" i="29"/>
  <c r="O35" i="29"/>
  <c r="M35" i="29"/>
  <c r="K35" i="29"/>
  <c r="X34" i="29"/>
  <c r="W34" i="29"/>
  <c r="V34" i="29"/>
  <c r="U34" i="29"/>
  <c r="T34" i="29"/>
  <c r="S34" i="29"/>
  <c r="Q34" i="29"/>
  <c r="O34" i="29"/>
  <c r="M34" i="29"/>
  <c r="K34" i="29"/>
  <c r="X33" i="29"/>
  <c r="W33" i="29"/>
  <c r="V33" i="29"/>
  <c r="U33" i="29"/>
  <c r="T33" i="29"/>
  <c r="S33" i="29"/>
  <c r="Q33" i="29"/>
  <c r="O33" i="29"/>
  <c r="M33" i="29"/>
  <c r="K33" i="29"/>
  <c r="X32" i="29"/>
  <c r="W32" i="29"/>
  <c r="V32" i="29"/>
  <c r="U32" i="29"/>
  <c r="T32" i="29"/>
  <c r="S32" i="29"/>
  <c r="Q32" i="29"/>
  <c r="O32" i="29"/>
  <c r="M32" i="29"/>
  <c r="K32" i="29"/>
  <c r="X31" i="29"/>
  <c r="W31" i="29"/>
  <c r="V31" i="29"/>
  <c r="U31" i="29"/>
  <c r="T31" i="29"/>
  <c r="S31" i="29"/>
  <c r="Q31" i="29"/>
  <c r="O31" i="29"/>
  <c r="M31" i="29"/>
  <c r="K31" i="29"/>
  <c r="X30" i="29"/>
  <c r="W30" i="29"/>
  <c r="V30" i="29"/>
  <c r="U30" i="29"/>
  <c r="T30" i="29"/>
  <c r="S30" i="29"/>
  <c r="Q30" i="29"/>
  <c r="O30" i="29"/>
  <c r="M30" i="29"/>
  <c r="K30" i="29"/>
  <c r="X29" i="29"/>
  <c r="W29" i="29"/>
  <c r="V29" i="29"/>
  <c r="U29" i="29"/>
  <c r="T29" i="29"/>
  <c r="S29" i="29"/>
  <c r="Q29" i="29"/>
  <c r="O29" i="29"/>
  <c r="M29" i="29"/>
  <c r="K29" i="29"/>
  <c r="X28" i="29"/>
  <c r="W28" i="29"/>
  <c r="V28" i="29"/>
  <c r="U28" i="29"/>
  <c r="T28" i="29"/>
  <c r="S28" i="29"/>
  <c r="Q28" i="29"/>
  <c r="O28" i="29"/>
  <c r="M28" i="29"/>
  <c r="K28" i="29"/>
  <c r="X27" i="29"/>
  <c r="W27" i="29"/>
  <c r="V27" i="29"/>
  <c r="U27" i="29"/>
  <c r="T27" i="29"/>
  <c r="S27" i="29"/>
  <c r="Q27" i="29"/>
  <c r="O27" i="29"/>
  <c r="M27" i="29"/>
  <c r="K27" i="29"/>
  <c r="X26" i="29"/>
  <c r="W26" i="29"/>
  <c r="V26" i="29"/>
  <c r="U26" i="29"/>
  <c r="T26" i="29"/>
  <c r="S26" i="29"/>
  <c r="Q26" i="29"/>
  <c r="O26" i="29"/>
  <c r="M26" i="29"/>
  <c r="K26" i="29"/>
  <c r="X25" i="29"/>
  <c r="W25" i="29"/>
  <c r="V25" i="29"/>
  <c r="U25" i="29"/>
  <c r="T25" i="29"/>
  <c r="S25" i="29"/>
  <c r="Q25" i="29"/>
  <c r="O25" i="29"/>
  <c r="M25" i="29"/>
  <c r="K25" i="29"/>
  <c r="X24" i="29"/>
  <c r="W24" i="29"/>
  <c r="V24" i="29"/>
  <c r="U24" i="29"/>
  <c r="T24" i="29"/>
  <c r="S24" i="29"/>
  <c r="Q24" i="29"/>
  <c r="O24" i="29"/>
  <c r="M24" i="29"/>
  <c r="K24" i="29"/>
  <c r="X23" i="29"/>
  <c r="W23" i="29"/>
  <c r="V23" i="29"/>
  <c r="U23" i="29"/>
  <c r="T23" i="29"/>
  <c r="S23" i="29"/>
  <c r="Q23" i="29"/>
  <c r="O23" i="29"/>
  <c r="M23" i="29"/>
  <c r="K23" i="29"/>
  <c r="X22" i="29"/>
  <c r="W22" i="29"/>
  <c r="V22" i="29"/>
  <c r="U22" i="29"/>
  <c r="T22" i="29"/>
  <c r="S22" i="29"/>
  <c r="Q22" i="29"/>
  <c r="O22" i="29"/>
  <c r="M22" i="29"/>
  <c r="K22" i="29"/>
  <c r="X21" i="29"/>
  <c r="W21" i="29"/>
  <c r="V21" i="29"/>
  <c r="U21" i="29"/>
  <c r="T21" i="29"/>
  <c r="S21" i="29"/>
  <c r="Q21" i="29"/>
  <c r="O21" i="29"/>
  <c r="M21" i="29"/>
  <c r="K21" i="29"/>
  <c r="X20" i="29"/>
  <c r="W20" i="29"/>
  <c r="V20" i="29"/>
  <c r="U20" i="29"/>
  <c r="T20" i="29"/>
  <c r="S20" i="29"/>
  <c r="Q20" i="29"/>
  <c r="O20" i="29"/>
  <c r="M20" i="29"/>
  <c r="K20" i="29"/>
  <c r="X19" i="29"/>
  <c r="W19" i="29"/>
  <c r="V19" i="29"/>
  <c r="U19" i="29"/>
  <c r="T19" i="29"/>
  <c r="S19" i="29"/>
  <c r="Q19" i="29"/>
  <c r="O19" i="29"/>
  <c r="M19" i="29"/>
  <c r="K19" i="29"/>
  <c r="X18" i="29"/>
  <c r="W18" i="29"/>
  <c r="V18" i="29"/>
  <c r="U18" i="29"/>
  <c r="T18" i="29"/>
  <c r="S18" i="29"/>
  <c r="Q18" i="29"/>
  <c r="O18" i="29"/>
  <c r="M18" i="29"/>
  <c r="K18" i="29"/>
  <c r="X17" i="29"/>
  <c r="W17" i="29"/>
  <c r="V17" i="29"/>
  <c r="U17" i="29"/>
  <c r="T17" i="29"/>
  <c r="S17" i="29"/>
  <c r="Q17" i="29"/>
  <c r="O17" i="29"/>
  <c r="M17" i="29"/>
  <c r="K17" i="29"/>
  <c r="X16" i="29"/>
  <c r="W16" i="29"/>
  <c r="V16" i="29"/>
  <c r="U16" i="29"/>
  <c r="T16" i="29"/>
  <c r="S16" i="29"/>
  <c r="Q16" i="29"/>
  <c r="O16" i="29"/>
  <c r="M16" i="29"/>
  <c r="K16" i="29"/>
  <c r="X15" i="29"/>
  <c r="W15" i="29"/>
  <c r="V15" i="29"/>
  <c r="U15" i="29"/>
  <c r="T15" i="29"/>
  <c r="S15" i="29"/>
  <c r="Q15" i="29"/>
  <c r="O15" i="29"/>
  <c r="M15" i="29"/>
  <c r="K15" i="29"/>
  <c r="X14" i="29"/>
  <c r="W14" i="29"/>
  <c r="V14" i="29"/>
  <c r="U14" i="29"/>
  <c r="T14" i="29"/>
  <c r="S14" i="29"/>
  <c r="Q14" i="29"/>
  <c r="O14" i="29"/>
  <c r="M14" i="29"/>
  <c r="K14" i="29"/>
  <c r="X13" i="29"/>
  <c r="W13" i="29"/>
  <c r="V13" i="29"/>
  <c r="U13" i="29"/>
  <c r="T13" i="29"/>
  <c r="S13" i="29"/>
  <c r="Q13" i="29"/>
  <c r="O13" i="29"/>
  <c r="M13" i="29"/>
  <c r="K13" i="29"/>
  <c r="X12" i="29"/>
  <c r="W12" i="29"/>
  <c r="V12" i="29"/>
  <c r="U12" i="29"/>
  <c r="T12" i="29"/>
  <c r="S12" i="29"/>
  <c r="Q12" i="29"/>
  <c r="O12" i="29"/>
  <c r="M12" i="29"/>
  <c r="K12" i="29"/>
  <c r="X11" i="29"/>
  <c r="W11" i="29"/>
  <c r="V11" i="29"/>
  <c r="U11" i="29"/>
  <c r="T11" i="29"/>
  <c r="S11" i="29"/>
  <c r="Q11" i="29"/>
  <c r="O11" i="29"/>
  <c r="M11" i="29"/>
  <c r="K11" i="29"/>
  <c r="X10" i="29"/>
  <c r="W10" i="29"/>
  <c r="V10" i="29"/>
  <c r="U10" i="29"/>
  <c r="T10" i="29"/>
  <c r="S10" i="29"/>
  <c r="Q10" i="29"/>
  <c r="O10" i="29"/>
  <c r="M10" i="29"/>
  <c r="K10" i="29"/>
  <c r="X9" i="29"/>
  <c r="W9" i="29"/>
  <c r="V9" i="29"/>
  <c r="U9" i="29"/>
  <c r="T9" i="29"/>
  <c r="S9" i="29"/>
  <c r="Q9" i="29"/>
  <c r="O9" i="29"/>
  <c r="M9" i="29"/>
  <c r="K9" i="29"/>
  <c r="X8" i="29"/>
  <c r="W8" i="29"/>
  <c r="V8" i="29"/>
  <c r="U8" i="29"/>
  <c r="T8" i="29"/>
  <c r="S8" i="29"/>
  <c r="Q8" i="29"/>
  <c r="O8" i="29"/>
  <c r="M8" i="29"/>
  <c r="K8" i="29"/>
  <c r="X7" i="29"/>
  <c r="W7" i="29"/>
  <c r="V7" i="29"/>
  <c r="U7" i="29"/>
  <c r="T7" i="29"/>
  <c r="S7" i="29"/>
  <c r="Q7" i="29"/>
  <c r="O7" i="29"/>
  <c r="M7" i="29"/>
  <c r="K7" i="29"/>
  <c r="X324" i="28"/>
  <c r="W324" i="28"/>
  <c r="V324" i="28"/>
  <c r="U324" i="28"/>
  <c r="T324" i="28"/>
  <c r="S324" i="28"/>
  <c r="Q324" i="28"/>
  <c r="O324" i="28"/>
  <c r="M324" i="28"/>
  <c r="K324" i="28"/>
  <c r="X323" i="28"/>
  <c r="W323" i="28"/>
  <c r="V323" i="28"/>
  <c r="U323" i="28"/>
  <c r="T323" i="28"/>
  <c r="S323" i="28"/>
  <c r="Q323" i="28"/>
  <c r="O323" i="28"/>
  <c r="M323" i="28"/>
  <c r="K323" i="28"/>
  <c r="X322" i="28"/>
  <c r="W322" i="28"/>
  <c r="V322" i="28"/>
  <c r="U322" i="28"/>
  <c r="T322" i="28"/>
  <c r="S322" i="28"/>
  <c r="Q322" i="28"/>
  <c r="O322" i="28"/>
  <c r="M322" i="28"/>
  <c r="K322" i="28"/>
  <c r="X321" i="28"/>
  <c r="W321" i="28"/>
  <c r="V321" i="28"/>
  <c r="U321" i="28"/>
  <c r="T321" i="28"/>
  <c r="S321" i="28"/>
  <c r="Q321" i="28"/>
  <c r="O321" i="28"/>
  <c r="M321" i="28"/>
  <c r="K321" i="28"/>
  <c r="X320" i="28"/>
  <c r="W320" i="28"/>
  <c r="V320" i="28"/>
  <c r="U320" i="28"/>
  <c r="T320" i="28"/>
  <c r="S320" i="28"/>
  <c r="Q320" i="28"/>
  <c r="O320" i="28"/>
  <c r="M320" i="28"/>
  <c r="K320" i="28"/>
  <c r="X319" i="28"/>
  <c r="W319" i="28"/>
  <c r="V319" i="28"/>
  <c r="U319" i="28"/>
  <c r="T319" i="28"/>
  <c r="S319" i="28"/>
  <c r="Q319" i="28"/>
  <c r="O319" i="28"/>
  <c r="M319" i="28"/>
  <c r="K319" i="28"/>
  <c r="X318" i="28"/>
  <c r="W318" i="28"/>
  <c r="V318" i="28"/>
  <c r="U318" i="28"/>
  <c r="T318" i="28"/>
  <c r="S318" i="28"/>
  <c r="Q318" i="28"/>
  <c r="O318" i="28"/>
  <c r="M318" i="28"/>
  <c r="K318" i="28"/>
  <c r="X317" i="28"/>
  <c r="W317" i="28"/>
  <c r="V317" i="28"/>
  <c r="U317" i="28"/>
  <c r="T317" i="28"/>
  <c r="S317" i="28"/>
  <c r="Q317" i="28"/>
  <c r="O317" i="28"/>
  <c r="M317" i="28"/>
  <c r="K317" i="28"/>
  <c r="X316" i="28"/>
  <c r="W316" i="28"/>
  <c r="V316" i="28"/>
  <c r="U316" i="28"/>
  <c r="T316" i="28"/>
  <c r="S316" i="28"/>
  <c r="Q316" i="28"/>
  <c r="O316" i="28"/>
  <c r="M316" i="28"/>
  <c r="K316" i="28"/>
  <c r="X315" i="28"/>
  <c r="W315" i="28"/>
  <c r="V315" i="28"/>
  <c r="U315" i="28"/>
  <c r="T315" i="28"/>
  <c r="S315" i="28"/>
  <c r="Q315" i="28"/>
  <c r="O315" i="28"/>
  <c r="M315" i="28"/>
  <c r="K315" i="28"/>
  <c r="X314" i="28"/>
  <c r="W314" i="28"/>
  <c r="V314" i="28"/>
  <c r="U314" i="28"/>
  <c r="T314" i="28"/>
  <c r="S314" i="28"/>
  <c r="Q314" i="28"/>
  <c r="O314" i="28"/>
  <c r="M314" i="28"/>
  <c r="K314" i="28"/>
  <c r="X313" i="28"/>
  <c r="W313" i="28"/>
  <c r="V313" i="28"/>
  <c r="U313" i="28"/>
  <c r="T313" i="28"/>
  <c r="S313" i="28"/>
  <c r="Q313" i="28"/>
  <c r="O313" i="28"/>
  <c r="M313" i="28"/>
  <c r="K313" i="28"/>
  <c r="X312" i="28"/>
  <c r="W312" i="28"/>
  <c r="V312" i="28"/>
  <c r="U312" i="28"/>
  <c r="T312" i="28"/>
  <c r="S312" i="28"/>
  <c r="Q312" i="28"/>
  <c r="O312" i="28"/>
  <c r="M312" i="28"/>
  <c r="K312" i="28"/>
  <c r="X311" i="28"/>
  <c r="W311" i="28"/>
  <c r="V311" i="28"/>
  <c r="U311" i="28"/>
  <c r="T311" i="28"/>
  <c r="S311" i="28"/>
  <c r="Q311" i="28"/>
  <c r="O311" i="28"/>
  <c r="M311" i="28"/>
  <c r="K311" i="28"/>
  <c r="X310" i="28"/>
  <c r="W310" i="28"/>
  <c r="V310" i="28"/>
  <c r="U310" i="28"/>
  <c r="T310" i="28"/>
  <c r="S310" i="28"/>
  <c r="Q310" i="28"/>
  <c r="O310" i="28"/>
  <c r="M310" i="28"/>
  <c r="K310" i="28"/>
  <c r="X309" i="28"/>
  <c r="W309" i="28"/>
  <c r="V309" i="28"/>
  <c r="U309" i="28"/>
  <c r="T309" i="28"/>
  <c r="S309" i="28"/>
  <c r="Q309" i="28"/>
  <c r="O309" i="28"/>
  <c r="M309" i="28"/>
  <c r="K309" i="28"/>
  <c r="X308" i="28"/>
  <c r="W308" i="28"/>
  <c r="V308" i="28"/>
  <c r="U308" i="28"/>
  <c r="T308" i="28"/>
  <c r="S308" i="28"/>
  <c r="Q308" i="28"/>
  <c r="O308" i="28"/>
  <c r="M308" i="28"/>
  <c r="K308" i="28"/>
  <c r="X307" i="28"/>
  <c r="W307" i="28"/>
  <c r="V307" i="28"/>
  <c r="U307" i="28"/>
  <c r="T307" i="28"/>
  <c r="S307" i="28"/>
  <c r="Q307" i="28"/>
  <c r="O307" i="28"/>
  <c r="M307" i="28"/>
  <c r="K307" i="28"/>
  <c r="X306" i="28"/>
  <c r="W306" i="28"/>
  <c r="V306" i="28"/>
  <c r="U306" i="28"/>
  <c r="T306" i="28"/>
  <c r="S306" i="28"/>
  <c r="Q306" i="28"/>
  <c r="O306" i="28"/>
  <c r="M306" i="28"/>
  <c r="K306" i="28"/>
  <c r="X305" i="28"/>
  <c r="W305" i="28"/>
  <c r="V305" i="28"/>
  <c r="U305" i="28"/>
  <c r="T305" i="28"/>
  <c r="S305" i="28"/>
  <c r="Q305" i="28"/>
  <c r="O305" i="28"/>
  <c r="M305" i="28"/>
  <c r="K305" i="28"/>
  <c r="X304" i="28"/>
  <c r="W304" i="28"/>
  <c r="V304" i="28"/>
  <c r="U304" i="28"/>
  <c r="T304" i="28"/>
  <c r="S304" i="28"/>
  <c r="Q304" i="28"/>
  <c r="O304" i="28"/>
  <c r="M304" i="28"/>
  <c r="K304" i="28"/>
  <c r="X303" i="28"/>
  <c r="W303" i="28"/>
  <c r="V303" i="28"/>
  <c r="U303" i="28"/>
  <c r="T303" i="28"/>
  <c r="S303" i="28"/>
  <c r="Q303" i="28"/>
  <c r="O303" i="28"/>
  <c r="M303" i="28"/>
  <c r="K303" i="28"/>
  <c r="X302" i="28"/>
  <c r="W302" i="28"/>
  <c r="V302" i="28"/>
  <c r="U302" i="28"/>
  <c r="T302" i="28"/>
  <c r="S302" i="28"/>
  <c r="Q302" i="28"/>
  <c r="O302" i="28"/>
  <c r="M302" i="28"/>
  <c r="K302" i="28"/>
  <c r="X301" i="28"/>
  <c r="W301" i="28"/>
  <c r="V301" i="28"/>
  <c r="U301" i="28"/>
  <c r="T301" i="28"/>
  <c r="S301" i="28"/>
  <c r="Q301" i="28"/>
  <c r="O301" i="28"/>
  <c r="M301" i="28"/>
  <c r="K301" i="28"/>
  <c r="X300" i="28"/>
  <c r="W300" i="28"/>
  <c r="V300" i="28"/>
  <c r="U300" i="28"/>
  <c r="T300" i="28"/>
  <c r="S300" i="28"/>
  <c r="Q300" i="28"/>
  <c r="O300" i="28"/>
  <c r="M300" i="28"/>
  <c r="K300" i="28"/>
  <c r="X299" i="28"/>
  <c r="W299" i="28"/>
  <c r="V299" i="28"/>
  <c r="U299" i="28"/>
  <c r="T299" i="28"/>
  <c r="S299" i="28"/>
  <c r="Q299" i="28"/>
  <c r="O299" i="28"/>
  <c r="M299" i="28"/>
  <c r="K299" i="28"/>
  <c r="X298" i="28"/>
  <c r="W298" i="28"/>
  <c r="V298" i="28"/>
  <c r="U298" i="28"/>
  <c r="T298" i="28"/>
  <c r="S298" i="28"/>
  <c r="Q298" i="28"/>
  <c r="O298" i="28"/>
  <c r="M298" i="28"/>
  <c r="K298" i="28"/>
  <c r="X297" i="28"/>
  <c r="W297" i="28"/>
  <c r="V297" i="28"/>
  <c r="U297" i="28"/>
  <c r="T297" i="28"/>
  <c r="S297" i="28"/>
  <c r="Q297" i="28"/>
  <c r="O297" i="28"/>
  <c r="M297" i="28"/>
  <c r="K297" i="28"/>
  <c r="X296" i="28"/>
  <c r="W296" i="28"/>
  <c r="V296" i="28"/>
  <c r="U296" i="28"/>
  <c r="T296" i="28"/>
  <c r="S296" i="28"/>
  <c r="Q296" i="28"/>
  <c r="O296" i="28"/>
  <c r="M296" i="28"/>
  <c r="K296" i="28"/>
  <c r="X295" i="28"/>
  <c r="W295" i="28"/>
  <c r="V295" i="28"/>
  <c r="U295" i="28"/>
  <c r="T295" i="28"/>
  <c r="S295" i="28"/>
  <c r="Q295" i="28"/>
  <c r="O295" i="28"/>
  <c r="M295" i="28"/>
  <c r="K295" i="28"/>
  <c r="X294" i="28"/>
  <c r="W294" i="28"/>
  <c r="V294" i="28"/>
  <c r="U294" i="28"/>
  <c r="T294" i="28"/>
  <c r="S294" i="28"/>
  <c r="Q294" i="28"/>
  <c r="O294" i="28"/>
  <c r="M294" i="28"/>
  <c r="K294" i="28"/>
  <c r="X293" i="28"/>
  <c r="W293" i="28"/>
  <c r="V293" i="28"/>
  <c r="U293" i="28"/>
  <c r="T293" i="28"/>
  <c r="S293" i="28"/>
  <c r="Q293" i="28"/>
  <c r="O293" i="28"/>
  <c r="M293" i="28"/>
  <c r="K293" i="28"/>
  <c r="X292" i="28"/>
  <c r="W292" i="28"/>
  <c r="V292" i="28"/>
  <c r="U292" i="28"/>
  <c r="T292" i="28"/>
  <c r="S292" i="28"/>
  <c r="Q292" i="28"/>
  <c r="O292" i="28"/>
  <c r="M292" i="28"/>
  <c r="K292" i="28"/>
  <c r="X291" i="28"/>
  <c r="W291" i="28"/>
  <c r="V291" i="28"/>
  <c r="U291" i="28"/>
  <c r="T291" i="28"/>
  <c r="S291" i="28"/>
  <c r="Q291" i="28"/>
  <c r="O291" i="28"/>
  <c r="M291" i="28"/>
  <c r="K291" i="28"/>
  <c r="X290" i="28"/>
  <c r="W290" i="28"/>
  <c r="V290" i="28"/>
  <c r="U290" i="28"/>
  <c r="T290" i="28"/>
  <c r="S290" i="28"/>
  <c r="Q290" i="28"/>
  <c r="O290" i="28"/>
  <c r="M290" i="28"/>
  <c r="K290" i="28"/>
  <c r="X289" i="28"/>
  <c r="W289" i="28"/>
  <c r="V289" i="28"/>
  <c r="U289" i="28"/>
  <c r="T289" i="28"/>
  <c r="S289" i="28"/>
  <c r="Q289" i="28"/>
  <c r="O289" i="28"/>
  <c r="M289" i="28"/>
  <c r="K289" i="28"/>
  <c r="X288" i="28"/>
  <c r="W288" i="28"/>
  <c r="V288" i="28"/>
  <c r="U288" i="28"/>
  <c r="T288" i="28"/>
  <c r="S288" i="28"/>
  <c r="Q288" i="28"/>
  <c r="O288" i="28"/>
  <c r="M288" i="28"/>
  <c r="K288" i="28"/>
  <c r="X287" i="28"/>
  <c r="W287" i="28"/>
  <c r="V287" i="28"/>
  <c r="U287" i="28"/>
  <c r="T287" i="28"/>
  <c r="S287" i="28"/>
  <c r="Q287" i="28"/>
  <c r="O287" i="28"/>
  <c r="M287" i="28"/>
  <c r="K287" i="28"/>
  <c r="X286" i="28"/>
  <c r="W286" i="28"/>
  <c r="V286" i="28"/>
  <c r="U286" i="28"/>
  <c r="T286" i="28"/>
  <c r="S286" i="28"/>
  <c r="Q286" i="28"/>
  <c r="O286" i="28"/>
  <c r="M286" i="28"/>
  <c r="K286" i="28"/>
  <c r="X285" i="28"/>
  <c r="W285" i="28"/>
  <c r="V285" i="28"/>
  <c r="U285" i="28"/>
  <c r="T285" i="28"/>
  <c r="S285" i="28"/>
  <c r="Q285" i="28"/>
  <c r="O285" i="28"/>
  <c r="M285" i="28"/>
  <c r="K285" i="28"/>
  <c r="X284" i="28"/>
  <c r="W284" i="28"/>
  <c r="V284" i="28"/>
  <c r="U284" i="28"/>
  <c r="T284" i="28"/>
  <c r="S284" i="28"/>
  <c r="Q284" i="28"/>
  <c r="O284" i="28"/>
  <c r="M284" i="28"/>
  <c r="K284" i="28"/>
  <c r="X283" i="28"/>
  <c r="W283" i="28"/>
  <c r="V283" i="28"/>
  <c r="U283" i="28"/>
  <c r="T283" i="28"/>
  <c r="S283" i="28"/>
  <c r="Q283" i="28"/>
  <c r="O283" i="28"/>
  <c r="M283" i="28"/>
  <c r="K283" i="28"/>
  <c r="X282" i="28"/>
  <c r="W282" i="28"/>
  <c r="V282" i="28"/>
  <c r="U282" i="28"/>
  <c r="T282" i="28"/>
  <c r="S282" i="28"/>
  <c r="Q282" i="28"/>
  <c r="O282" i="28"/>
  <c r="M282" i="28"/>
  <c r="K282" i="28"/>
  <c r="X281" i="28"/>
  <c r="W281" i="28"/>
  <c r="V281" i="28"/>
  <c r="U281" i="28"/>
  <c r="T281" i="28"/>
  <c r="S281" i="28"/>
  <c r="Q281" i="28"/>
  <c r="O281" i="28"/>
  <c r="M281" i="28"/>
  <c r="K281" i="28"/>
  <c r="X280" i="28"/>
  <c r="W280" i="28"/>
  <c r="V280" i="28"/>
  <c r="U280" i="28"/>
  <c r="T280" i="28"/>
  <c r="S280" i="28"/>
  <c r="Q280" i="28"/>
  <c r="O280" i="28"/>
  <c r="M280" i="28"/>
  <c r="K280" i="28"/>
  <c r="X279" i="28"/>
  <c r="W279" i="28"/>
  <c r="V279" i="28"/>
  <c r="U279" i="28"/>
  <c r="T279" i="28"/>
  <c r="S279" i="28"/>
  <c r="Q279" i="28"/>
  <c r="O279" i="28"/>
  <c r="M279" i="28"/>
  <c r="K279" i="28"/>
  <c r="X278" i="28"/>
  <c r="W278" i="28"/>
  <c r="V278" i="28"/>
  <c r="U278" i="28"/>
  <c r="T278" i="28"/>
  <c r="S278" i="28"/>
  <c r="Q278" i="28"/>
  <c r="O278" i="28"/>
  <c r="M278" i="28"/>
  <c r="K278" i="28"/>
  <c r="X277" i="28"/>
  <c r="W277" i="28"/>
  <c r="V277" i="28"/>
  <c r="U277" i="28"/>
  <c r="T277" i="28"/>
  <c r="S277" i="28"/>
  <c r="Q277" i="28"/>
  <c r="O277" i="28"/>
  <c r="M277" i="28"/>
  <c r="K277" i="28"/>
  <c r="X276" i="28"/>
  <c r="W276" i="28"/>
  <c r="V276" i="28"/>
  <c r="U276" i="28"/>
  <c r="T276" i="28"/>
  <c r="S276" i="28"/>
  <c r="Q276" i="28"/>
  <c r="O276" i="28"/>
  <c r="M276" i="28"/>
  <c r="K276" i="28"/>
  <c r="X275" i="28"/>
  <c r="W275" i="28"/>
  <c r="V275" i="28"/>
  <c r="U275" i="28"/>
  <c r="T275" i="28"/>
  <c r="S275" i="28"/>
  <c r="Q275" i="28"/>
  <c r="O275" i="28"/>
  <c r="M275" i="28"/>
  <c r="K275" i="28"/>
  <c r="X274" i="28"/>
  <c r="W274" i="28"/>
  <c r="V274" i="28"/>
  <c r="U274" i="28"/>
  <c r="T274" i="28"/>
  <c r="S274" i="28"/>
  <c r="Q274" i="28"/>
  <c r="O274" i="28"/>
  <c r="M274" i="28"/>
  <c r="K274" i="28"/>
  <c r="X273" i="28"/>
  <c r="W273" i="28"/>
  <c r="V273" i="28"/>
  <c r="U273" i="28"/>
  <c r="T273" i="28"/>
  <c r="S273" i="28"/>
  <c r="Q273" i="28"/>
  <c r="O273" i="28"/>
  <c r="M273" i="28"/>
  <c r="K273" i="28"/>
  <c r="X272" i="28"/>
  <c r="W272" i="28"/>
  <c r="V272" i="28"/>
  <c r="U272" i="28"/>
  <c r="T272" i="28"/>
  <c r="S272" i="28"/>
  <c r="Q272" i="28"/>
  <c r="O272" i="28"/>
  <c r="M272" i="28"/>
  <c r="K272" i="28"/>
  <c r="X271" i="28"/>
  <c r="W271" i="28"/>
  <c r="V271" i="28"/>
  <c r="U271" i="28"/>
  <c r="T271" i="28"/>
  <c r="S271" i="28"/>
  <c r="Q271" i="28"/>
  <c r="O271" i="28"/>
  <c r="M271" i="28"/>
  <c r="K271" i="28"/>
  <c r="X270" i="28"/>
  <c r="W270" i="28"/>
  <c r="V270" i="28"/>
  <c r="U270" i="28"/>
  <c r="T270" i="28"/>
  <c r="S270" i="28"/>
  <c r="Q270" i="28"/>
  <c r="O270" i="28"/>
  <c r="M270" i="28"/>
  <c r="K270" i="28"/>
  <c r="X269" i="28"/>
  <c r="W269" i="28"/>
  <c r="V269" i="28"/>
  <c r="U269" i="28"/>
  <c r="T269" i="28"/>
  <c r="S269" i="28"/>
  <c r="Q269" i="28"/>
  <c r="O269" i="28"/>
  <c r="M269" i="28"/>
  <c r="K269" i="28"/>
  <c r="X268" i="28"/>
  <c r="W268" i="28"/>
  <c r="V268" i="28"/>
  <c r="U268" i="28"/>
  <c r="T268" i="28"/>
  <c r="S268" i="28"/>
  <c r="Q268" i="28"/>
  <c r="O268" i="28"/>
  <c r="M268" i="28"/>
  <c r="K268" i="28"/>
  <c r="X267" i="28"/>
  <c r="W267" i="28"/>
  <c r="V267" i="28"/>
  <c r="U267" i="28"/>
  <c r="T267" i="28"/>
  <c r="S267" i="28"/>
  <c r="Q267" i="28"/>
  <c r="O267" i="28"/>
  <c r="M267" i="28"/>
  <c r="K267" i="28"/>
  <c r="X266" i="28"/>
  <c r="W266" i="28"/>
  <c r="V266" i="28"/>
  <c r="U266" i="28"/>
  <c r="T266" i="28"/>
  <c r="S266" i="28"/>
  <c r="Q266" i="28"/>
  <c r="O266" i="28"/>
  <c r="M266" i="28"/>
  <c r="K266" i="28"/>
  <c r="X265" i="28"/>
  <c r="W265" i="28"/>
  <c r="V265" i="28"/>
  <c r="U265" i="28"/>
  <c r="T265" i="28"/>
  <c r="S265" i="28"/>
  <c r="Q265" i="28"/>
  <c r="O265" i="28"/>
  <c r="M265" i="28"/>
  <c r="K265" i="28"/>
  <c r="X264" i="28"/>
  <c r="W264" i="28"/>
  <c r="V264" i="28"/>
  <c r="U264" i="28"/>
  <c r="T264" i="28"/>
  <c r="S264" i="28"/>
  <c r="Q264" i="28"/>
  <c r="O264" i="28"/>
  <c r="M264" i="28"/>
  <c r="K264" i="28"/>
  <c r="X263" i="28"/>
  <c r="W263" i="28"/>
  <c r="V263" i="28"/>
  <c r="U263" i="28"/>
  <c r="T263" i="28"/>
  <c r="S263" i="28"/>
  <c r="Q263" i="28"/>
  <c r="O263" i="28"/>
  <c r="M263" i="28"/>
  <c r="K263" i="28"/>
  <c r="X262" i="28"/>
  <c r="W262" i="28"/>
  <c r="V262" i="28"/>
  <c r="U262" i="28"/>
  <c r="T262" i="28"/>
  <c r="S262" i="28"/>
  <c r="Q262" i="28"/>
  <c r="O262" i="28"/>
  <c r="M262" i="28"/>
  <c r="K262" i="28"/>
  <c r="X261" i="28"/>
  <c r="W261" i="28"/>
  <c r="V261" i="28"/>
  <c r="U261" i="28"/>
  <c r="T261" i="28"/>
  <c r="S261" i="28"/>
  <c r="Q261" i="28"/>
  <c r="O261" i="28"/>
  <c r="M261" i="28"/>
  <c r="K261" i="28"/>
  <c r="X260" i="28"/>
  <c r="W260" i="28"/>
  <c r="V260" i="28"/>
  <c r="U260" i="28"/>
  <c r="T260" i="28"/>
  <c r="S260" i="28"/>
  <c r="Q260" i="28"/>
  <c r="O260" i="28"/>
  <c r="M260" i="28"/>
  <c r="K260" i="28"/>
  <c r="X259" i="28"/>
  <c r="W259" i="28"/>
  <c r="V259" i="28"/>
  <c r="U259" i="28"/>
  <c r="T259" i="28"/>
  <c r="S259" i="28"/>
  <c r="Q259" i="28"/>
  <c r="O259" i="28"/>
  <c r="M259" i="28"/>
  <c r="K259" i="28"/>
  <c r="X258" i="28"/>
  <c r="W258" i="28"/>
  <c r="V258" i="28"/>
  <c r="U258" i="28"/>
  <c r="T258" i="28"/>
  <c r="S258" i="28"/>
  <c r="Q258" i="28"/>
  <c r="O258" i="28"/>
  <c r="M258" i="28"/>
  <c r="K258" i="28"/>
  <c r="X257" i="28"/>
  <c r="W257" i="28"/>
  <c r="V257" i="28"/>
  <c r="U257" i="28"/>
  <c r="T257" i="28"/>
  <c r="S257" i="28"/>
  <c r="Q257" i="28"/>
  <c r="O257" i="28"/>
  <c r="M257" i="28"/>
  <c r="K257" i="28"/>
  <c r="X256" i="28"/>
  <c r="W256" i="28"/>
  <c r="V256" i="28"/>
  <c r="U256" i="28"/>
  <c r="T256" i="28"/>
  <c r="S256" i="28"/>
  <c r="Q256" i="28"/>
  <c r="O256" i="28"/>
  <c r="M256" i="28"/>
  <c r="K256" i="28"/>
  <c r="X255" i="28"/>
  <c r="W255" i="28"/>
  <c r="V255" i="28"/>
  <c r="U255" i="28"/>
  <c r="T255" i="28"/>
  <c r="S255" i="28"/>
  <c r="Q255" i="28"/>
  <c r="O255" i="28"/>
  <c r="M255" i="28"/>
  <c r="K255" i="28"/>
  <c r="X254" i="28"/>
  <c r="W254" i="28"/>
  <c r="V254" i="28"/>
  <c r="U254" i="28"/>
  <c r="T254" i="28"/>
  <c r="S254" i="28"/>
  <c r="Q254" i="28"/>
  <c r="O254" i="28"/>
  <c r="M254" i="28"/>
  <c r="K254" i="28"/>
  <c r="X253" i="28"/>
  <c r="W253" i="28"/>
  <c r="V253" i="28"/>
  <c r="U253" i="28"/>
  <c r="T253" i="28"/>
  <c r="S253" i="28"/>
  <c r="Q253" i="28"/>
  <c r="O253" i="28"/>
  <c r="M253" i="28"/>
  <c r="K253" i="28"/>
  <c r="X252" i="28"/>
  <c r="W252" i="28"/>
  <c r="V252" i="28"/>
  <c r="U252" i="28"/>
  <c r="T252" i="28"/>
  <c r="S252" i="28"/>
  <c r="Q252" i="28"/>
  <c r="O252" i="28"/>
  <c r="M252" i="28"/>
  <c r="K252" i="28"/>
  <c r="X251" i="28"/>
  <c r="W251" i="28"/>
  <c r="V251" i="28"/>
  <c r="U251" i="28"/>
  <c r="T251" i="28"/>
  <c r="S251" i="28"/>
  <c r="Q251" i="28"/>
  <c r="O251" i="28"/>
  <c r="M251" i="28"/>
  <c r="K251" i="28"/>
  <c r="X250" i="28"/>
  <c r="W250" i="28"/>
  <c r="V250" i="28"/>
  <c r="U250" i="28"/>
  <c r="T250" i="28"/>
  <c r="S250" i="28"/>
  <c r="Q250" i="28"/>
  <c r="O250" i="28"/>
  <c r="M250" i="28"/>
  <c r="K250" i="28"/>
  <c r="X249" i="28"/>
  <c r="W249" i="28"/>
  <c r="V249" i="28"/>
  <c r="U249" i="28"/>
  <c r="T249" i="28"/>
  <c r="S249" i="28"/>
  <c r="Q249" i="28"/>
  <c r="O249" i="28"/>
  <c r="M249" i="28"/>
  <c r="K249" i="28"/>
  <c r="X248" i="28"/>
  <c r="W248" i="28"/>
  <c r="V248" i="28"/>
  <c r="U248" i="28"/>
  <c r="T248" i="28"/>
  <c r="S248" i="28"/>
  <c r="Q248" i="28"/>
  <c r="O248" i="28"/>
  <c r="M248" i="28"/>
  <c r="K248" i="28"/>
  <c r="X247" i="28"/>
  <c r="W247" i="28"/>
  <c r="V247" i="28"/>
  <c r="U247" i="28"/>
  <c r="T247" i="28"/>
  <c r="S247" i="28"/>
  <c r="Q247" i="28"/>
  <c r="O247" i="28"/>
  <c r="M247" i="28"/>
  <c r="K247" i="28"/>
  <c r="X246" i="28"/>
  <c r="W246" i="28"/>
  <c r="V246" i="28"/>
  <c r="U246" i="28"/>
  <c r="T246" i="28"/>
  <c r="S246" i="28"/>
  <c r="Q246" i="28"/>
  <c r="O246" i="28"/>
  <c r="M246" i="28"/>
  <c r="K246" i="28"/>
  <c r="X245" i="28"/>
  <c r="W245" i="28"/>
  <c r="V245" i="28"/>
  <c r="U245" i="28"/>
  <c r="T245" i="28"/>
  <c r="S245" i="28"/>
  <c r="Q245" i="28"/>
  <c r="O245" i="28"/>
  <c r="M245" i="28"/>
  <c r="K245" i="28"/>
  <c r="X244" i="28"/>
  <c r="W244" i="28"/>
  <c r="V244" i="28"/>
  <c r="U244" i="28"/>
  <c r="T244" i="28"/>
  <c r="S244" i="28"/>
  <c r="Q244" i="28"/>
  <c r="O244" i="28"/>
  <c r="M244" i="28"/>
  <c r="K244" i="28"/>
  <c r="X243" i="28"/>
  <c r="W243" i="28"/>
  <c r="V243" i="28"/>
  <c r="U243" i="28"/>
  <c r="T243" i="28"/>
  <c r="S243" i="28"/>
  <c r="Q243" i="28"/>
  <c r="O243" i="28"/>
  <c r="M243" i="28"/>
  <c r="K243" i="28"/>
  <c r="X242" i="28"/>
  <c r="W242" i="28"/>
  <c r="V242" i="28"/>
  <c r="U242" i="28"/>
  <c r="T242" i="28"/>
  <c r="S242" i="28"/>
  <c r="Q242" i="28"/>
  <c r="O242" i="28"/>
  <c r="M242" i="28"/>
  <c r="K242" i="28"/>
  <c r="X241" i="28"/>
  <c r="W241" i="28"/>
  <c r="V241" i="28"/>
  <c r="U241" i="28"/>
  <c r="T241" i="28"/>
  <c r="S241" i="28"/>
  <c r="Q241" i="28"/>
  <c r="O241" i="28"/>
  <c r="M241" i="28"/>
  <c r="K241" i="28"/>
  <c r="X240" i="28"/>
  <c r="W240" i="28"/>
  <c r="V240" i="28"/>
  <c r="U240" i="28"/>
  <c r="T240" i="28"/>
  <c r="S240" i="28"/>
  <c r="Q240" i="28"/>
  <c r="O240" i="28"/>
  <c r="M240" i="28"/>
  <c r="K240" i="28"/>
  <c r="X239" i="28"/>
  <c r="W239" i="28"/>
  <c r="V239" i="28"/>
  <c r="U239" i="28"/>
  <c r="T239" i="28"/>
  <c r="S239" i="28"/>
  <c r="Q239" i="28"/>
  <c r="O239" i="28"/>
  <c r="M239" i="28"/>
  <c r="K239" i="28"/>
  <c r="X238" i="28"/>
  <c r="W238" i="28"/>
  <c r="V238" i="28"/>
  <c r="U238" i="28"/>
  <c r="T238" i="28"/>
  <c r="S238" i="28"/>
  <c r="Q238" i="28"/>
  <c r="O238" i="28"/>
  <c r="M238" i="28"/>
  <c r="K238" i="28"/>
  <c r="X237" i="28"/>
  <c r="W237" i="28"/>
  <c r="V237" i="28"/>
  <c r="U237" i="28"/>
  <c r="T237" i="28"/>
  <c r="S237" i="28"/>
  <c r="Q237" i="28"/>
  <c r="O237" i="28"/>
  <c r="M237" i="28"/>
  <c r="K237" i="28"/>
  <c r="X236" i="28"/>
  <c r="W236" i="28"/>
  <c r="V236" i="28"/>
  <c r="U236" i="28"/>
  <c r="T236" i="28"/>
  <c r="S236" i="28"/>
  <c r="Q236" i="28"/>
  <c r="O236" i="28"/>
  <c r="M236" i="28"/>
  <c r="K236" i="28"/>
  <c r="X235" i="28"/>
  <c r="W235" i="28"/>
  <c r="V235" i="28"/>
  <c r="U235" i="28"/>
  <c r="T235" i="28"/>
  <c r="S235" i="28"/>
  <c r="Q235" i="28"/>
  <c r="O235" i="28"/>
  <c r="M235" i="28"/>
  <c r="K235" i="28"/>
  <c r="X234" i="28"/>
  <c r="W234" i="28"/>
  <c r="V234" i="28"/>
  <c r="U234" i="28"/>
  <c r="T234" i="28"/>
  <c r="S234" i="28"/>
  <c r="Q234" i="28"/>
  <c r="O234" i="28"/>
  <c r="M234" i="28"/>
  <c r="K234" i="28"/>
  <c r="X233" i="28"/>
  <c r="W233" i="28"/>
  <c r="V233" i="28"/>
  <c r="U233" i="28"/>
  <c r="T233" i="28"/>
  <c r="S233" i="28"/>
  <c r="Q233" i="28"/>
  <c r="O233" i="28"/>
  <c r="M233" i="28"/>
  <c r="K233" i="28"/>
  <c r="X232" i="28"/>
  <c r="W232" i="28"/>
  <c r="V232" i="28"/>
  <c r="U232" i="28"/>
  <c r="T232" i="28"/>
  <c r="S232" i="28"/>
  <c r="Q232" i="28"/>
  <c r="O232" i="28"/>
  <c r="M232" i="28"/>
  <c r="K232" i="28"/>
  <c r="X231" i="28"/>
  <c r="W231" i="28"/>
  <c r="V231" i="28"/>
  <c r="U231" i="28"/>
  <c r="T231" i="28"/>
  <c r="S231" i="28"/>
  <c r="Q231" i="28"/>
  <c r="O231" i="28"/>
  <c r="M231" i="28"/>
  <c r="K231" i="28"/>
  <c r="X230" i="28"/>
  <c r="W230" i="28"/>
  <c r="V230" i="28"/>
  <c r="U230" i="28"/>
  <c r="T230" i="28"/>
  <c r="S230" i="28"/>
  <c r="Q230" i="28"/>
  <c r="O230" i="28"/>
  <c r="M230" i="28"/>
  <c r="K230" i="28"/>
  <c r="X229" i="28"/>
  <c r="W229" i="28"/>
  <c r="V229" i="28"/>
  <c r="U229" i="28"/>
  <c r="T229" i="28"/>
  <c r="S229" i="28"/>
  <c r="Q229" i="28"/>
  <c r="O229" i="28"/>
  <c r="M229" i="28"/>
  <c r="K229" i="28"/>
  <c r="X228" i="28"/>
  <c r="W228" i="28"/>
  <c r="V228" i="28"/>
  <c r="U228" i="28"/>
  <c r="T228" i="28"/>
  <c r="S228" i="28"/>
  <c r="Q228" i="28"/>
  <c r="O228" i="28"/>
  <c r="M228" i="28"/>
  <c r="K228" i="28"/>
  <c r="X227" i="28"/>
  <c r="W227" i="28"/>
  <c r="V227" i="28"/>
  <c r="U227" i="28"/>
  <c r="T227" i="28"/>
  <c r="S227" i="28"/>
  <c r="Q227" i="28"/>
  <c r="O227" i="28"/>
  <c r="M227" i="28"/>
  <c r="K227" i="28"/>
  <c r="X226" i="28"/>
  <c r="W226" i="28"/>
  <c r="V226" i="28"/>
  <c r="U226" i="28"/>
  <c r="T226" i="28"/>
  <c r="S226" i="28"/>
  <c r="Q226" i="28"/>
  <c r="O226" i="28"/>
  <c r="M226" i="28"/>
  <c r="K226" i="28"/>
  <c r="X225" i="28"/>
  <c r="W225" i="28"/>
  <c r="V225" i="28"/>
  <c r="U225" i="28"/>
  <c r="T225" i="28"/>
  <c r="S225" i="28"/>
  <c r="Q225" i="28"/>
  <c r="O225" i="28"/>
  <c r="M225" i="28"/>
  <c r="K225" i="28"/>
  <c r="X224" i="28"/>
  <c r="W224" i="28"/>
  <c r="V224" i="28"/>
  <c r="U224" i="28"/>
  <c r="T224" i="28"/>
  <c r="S224" i="28"/>
  <c r="Q224" i="28"/>
  <c r="O224" i="28"/>
  <c r="M224" i="28"/>
  <c r="K224" i="28"/>
  <c r="X223" i="28"/>
  <c r="W223" i="28"/>
  <c r="V223" i="28"/>
  <c r="U223" i="28"/>
  <c r="T223" i="28"/>
  <c r="S223" i="28"/>
  <c r="Q223" i="28"/>
  <c r="O223" i="28"/>
  <c r="M223" i="28"/>
  <c r="K223" i="28"/>
  <c r="X222" i="28"/>
  <c r="W222" i="28"/>
  <c r="V222" i="28"/>
  <c r="U222" i="28"/>
  <c r="T222" i="28"/>
  <c r="S222" i="28"/>
  <c r="Q222" i="28"/>
  <c r="O222" i="28"/>
  <c r="M222" i="28"/>
  <c r="K222" i="28"/>
  <c r="X221" i="28"/>
  <c r="W221" i="28"/>
  <c r="V221" i="28"/>
  <c r="U221" i="28"/>
  <c r="T221" i="28"/>
  <c r="S221" i="28"/>
  <c r="Q221" i="28"/>
  <c r="O221" i="28"/>
  <c r="M221" i="28"/>
  <c r="K221" i="28"/>
  <c r="X220" i="28"/>
  <c r="W220" i="28"/>
  <c r="V220" i="28"/>
  <c r="U220" i="28"/>
  <c r="T220" i="28"/>
  <c r="S220" i="28"/>
  <c r="Q220" i="28"/>
  <c r="O220" i="28"/>
  <c r="M220" i="28"/>
  <c r="K220" i="28"/>
  <c r="X219" i="28"/>
  <c r="W219" i="28"/>
  <c r="V219" i="28"/>
  <c r="U219" i="28"/>
  <c r="T219" i="28"/>
  <c r="S219" i="28"/>
  <c r="Q219" i="28"/>
  <c r="O219" i="28"/>
  <c r="M219" i="28"/>
  <c r="K219" i="28"/>
  <c r="X218" i="28"/>
  <c r="W218" i="28"/>
  <c r="V218" i="28"/>
  <c r="U218" i="28"/>
  <c r="T218" i="28"/>
  <c r="S218" i="28"/>
  <c r="Q218" i="28"/>
  <c r="O218" i="28"/>
  <c r="M218" i="28"/>
  <c r="K218" i="28"/>
  <c r="X217" i="28"/>
  <c r="W217" i="28"/>
  <c r="V217" i="28"/>
  <c r="U217" i="28"/>
  <c r="T217" i="28"/>
  <c r="S217" i="28"/>
  <c r="Q217" i="28"/>
  <c r="O217" i="28"/>
  <c r="M217" i="28"/>
  <c r="K217" i="28"/>
  <c r="X216" i="28"/>
  <c r="W216" i="28"/>
  <c r="V216" i="28"/>
  <c r="U216" i="28"/>
  <c r="T216" i="28"/>
  <c r="S216" i="28"/>
  <c r="Q216" i="28"/>
  <c r="O216" i="28"/>
  <c r="M216" i="28"/>
  <c r="K216" i="28"/>
  <c r="X215" i="28"/>
  <c r="W215" i="28"/>
  <c r="V215" i="28"/>
  <c r="U215" i="28"/>
  <c r="T215" i="28"/>
  <c r="S215" i="28"/>
  <c r="Q215" i="28"/>
  <c r="O215" i="28"/>
  <c r="M215" i="28"/>
  <c r="K215" i="28"/>
  <c r="X214" i="28"/>
  <c r="W214" i="28"/>
  <c r="V214" i="28"/>
  <c r="U214" i="28"/>
  <c r="T214" i="28"/>
  <c r="S214" i="28"/>
  <c r="Q214" i="28"/>
  <c r="O214" i="28"/>
  <c r="M214" i="28"/>
  <c r="K214" i="28"/>
  <c r="X213" i="28"/>
  <c r="W213" i="28"/>
  <c r="V213" i="28"/>
  <c r="U213" i="28"/>
  <c r="T213" i="28"/>
  <c r="S213" i="28"/>
  <c r="Q213" i="28"/>
  <c r="O213" i="28"/>
  <c r="M213" i="28"/>
  <c r="K213" i="28"/>
  <c r="X212" i="28"/>
  <c r="W212" i="28"/>
  <c r="V212" i="28"/>
  <c r="U212" i="28"/>
  <c r="T212" i="28"/>
  <c r="S212" i="28"/>
  <c r="Q212" i="28"/>
  <c r="O212" i="28"/>
  <c r="M212" i="28"/>
  <c r="K212" i="28"/>
  <c r="X211" i="28"/>
  <c r="W211" i="28"/>
  <c r="V211" i="28"/>
  <c r="U211" i="28"/>
  <c r="T211" i="28"/>
  <c r="S211" i="28"/>
  <c r="Q211" i="28"/>
  <c r="O211" i="28"/>
  <c r="M211" i="28"/>
  <c r="K211" i="28"/>
  <c r="X210" i="28"/>
  <c r="W210" i="28"/>
  <c r="V210" i="28"/>
  <c r="U210" i="28"/>
  <c r="T210" i="28"/>
  <c r="S210" i="28"/>
  <c r="Q210" i="28"/>
  <c r="O210" i="28"/>
  <c r="M210" i="28"/>
  <c r="K210" i="28"/>
  <c r="X209" i="28"/>
  <c r="W209" i="28"/>
  <c r="V209" i="28"/>
  <c r="U209" i="28"/>
  <c r="T209" i="28"/>
  <c r="S209" i="28"/>
  <c r="Q209" i="28"/>
  <c r="O209" i="28"/>
  <c r="M209" i="28"/>
  <c r="K209" i="28"/>
  <c r="X208" i="28"/>
  <c r="W208" i="28"/>
  <c r="V208" i="28"/>
  <c r="U208" i="28"/>
  <c r="T208" i="28"/>
  <c r="S208" i="28"/>
  <c r="Q208" i="28"/>
  <c r="O208" i="28"/>
  <c r="M208" i="28"/>
  <c r="K208" i="28"/>
  <c r="X207" i="28"/>
  <c r="W207" i="28"/>
  <c r="V207" i="28"/>
  <c r="U207" i="28"/>
  <c r="T207" i="28"/>
  <c r="S207" i="28"/>
  <c r="Q207" i="28"/>
  <c r="O207" i="28"/>
  <c r="M207" i="28"/>
  <c r="K207" i="28"/>
  <c r="X206" i="28"/>
  <c r="W206" i="28"/>
  <c r="V206" i="28"/>
  <c r="U206" i="28"/>
  <c r="T206" i="28"/>
  <c r="S206" i="28"/>
  <c r="Q206" i="28"/>
  <c r="O206" i="28"/>
  <c r="M206" i="28"/>
  <c r="K206" i="28"/>
  <c r="X205" i="28"/>
  <c r="W205" i="28"/>
  <c r="V205" i="28"/>
  <c r="U205" i="28"/>
  <c r="T205" i="28"/>
  <c r="S205" i="28"/>
  <c r="Q205" i="28"/>
  <c r="O205" i="28"/>
  <c r="M205" i="28"/>
  <c r="K205" i="28"/>
  <c r="X204" i="28"/>
  <c r="W204" i="28"/>
  <c r="V204" i="28"/>
  <c r="U204" i="28"/>
  <c r="T204" i="28"/>
  <c r="S204" i="28"/>
  <c r="Q204" i="28"/>
  <c r="O204" i="28"/>
  <c r="M204" i="28"/>
  <c r="K204" i="28"/>
  <c r="X203" i="28"/>
  <c r="W203" i="28"/>
  <c r="V203" i="28"/>
  <c r="U203" i="28"/>
  <c r="T203" i="28"/>
  <c r="S203" i="28"/>
  <c r="Q203" i="28"/>
  <c r="O203" i="28"/>
  <c r="M203" i="28"/>
  <c r="K203" i="28"/>
  <c r="X202" i="28"/>
  <c r="W202" i="28"/>
  <c r="V202" i="28"/>
  <c r="U202" i="28"/>
  <c r="T202" i="28"/>
  <c r="S202" i="28"/>
  <c r="Q202" i="28"/>
  <c r="O202" i="28"/>
  <c r="M202" i="28"/>
  <c r="K202" i="28"/>
  <c r="X201" i="28"/>
  <c r="W201" i="28"/>
  <c r="V201" i="28"/>
  <c r="U201" i="28"/>
  <c r="T201" i="28"/>
  <c r="S201" i="28"/>
  <c r="Q201" i="28"/>
  <c r="O201" i="28"/>
  <c r="M201" i="28"/>
  <c r="K201" i="28"/>
  <c r="X200" i="28"/>
  <c r="W200" i="28"/>
  <c r="V200" i="28"/>
  <c r="U200" i="28"/>
  <c r="T200" i="28"/>
  <c r="S200" i="28"/>
  <c r="Q200" i="28"/>
  <c r="O200" i="28"/>
  <c r="M200" i="28"/>
  <c r="K200" i="28"/>
  <c r="X199" i="28"/>
  <c r="W199" i="28"/>
  <c r="V199" i="28"/>
  <c r="U199" i="28"/>
  <c r="T199" i="28"/>
  <c r="S199" i="28"/>
  <c r="Q199" i="28"/>
  <c r="O199" i="28"/>
  <c r="M199" i="28"/>
  <c r="K199" i="28"/>
  <c r="X198" i="28"/>
  <c r="W198" i="28"/>
  <c r="V198" i="28"/>
  <c r="U198" i="28"/>
  <c r="T198" i="28"/>
  <c r="S198" i="28"/>
  <c r="Q198" i="28"/>
  <c r="O198" i="28"/>
  <c r="M198" i="28"/>
  <c r="K198" i="28"/>
  <c r="X197" i="28"/>
  <c r="W197" i="28"/>
  <c r="V197" i="28"/>
  <c r="U197" i="28"/>
  <c r="T197" i="28"/>
  <c r="S197" i="28"/>
  <c r="Q197" i="28"/>
  <c r="O197" i="28"/>
  <c r="M197" i="28"/>
  <c r="K197" i="28"/>
  <c r="X196" i="28"/>
  <c r="W196" i="28"/>
  <c r="V196" i="28"/>
  <c r="U196" i="28"/>
  <c r="T196" i="28"/>
  <c r="S196" i="28"/>
  <c r="Q196" i="28"/>
  <c r="O196" i="28"/>
  <c r="M196" i="28"/>
  <c r="K196" i="28"/>
  <c r="X195" i="28"/>
  <c r="W195" i="28"/>
  <c r="V195" i="28"/>
  <c r="U195" i="28"/>
  <c r="T195" i="28"/>
  <c r="S195" i="28"/>
  <c r="Q195" i="28"/>
  <c r="O195" i="28"/>
  <c r="M195" i="28"/>
  <c r="K195" i="28"/>
  <c r="X194" i="28"/>
  <c r="W194" i="28"/>
  <c r="V194" i="28"/>
  <c r="U194" i="28"/>
  <c r="T194" i="28"/>
  <c r="S194" i="28"/>
  <c r="Q194" i="28"/>
  <c r="O194" i="28"/>
  <c r="M194" i="28"/>
  <c r="K194" i="28"/>
  <c r="X193" i="28"/>
  <c r="W193" i="28"/>
  <c r="V193" i="28"/>
  <c r="U193" i="28"/>
  <c r="T193" i="28"/>
  <c r="S193" i="28"/>
  <c r="Q193" i="28"/>
  <c r="O193" i="28"/>
  <c r="M193" i="28"/>
  <c r="K193" i="28"/>
  <c r="X192" i="28"/>
  <c r="W192" i="28"/>
  <c r="V192" i="28"/>
  <c r="U192" i="28"/>
  <c r="T192" i="28"/>
  <c r="S192" i="28"/>
  <c r="Q192" i="28"/>
  <c r="O192" i="28"/>
  <c r="M192" i="28"/>
  <c r="K192" i="28"/>
  <c r="X191" i="28"/>
  <c r="W191" i="28"/>
  <c r="V191" i="28"/>
  <c r="U191" i="28"/>
  <c r="T191" i="28"/>
  <c r="S191" i="28"/>
  <c r="Q191" i="28"/>
  <c r="O191" i="28"/>
  <c r="M191" i="28"/>
  <c r="K191" i="28"/>
  <c r="X190" i="28"/>
  <c r="W190" i="28"/>
  <c r="V190" i="28"/>
  <c r="U190" i="28"/>
  <c r="T190" i="28"/>
  <c r="S190" i="28"/>
  <c r="Q190" i="28"/>
  <c r="O190" i="28"/>
  <c r="M190" i="28"/>
  <c r="K190" i="28"/>
  <c r="X189" i="28"/>
  <c r="W189" i="28"/>
  <c r="V189" i="28"/>
  <c r="U189" i="28"/>
  <c r="T189" i="28"/>
  <c r="S189" i="28"/>
  <c r="Q189" i="28"/>
  <c r="O189" i="28"/>
  <c r="M189" i="28"/>
  <c r="K189" i="28"/>
  <c r="X188" i="28"/>
  <c r="W188" i="28"/>
  <c r="V188" i="28"/>
  <c r="U188" i="28"/>
  <c r="T188" i="28"/>
  <c r="S188" i="28"/>
  <c r="Q188" i="28"/>
  <c r="O188" i="28"/>
  <c r="M188" i="28"/>
  <c r="K188" i="28"/>
  <c r="X187" i="28"/>
  <c r="W187" i="28"/>
  <c r="V187" i="28"/>
  <c r="U187" i="28"/>
  <c r="T187" i="28"/>
  <c r="S187" i="28"/>
  <c r="Q187" i="28"/>
  <c r="O187" i="28"/>
  <c r="M187" i="28"/>
  <c r="K187" i="28"/>
  <c r="X186" i="28"/>
  <c r="W186" i="28"/>
  <c r="V186" i="28"/>
  <c r="U186" i="28"/>
  <c r="T186" i="28"/>
  <c r="S186" i="28"/>
  <c r="Q186" i="28"/>
  <c r="O186" i="28"/>
  <c r="M186" i="28"/>
  <c r="K186" i="28"/>
  <c r="X185" i="28"/>
  <c r="W185" i="28"/>
  <c r="V185" i="28"/>
  <c r="U185" i="28"/>
  <c r="T185" i="28"/>
  <c r="S185" i="28"/>
  <c r="Q185" i="28"/>
  <c r="O185" i="28"/>
  <c r="M185" i="28"/>
  <c r="K185" i="28"/>
  <c r="X184" i="28"/>
  <c r="W184" i="28"/>
  <c r="V184" i="28"/>
  <c r="U184" i="28"/>
  <c r="T184" i="28"/>
  <c r="S184" i="28"/>
  <c r="Q184" i="28"/>
  <c r="O184" i="28"/>
  <c r="M184" i="28"/>
  <c r="K184" i="28"/>
  <c r="X183" i="28"/>
  <c r="W183" i="28"/>
  <c r="V183" i="28"/>
  <c r="U183" i="28"/>
  <c r="T183" i="28"/>
  <c r="S183" i="28"/>
  <c r="Q183" i="28"/>
  <c r="O183" i="28"/>
  <c r="M183" i="28"/>
  <c r="K183" i="28"/>
  <c r="X182" i="28"/>
  <c r="W182" i="28"/>
  <c r="V182" i="28"/>
  <c r="U182" i="28"/>
  <c r="T182" i="28"/>
  <c r="S182" i="28"/>
  <c r="Q182" i="28"/>
  <c r="O182" i="28"/>
  <c r="M182" i="28"/>
  <c r="K182" i="28"/>
  <c r="X181" i="28"/>
  <c r="W181" i="28"/>
  <c r="V181" i="28"/>
  <c r="U181" i="28"/>
  <c r="T181" i="28"/>
  <c r="S181" i="28"/>
  <c r="Q181" i="28"/>
  <c r="O181" i="28"/>
  <c r="M181" i="28"/>
  <c r="K181" i="28"/>
  <c r="X180" i="28"/>
  <c r="W180" i="28"/>
  <c r="V180" i="28"/>
  <c r="U180" i="28"/>
  <c r="T180" i="28"/>
  <c r="S180" i="28"/>
  <c r="Q180" i="28"/>
  <c r="O180" i="28"/>
  <c r="M180" i="28"/>
  <c r="K180" i="28"/>
  <c r="X179" i="28"/>
  <c r="W179" i="28"/>
  <c r="V179" i="28"/>
  <c r="U179" i="28"/>
  <c r="T179" i="28"/>
  <c r="S179" i="28"/>
  <c r="Q179" i="28"/>
  <c r="O179" i="28"/>
  <c r="M179" i="28"/>
  <c r="K179" i="28"/>
  <c r="X178" i="28"/>
  <c r="W178" i="28"/>
  <c r="V178" i="28"/>
  <c r="U178" i="28"/>
  <c r="T178" i="28"/>
  <c r="S178" i="28"/>
  <c r="Q178" i="28"/>
  <c r="O178" i="28"/>
  <c r="M178" i="28"/>
  <c r="K178" i="28"/>
  <c r="X177" i="28"/>
  <c r="W177" i="28"/>
  <c r="V177" i="28"/>
  <c r="U177" i="28"/>
  <c r="T177" i="28"/>
  <c r="S177" i="28"/>
  <c r="Q177" i="28"/>
  <c r="O177" i="28"/>
  <c r="M177" i="28"/>
  <c r="K177" i="28"/>
  <c r="X176" i="28"/>
  <c r="W176" i="28"/>
  <c r="V176" i="28"/>
  <c r="U176" i="28"/>
  <c r="T176" i="28"/>
  <c r="S176" i="28"/>
  <c r="Q176" i="28"/>
  <c r="O176" i="28"/>
  <c r="M176" i="28"/>
  <c r="K176" i="28"/>
  <c r="X175" i="28"/>
  <c r="W175" i="28"/>
  <c r="V175" i="28"/>
  <c r="U175" i="28"/>
  <c r="T175" i="28"/>
  <c r="S175" i="28"/>
  <c r="Q175" i="28"/>
  <c r="O175" i="28"/>
  <c r="M175" i="28"/>
  <c r="K175" i="28"/>
  <c r="X174" i="28"/>
  <c r="W174" i="28"/>
  <c r="V174" i="28"/>
  <c r="U174" i="28"/>
  <c r="T174" i="28"/>
  <c r="S174" i="28"/>
  <c r="Q174" i="28"/>
  <c r="O174" i="28"/>
  <c r="M174" i="28"/>
  <c r="K174" i="28"/>
  <c r="X173" i="28"/>
  <c r="W173" i="28"/>
  <c r="V173" i="28"/>
  <c r="U173" i="28"/>
  <c r="T173" i="28"/>
  <c r="S173" i="28"/>
  <c r="Q173" i="28"/>
  <c r="O173" i="28"/>
  <c r="M173" i="28"/>
  <c r="K173" i="28"/>
  <c r="X172" i="28"/>
  <c r="W172" i="28"/>
  <c r="V172" i="28"/>
  <c r="U172" i="28"/>
  <c r="T172" i="28"/>
  <c r="S172" i="28"/>
  <c r="Q172" i="28"/>
  <c r="O172" i="28"/>
  <c r="M172" i="28"/>
  <c r="K172" i="28"/>
  <c r="X171" i="28"/>
  <c r="W171" i="28"/>
  <c r="V171" i="28"/>
  <c r="U171" i="28"/>
  <c r="T171" i="28"/>
  <c r="S171" i="28"/>
  <c r="Q171" i="28"/>
  <c r="O171" i="28"/>
  <c r="M171" i="28"/>
  <c r="K171" i="28"/>
  <c r="X170" i="28"/>
  <c r="W170" i="28"/>
  <c r="V170" i="28"/>
  <c r="U170" i="28"/>
  <c r="T170" i="28"/>
  <c r="S170" i="28"/>
  <c r="Q170" i="28"/>
  <c r="O170" i="28"/>
  <c r="M170" i="28"/>
  <c r="K170" i="28"/>
  <c r="X169" i="28"/>
  <c r="W169" i="28"/>
  <c r="V169" i="28"/>
  <c r="U169" i="28"/>
  <c r="T169" i="28"/>
  <c r="S169" i="28"/>
  <c r="Q169" i="28"/>
  <c r="O169" i="28"/>
  <c r="M169" i="28"/>
  <c r="K169" i="28"/>
  <c r="X168" i="28"/>
  <c r="W168" i="28"/>
  <c r="V168" i="28"/>
  <c r="U168" i="28"/>
  <c r="T168" i="28"/>
  <c r="S168" i="28"/>
  <c r="Q168" i="28"/>
  <c r="O168" i="28"/>
  <c r="M168" i="28"/>
  <c r="K168" i="28"/>
  <c r="X167" i="28"/>
  <c r="W167" i="28"/>
  <c r="V167" i="28"/>
  <c r="U167" i="28"/>
  <c r="T167" i="28"/>
  <c r="S167" i="28"/>
  <c r="Q167" i="28"/>
  <c r="O167" i="28"/>
  <c r="M167" i="28"/>
  <c r="K167" i="28"/>
  <c r="X166" i="28"/>
  <c r="W166" i="28"/>
  <c r="V166" i="28"/>
  <c r="U166" i="28"/>
  <c r="T166" i="28"/>
  <c r="S166" i="28"/>
  <c r="Q166" i="28"/>
  <c r="O166" i="28"/>
  <c r="M166" i="28"/>
  <c r="K166" i="28"/>
  <c r="X165" i="28"/>
  <c r="W165" i="28"/>
  <c r="V165" i="28"/>
  <c r="U165" i="28"/>
  <c r="T165" i="28"/>
  <c r="S165" i="28"/>
  <c r="Q165" i="28"/>
  <c r="O165" i="28"/>
  <c r="M165" i="28"/>
  <c r="K165" i="28"/>
  <c r="X164" i="28"/>
  <c r="W164" i="28"/>
  <c r="V164" i="28"/>
  <c r="U164" i="28"/>
  <c r="T164" i="28"/>
  <c r="S164" i="28"/>
  <c r="Q164" i="28"/>
  <c r="O164" i="28"/>
  <c r="M164" i="28"/>
  <c r="K164" i="28"/>
  <c r="X163" i="28"/>
  <c r="W163" i="28"/>
  <c r="V163" i="28"/>
  <c r="U163" i="28"/>
  <c r="T163" i="28"/>
  <c r="S163" i="28"/>
  <c r="Q163" i="28"/>
  <c r="O163" i="28"/>
  <c r="M163" i="28"/>
  <c r="K163" i="28"/>
  <c r="X162" i="28"/>
  <c r="W162" i="28"/>
  <c r="V162" i="28"/>
  <c r="U162" i="28"/>
  <c r="T162" i="28"/>
  <c r="S162" i="28"/>
  <c r="Q162" i="28"/>
  <c r="O162" i="28"/>
  <c r="M162" i="28"/>
  <c r="K162" i="28"/>
  <c r="X161" i="28"/>
  <c r="W161" i="28"/>
  <c r="V161" i="28"/>
  <c r="U161" i="28"/>
  <c r="T161" i="28"/>
  <c r="S161" i="28"/>
  <c r="Q161" i="28"/>
  <c r="O161" i="28"/>
  <c r="M161" i="28"/>
  <c r="K161" i="28"/>
  <c r="X160" i="28"/>
  <c r="W160" i="28"/>
  <c r="V160" i="28"/>
  <c r="U160" i="28"/>
  <c r="T160" i="28"/>
  <c r="S160" i="28"/>
  <c r="Q160" i="28"/>
  <c r="O160" i="28"/>
  <c r="M160" i="28"/>
  <c r="K160" i="28"/>
  <c r="X159" i="28"/>
  <c r="W159" i="28"/>
  <c r="V159" i="28"/>
  <c r="U159" i="28"/>
  <c r="T159" i="28"/>
  <c r="S159" i="28"/>
  <c r="Q159" i="28"/>
  <c r="O159" i="28"/>
  <c r="M159" i="28"/>
  <c r="K159" i="28"/>
  <c r="X158" i="28"/>
  <c r="W158" i="28"/>
  <c r="V158" i="28"/>
  <c r="U158" i="28"/>
  <c r="T158" i="28"/>
  <c r="S158" i="28"/>
  <c r="Q158" i="28"/>
  <c r="O158" i="28"/>
  <c r="M158" i="28"/>
  <c r="K158" i="28"/>
  <c r="X157" i="28"/>
  <c r="W157" i="28"/>
  <c r="V157" i="28"/>
  <c r="U157" i="28"/>
  <c r="T157" i="28"/>
  <c r="S157" i="28"/>
  <c r="Q157" i="28"/>
  <c r="O157" i="28"/>
  <c r="M157" i="28"/>
  <c r="K157" i="28"/>
  <c r="X156" i="28"/>
  <c r="W156" i="28"/>
  <c r="V156" i="28"/>
  <c r="U156" i="28"/>
  <c r="T156" i="28"/>
  <c r="S156" i="28"/>
  <c r="Q156" i="28"/>
  <c r="O156" i="28"/>
  <c r="M156" i="28"/>
  <c r="K156" i="28"/>
  <c r="X155" i="28"/>
  <c r="W155" i="28"/>
  <c r="V155" i="28"/>
  <c r="U155" i="28"/>
  <c r="T155" i="28"/>
  <c r="S155" i="28"/>
  <c r="Q155" i="28"/>
  <c r="O155" i="28"/>
  <c r="M155" i="28"/>
  <c r="K155" i="28"/>
  <c r="X154" i="28"/>
  <c r="W154" i="28"/>
  <c r="V154" i="28"/>
  <c r="U154" i="28"/>
  <c r="T154" i="28"/>
  <c r="S154" i="28"/>
  <c r="Q154" i="28"/>
  <c r="O154" i="28"/>
  <c r="M154" i="28"/>
  <c r="K154" i="28"/>
  <c r="X153" i="28"/>
  <c r="W153" i="28"/>
  <c r="V153" i="28"/>
  <c r="U153" i="28"/>
  <c r="T153" i="28"/>
  <c r="S153" i="28"/>
  <c r="Q153" i="28"/>
  <c r="O153" i="28"/>
  <c r="M153" i="28"/>
  <c r="K153" i="28"/>
  <c r="X152" i="28"/>
  <c r="W152" i="28"/>
  <c r="V152" i="28"/>
  <c r="U152" i="28"/>
  <c r="T152" i="28"/>
  <c r="S152" i="28"/>
  <c r="Q152" i="28"/>
  <c r="O152" i="28"/>
  <c r="M152" i="28"/>
  <c r="K152" i="28"/>
  <c r="X151" i="28"/>
  <c r="W151" i="28"/>
  <c r="V151" i="28"/>
  <c r="U151" i="28"/>
  <c r="T151" i="28"/>
  <c r="S151" i="28"/>
  <c r="Q151" i="28"/>
  <c r="O151" i="28"/>
  <c r="M151" i="28"/>
  <c r="K151" i="28"/>
  <c r="X150" i="28"/>
  <c r="W150" i="28"/>
  <c r="V150" i="28"/>
  <c r="U150" i="28"/>
  <c r="T150" i="28"/>
  <c r="S150" i="28"/>
  <c r="Q150" i="28"/>
  <c r="O150" i="28"/>
  <c r="M150" i="28"/>
  <c r="K150" i="28"/>
  <c r="X149" i="28"/>
  <c r="W149" i="28"/>
  <c r="V149" i="28"/>
  <c r="U149" i="28"/>
  <c r="T149" i="28"/>
  <c r="S149" i="28"/>
  <c r="Q149" i="28"/>
  <c r="O149" i="28"/>
  <c r="M149" i="28"/>
  <c r="K149" i="28"/>
  <c r="X148" i="28"/>
  <c r="W148" i="28"/>
  <c r="V148" i="28"/>
  <c r="U148" i="28"/>
  <c r="T148" i="28"/>
  <c r="S148" i="28"/>
  <c r="Q148" i="28"/>
  <c r="O148" i="28"/>
  <c r="M148" i="28"/>
  <c r="K148" i="28"/>
  <c r="X147" i="28"/>
  <c r="W147" i="28"/>
  <c r="V147" i="28"/>
  <c r="U147" i="28"/>
  <c r="T147" i="28"/>
  <c r="S147" i="28"/>
  <c r="Q147" i="28"/>
  <c r="O147" i="28"/>
  <c r="M147" i="28"/>
  <c r="K147" i="28"/>
  <c r="X146" i="28"/>
  <c r="W146" i="28"/>
  <c r="V146" i="28"/>
  <c r="U146" i="28"/>
  <c r="T146" i="28"/>
  <c r="S146" i="28"/>
  <c r="Q146" i="28"/>
  <c r="O146" i="28"/>
  <c r="M146" i="28"/>
  <c r="K146" i="28"/>
  <c r="X145" i="28"/>
  <c r="W145" i="28"/>
  <c r="V145" i="28"/>
  <c r="U145" i="28"/>
  <c r="T145" i="28"/>
  <c r="S145" i="28"/>
  <c r="Q145" i="28"/>
  <c r="O145" i="28"/>
  <c r="M145" i="28"/>
  <c r="K145" i="28"/>
  <c r="X144" i="28"/>
  <c r="W144" i="28"/>
  <c r="V144" i="28"/>
  <c r="U144" i="28"/>
  <c r="T144" i="28"/>
  <c r="S144" i="28"/>
  <c r="Q144" i="28"/>
  <c r="O144" i="28"/>
  <c r="M144" i="28"/>
  <c r="K144" i="28"/>
  <c r="X143" i="28"/>
  <c r="W143" i="28"/>
  <c r="V143" i="28"/>
  <c r="U143" i="28"/>
  <c r="T143" i="28"/>
  <c r="S143" i="28"/>
  <c r="Q143" i="28"/>
  <c r="O143" i="28"/>
  <c r="M143" i="28"/>
  <c r="K143" i="28"/>
  <c r="X142" i="28"/>
  <c r="W142" i="28"/>
  <c r="V142" i="28"/>
  <c r="U142" i="28"/>
  <c r="T142" i="28"/>
  <c r="S142" i="28"/>
  <c r="Q142" i="28"/>
  <c r="O142" i="28"/>
  <c r="M142" i="28"/>
  <c r="K142" i="28"/>
  <c r="X141" i="28"/>
  <c r="W141" i="28"/>
  <c r="V141" i="28"/>
  <c r="U141" i="28"/>
  <c r="T141" i="28"/>
  <c r="S141" i="28"/>
  <c r="Q141" i="28"/>
  <c r="O141" i="28"/>
  <c r="M141" i="28"/>
  <c r="K141" i="28"/>
  <c r="X140" i="28"/>
  <c r="W140" i="28"/>
  <c r="V140" i="28"/>
  <c r="U140" i="28"/>
  <c r="T140" i="28"/>
  <c r="S140" i="28"/>
  <c r="Q140" i="28"/>
  <c r="O140" i="28"/>
  <c r="M140" i="28"/>
  <c r="K140" i="28"/>
  <c r="X139" i="28"/>
  <c r="W139" i="28"/>
  <c r="V139" i="28"/>
  <c r="U139" i="28"/>
  <c r="T139" i="28"/>
  <c r="S139" i="28"/>
  <c r="Q139" i="28"/>
  <c r="O139" i="28"/>
  <c r="M139" i="28"/>
  <c r="K139" i="28"/>
  <c r="X138" i="28"/>
  <c r="W138" i="28"/>
  <c r="V138" i="28"/>
  <c r="U138" i="28"/>
  <c r="T138" i="28"/>
  <c r="S138" i="28"/>
  <c r="Q138" i="28"/>
  <c r="O138" i="28"/>
  <c r="M138" i="28"/>
  <c r="K138" i="28"/>
  <c r="X137" i="28"/>
  <c r="W137" i="28"/>
  <c r="V137" i="28"/>
  <c r="U137" i="28"/>
  <c r="T137" i="28"/>
  <c r="S137" i="28"/>
  <c r="Q137" i="28"/>
  <c r="O137" i="28"/>
  <c r="M137" i="28"/>
  <c r="K137" i="28"/>
  <c r="X136" i="28"/>
  <c r="W136" i="28"/>
  <c r="V136" i="28"/>
  <c r="U136" i="28"/>
  <c r="T136" i="28"/>
  <c r="S136" i="28"/>
  <c r="Q136" i="28"/>
  <c r="O136" i="28"/>
  <c r="M136" i="28"/>
  <c r="K136" i="28"/>
  <c r="X135" i="28"/>
  <c r="W135" i="28"/>
  <c r="V135" i="28"/>
  <c r="U135" i="28"/>
  <c r="T135" i="28"/>
  <c r="S135" i="28"/>
  <c r="Q135" i="28"/>
  <c r="O135" i="28"/>
  <c r="M135" i="28"/>
  <c r="K135" i="28"/>
  <c r="X134" i="28"/>
  <c r="W134" i="28"/>
  <c r="V134" i="28"/>
  <c r="U134" i="28"/>
  <c r="T134" i="28"/>
  <c r="S134" i="28"/>
  <c r="Q134" i="28"/>
  <c r="O134" i="28"/>
  <c r="M134" i="28"/>
  <c r="K134" i="28"/>
  <c r="X133" i="28"/>
  <c r="W133" i="28"/>
  <c r="V133" i="28"/>
  <c r="U133" i="28"/>
  <c r="T133" i="28"/>
  <c r="S133" i="28"/>
  <c r="Q133" i="28"/>
  <c r="O133" i="28"/>
  <c r="M133" i="28"/>
  <c r="K133" i="28"/>
  <c r="X132" i="28"/>
  <c r="W132" i="28"/>
  <c r="V132" i="28"/>
  <c r="U132" i="28"/>
  <c r="T132" i="28"/>
  <c r="S132" i="28"/>
  <c r="Q132" i="28"/>
  <c r="O132" i="28"/>
  <c r="M132" i="28"/>
  <c r="K132" i="28"/>
  <c r="X131" i="28"/>
  <c r="W131" i="28"/>
  <c r="V131" i="28"/>
  <c r="U131" i="28"/>
  <c r="T131" i="28"/>
  <c r="S131" i="28"/>
  <c r="Q131" i="28"/>
  <c r="O131" i="28"/>
  <c r="M131" i="28"/>
  <c r="K131" i="28"/>
  <c r="X130" i="28"/>
  <c r="W130" i="28"/>
  <c r="V130" i="28"/>
  <c r="U130" i="28"/>
  <c r="T130" i="28"/>
  <c r="S130" i="28"/>
  <c r="Q130" i="28"/>
  <c r="O130" i="28"/>
  <c r="M130" i="28"/>
  <c r="K130" i="28"/>
  <c r="X129" i="28"/>
  <c r="W129" i="28"/>
  <c r="V129" i="28"/>
  <c r="U129" i="28"/>
  <c r="T129" i="28"/>
  <c r="S129" i="28"/>
  <c r="Q129" i="28"/>
  <c r="O129" i="28"/>
  <c r="M129" i="28"/>
  <c r="K129" i="28"/>
  <c r="X128" i="28"/>
  <c r="W128" i="28"/>
  <c r="V128" i="28"/>
  <c r="U128" i="28"/>
  <c r="T128" i="28"/>
  <c r="S128" i="28"/>
  <c r="Q128" i="28"/>
  <c r="O128" i="28"/>
  <c r="M128" i="28"/>
  <c r="K128" i="28"/>
  <c r="X127" i="28"/>
  <c r="W127" i="28"/>
  <c r="V127" i="28"/>
  <c r="U127" i="28"/>
  <c r="T127" i="28"/>
  <c r="S127" i="28"/>
  <c r="Q127" i="28"/>
  <c r="O127" i="28"/>
  <c r="M127" i="28"/>
  <c r="K127" i="28"/>
  <c r="X126" i="28"/>
  <c r="W126" i="28"/>
  <c r="V126" i="28"/>
  <c r="U126" i="28"/>
  <c r="T126" i="28"/>
  <c r="S126" i="28"/>
  <c r="Q126" i="28"/>
  <c r="O126" i="28"/>
  <c r="M126" i="28"/>
  <c r="K126" i="28"/>
  <c r="X125" i="28"/>
  <c r="W125" i="28"/>
  <c r="V125" i="28"/>
  <c r="U125" i="28"/>
  <c r="T125" i="28"/>
  <c r="S125" i="28"/>
  <c r="Q125" i="28"/>
  <c r="O125" i="28"/>
  <c r="M125" i="28"/>
  <c r="K125" i="28"/>
  <c r="X124" i="28"/>
  <c r="W124" i="28"/>
  <c r="V124" i="28"/>
  <c r="U124" i="28"/>
  <c r="T124" i="28"/>
  <c r="S124" i="28"/>
  <c r="Q124" i="28"/>
  <c r="O124" i="28"/>
  <c r="M124" i="28"/>
  <c r="K124" i="28"/>
  <c r="X123" i="28"/>
  <c r="W123" i="28"/>
  <c r="V123" i="28"/>
  <c r="U123" i="28"/>
  <c r="T123" i="28"/>
  <c r="S123" i="28"/>
  <c r="Q123" i="28"/>
  <c r="O123" i="28"/>
  <c r="M123" i="28"/>
  <c r="K123" i="28"/>
  <c r="X122" i="28"/>
  <c r="W122" i="28"/>
  <c r="V122" i="28"/>
  <c r="U122" i="28"/>
  <c r="T122" i="28"/>
  <c r="S122" i="28"/>
  <c r="Q122" i="28"/>
  <c r="O122" i="28"/>
  <c r="M122" i="28"/>
  <c r="K122" i="28"/>
  <c r="X121" i="28"/>
  <c r="W121" i="28"/>
  <c r="V121" i="28"/>
  <c r="U121" i="28"/>
  <c r="T121" i="28"/>
  <c r="S121" i="28"/>
  <c r="Q121" i="28"/>
  <c r="O121" i="28"/>
  <c r="M121" i="28"/>
  <c r="K121" i="28"/>
  <c r="X120" i="28"/>
  <c r="W120" i="28"/>
  <c r="V120" i="28"/>
  <c r="U120" i="28"/>
  <c r="T120" i="28"/>
  <c r="S120" i="28"/>
  <c r="Q120" i="28"/>
  <c r="O120" i="28"/>
  <c r="M120" i="28"/>
  <c r="K120" i="28"/>
  <c r="X119" i="28"/>
  <c r="W119" i="28"/>
  <c r="V119" i="28"/>
  <c r="U119" i="28"/>
  <c r="T119" i="28"/>
  <c r="S119" i="28"/>
  <c r="Q119" i="28"/>
  <c r="O119" i="28"/>
  <c r="M119" i="28"/>
  <c r="K119" i="28"/>
  <c r="X118" i="28"/>
  <c r="W118" i="28"/>
  <c r="V118" i="28"/>
  <c r="U118" i="28"/>
  <c r="T118" i="28"/>
  <c r="S118" i="28"/>
  <c r="Q118" i="28"/>
  <c r="O118" i="28"/>
  <c r="M118" i="28"/>
  <c r="K118" i="28"/>
  <c r="X117" i="28"/>
  <c r="W117" i="28"/>
  <c r="V117" i="28"/>
  <c r="U117" i="28"/>
  <c r="T117" i="28"/>
  <c r="S117" i="28"/>
  <c r="Q117" i="28"/>
  <c r="O117" i="28"/>
  <c r="M117" i="28"/>
  <c r="K117" i="28"/>
  <c r="X116" i="28"/>
  <c r="W116" i="28"/>
  <c r="V116" i="28"/>
  <c r="U116" i="28"/>
  <c r="T116" i="28"/>
  <c r="S116" i="28"/>
  <c r="Q116" i="28"/>
  <c r="O116" i="28"/>
  <c r="M116" i="28"/>
  <c r="K116" i="28"/>
  <c r="X115" i="28"/>
  <c r="W115" i="28"/>
  <c r="V115" i="28"/>
  <c r="U115" i="28"/>
  <c r="T115" i="28"/>
  <c r="S115" i="28"/>
  <c r="Q115" i="28"/>
  <c r="O115" i="28"/>
  <c r="M115" i="28"/>
  <c r="K115" i="28"/>
  <c r="X114" i="28"/>
  <c r="W114" i="28"/>
  <c r="V114" i="28"/>
  <c r="U114" i="28"/>
  <c r="T114" i="28"/>
  <c r="S114" i="28"/>
  <c r="Q114" i="28"/>
  <c r="O114" i="28"/>
  <c r="M114" i="28"/>
  <c r="K114" i="28"/>
  <c r="X113" i="28"/>
  <c r="W113" i="28"/>
  <c r="V113" i="28"/>
  <c r="U113" i="28"/>
  <c r="T113" i="28"/>
  <c r="S113" i="28"/>
  <c r="Q113" i="28"/>
  <c r="O113" i="28"/>
  <c r="M113" i="28"/>
  <c r="K113" i="28"/>
  <c r="X112" i="28"/>
  <c r="W112" i="28"/>
  <c r="V112" i="28"/>
  <c r="U112" i="28"/>
  <c r="T112" i="28"/>
  <c r="S112" i="28"/>
  <c r="Q112" i="28"/>
  <c r="O112" i="28"/>
  <c r="M112" i="28"/>
  <c r="K112" i="28"/>
  <c r="X111" i="28"/>
  <c r="W111" i="28"/>
  <c r="V111" i="28"/>
  <c r="U111" i="28"/>
  <c r="T111" i="28"/>
  <c r="S111" i="28"/>
  <c r="Q111" i="28"/>
  <c r="O111" i="28"/>
  <c r="M111" i="28"/>
  <c r="K111" i="28"/>
  <c r="X110" i="28"/>
  <c r="W110" i="28"/>
  <c r="V110" i="28"/>
  <c r="U110" i="28"/>
  <c r="T110" i="28"/>
  <c r="S110" i="28"/>
  <c r="Q110" i="28"/>
  <c r="O110" i="28"/>
  <c r="M110" i="28"/>
  <c r="K110" i="28"/>
  <c r="X109" i="28"/>
  <c r="W109" i="28"/>
  <c r="V109" i="28"/>
  <c r="U109" i="28"/>
  <c r="T109" i="28"/>
  <c r="S109" i="28"/>
  <c r="Q109" i="28"/>
  <c r="O109" i="28"/>
  <c r="M109" i="28"/>
  <c r="K109" i="28"/>
  <c r="X108" i="28"/>
  <c r="W108" i="28"/>
  <c r="V108" i="28"/>
  <c r="U108" i="28"/>
  <c r="T108" i="28"/>
  <c r="S108" i="28"/>
  <c r="Q108" i="28"/>
  <c r="O108" i="28"/>
  <c r="M108" i="28"/>
  <c r="K108" i="28"/>
  <c r="X107" i="28"/>
  <c r="W107" i="28"/>
  <c r="V107" i="28"/>
  <c r="U107" i="28"/>
  <c r="T107" i="28"/>
  <c r="S107" i="28"/>
  <c r="Q107" i="28"/>
  <c r="O107" i="28"/>
  <c r="M107" i="28"/>
  <c r="K107" i="28"/>
  <c r="X106" i="28"/>
  <c r="W106" i="28"/>
  <c r="V106" i="28"/>
  <c r="U106" i="28"/>
  <c r="T106" i="28"/>
  <c r="S106" i="28"/>
  <c r="Q106" i="28"/>
  <c r="O106" i="28"/>
  <c r="M106" i="28"/>
  <c r="K106" i="28"/>
  <c r="X105" i="28"/>
  <c r="W105" i="28"/>
  <c r="V105" i="28"/>
  <c r="U105" i="28"/>
  <c r="T105" i="28"/>
  <c r="S105" i="28"/>
  <c r="Q105" i="28"/>
  <c r="O105" i="28"/>
  <c r="M105" i="28"/>
  <c r="K105" i="28"/>
  <c r="X104" i="28"/>
  <c r="W104" i="28"/>
  <c r="V104" i="28"/>
  <c r="U104" i="28"/>
  <c r="T104" i="28"/>
  <c r="S104" i="28"/>
  <c r="Q104" i="28"/>
  <c r="O104" i="28"/>
  <c r="M104" i="28"/>
  <c r="K104" i="28"/>
  <c r="X103" i="28"/>
  <c r="W103" i="28"/>
  <c r="V103" i="28"/>
  <c r="U103" i="28"/>
  <c r="T103" i="28"/>
  <c r="S103" i="28"/>
  <c r="Q103" i="28"/>
  <c r="O103" i="28"/>
  <c r="M103" i="28"/>
  <c r="K103" i="28"/>
  <c r="X102" i="28"/>
  <c r="W102" i="28"/>
  <c r="V102" i="28"/>
  <c r="U102" i="28"/>
  <c r="T102" i="28"/>
  <c r="S102" i="28"/>
  <c r="Q102" i="28"/>
  <c r="O102" i="28"/>
  <c r="M102" i="28"/>
  <c r="K102" i="28"/>
  <c r="X101" i="28"/>
  <c r="W101" i="28"/>
  <c r="V101" i="28"/>
  <c r="U101" i="28"/>
  <c r="T101" i="28"/>
  <c r="S101" i="28"/>
  <c r="Q101" i="28"/>
  <c r="O101" i="28"/>
  <c r="M101" i="28"/>
  <c r="K101" i="28"/>
  <c r="X100" i="28"/>
  <c r="W100" i="28"/>
  <c r="V100" i="28"/>
  <c r="U100" i="28"/>
  <c r="T100" i="28"/>
  <c r="S100" i="28"/>
  <c r="Q100" i="28"/>
  <c r="O100" i="28"/>
  <c r="M100" i="28"/>
  <c r="K100" i="28"/>
  <c r="X99" i="28"/>
  <c r="W99" i="28"/>
  <c r="V99" i="28"/>
  <c r="U99" i="28"/>
  <c r="T99" i="28"/>
  <c r="S99" i="28"/>
  <c r="Q99" i="28"/>
  <c r="O99" i="28"/>
  <c r="M99" i="28"/>
  <c r="K99" i="28"/>
  <c r="X98" i="28"/>
  <c r="W98" i="28"/>
  <c r="V98" i="28"/>
  <c r="U98" i="28"/>
  <c r="T98" i="28"/>
  <c r="S98" i="28"/>
  <c r="Q98" i="28"/>
  <c r="O98" i="28"/>
  <c r="M98" i="28"/>
  <c r="K98" i="28"/>
  <c r="X97" i="28"/>
  <c r="W97" i="28"/>
  <c r="V97" i="28"/>
  <c r="U97" i="28"/>
  <c r="T97" i="28"/>
  <c r="S97" i="28"/>
  <c r="Q97" i="28"/>
  <c r="O97" i="28"/>
  <c r="M97" i="28"/>
  <c r="K97" i="28"/>
  <c r="X96" i="28"/>
  <c r="W96" i="28"/>
  <c r="V96" i="28"/>
  <c r="U96" i="28"/>
  <c r="T96" i="28"/>
  <c r="S96" i="28"/>
  <c r="Q96" i="28"/>
  <c r="O96" i="28"/>
  <c r="M96" i="28"/>
  <c r="K96" i="28"/>
  <c r="X95" i="28"/>
  <c r="W95" i="28"/>
  <c r="V95" i="28"/>
  <c r="U95" i="28"/>
  <c r="T95" i="28"/>
  <c r="S95" i="28"/>
  <c r="Q95" i="28"/>
  <c r="O95" i="28"/>
  <c r="M95" i="28"/>
  <c r="K95" i="28"/>
  <c r="X94" i="28"/>
  <c r="W94" i="28"/>
  <c r="V94" i="28"/>
  <c r="U94" i="28"/>
  <c r="T94" i="28"/>
  <c r="S94" i="28"/>
  <c r="Q94" i="28"/>
  <c r="O94" i="28"/>
  <c r="M94" i="28"/>
  <c r="K94" i="28"/>
  <c r="X93" i="28"/>
  <c r="W93" i="28"/>
  <c r="V93" i="28"/>
  <c r="U93" i="28"/>
  <c r="T93" i="28"/>
  <c r="S93" i="28"/>
  <c r="Q93" i="28"/>
  <c r="O93" i="28"/>
  <c r="M93" i="28"/>
  <c r="K93" i="28"/>
  <c r="X92" i="28"/>
  <c r="W92" i="28"/>
  <c r="V92" i="28"/>
  <c r="U92" i="28"/>
  <c r="T92" i="28"/>
  <c r="S92" i="28"/>
  <c r="Q92" i="28"/>
  <c r="O92" i="28"/>
  <c r="M92" i="28"/>
  <c r="K92" i="28"/>
  <c r="X91" i="28"/>
  <c r="W91" i="28"/>
  <c r="V91" i="28"/>
  <c r="U91" i="28"/>
  <c r="T91" i="28"/>
  <c r="S91" i="28"/>
  <c r="Q91" i="28"/>
  <c r="O91" i="28"/>
  <c r="M91" i="28"/>
  <c r="K91" i="28"/>
  <c r="X90" i="28"/>
  <c r="W90" i="28"/>
  <c r="V90" i="28"/>
  <c r="U90" i="28"/>
  <c r="T90" i="28"/>
  <c r="S90" i="28"/>
  <c r="Q90" i="28"/>
  <c r="O90" i="28"/>
  <c r="M90" i="28"/>
  <c r="K90" i="28"/>
  <c r="X89" i="28"/>
  <c r="W89" i="28"/>
  <c r="V89" i="28"/>
  <c r="U89" i="28"/>
  <c r="T89" i="28"/>
  <c r="S89" i="28"/>
  <c r="Q89" i="28"/>
  <c r="O89" i="28"/>
  <c r="M89" i="28"/>
  <c r="K89" i="28"/>
  <c r="X88" i="28"/>
  <c r="W88" i="28"/>
  <c r="V88" i="28"/>
  <c r="U88" i="28"/>
  <c r="T88" i="28"/>
  <c r="S88" i="28"/>
  <c r="Q88" i="28"/>
  <c r="O88" i="28"/>
  <c r="M88" i="28"/>
  <c r="K88" i="28"/>
  <c r="X87" i="28"/>
  <c r="W87" i="28"/>
  <c r="V87" i="28"/>
  <c r="U87" i="28"/>
  <c r="T87" i="28"/>
  <c r="S87" i="28"/>
  <c r="Q87" i="28"/>
  <c r="O87" i="28"/>
  <c r="M87" i="28"/>
  <c r="K87" i="28"/>
  <c r="X86" i="28"/>
  <c r="W86" i="28"/>
  <c r="V86" i="28"/>
  <c r="U86" i="28"/>
  <c r="T86" i="28"/>
  <c r="S86" i="28"/>
  <c r="Q86" i="28"/>
  <c r="O86" i="28"/>
  <c r="M86" i="28"/>
  <c r="K86" i="28"/>
  <c r="X85" i="28"/>
  <c r="W85" i="28"/>
  <c r="V85" i="28"/>
  <c r="U85" i="28"/>
  <c r="T85" i="28"/>
  <c r="S85" i="28"/>
  <c r="Q85" i="28"/>
  <c r="O85" i="28"/>
  <c r="M85" i="28"/>
  <c r="K85" i="28"/>
  <c r="X84" i="28"/>
  <c r="W84" i="28"/>
  <c r="V84" i="28"/>
  <c r="U84" i="28"/>
  <c r="T84" i="28"/>
  <c r="S84" i="28"/>
  <c r="Q84" i="28"/>
  <c r="O84" i="28"/>
  <c r="M84" i="28"/>
  <c r="K84" i="28"/>
  <c r="X83" i="28"/>
  <c r="W83" i="28"/>
  <c r="V83" i="28"/>
  <c r="U83" i="28"/>
  <c r="T83" i="28"/>
  <c r="S83" i="28"/>
  <c r="Q83" i="28"/>
  <c r="O83" i="28"/>
  <c r="M83" i="28"/>
  <c r="K83" i="28"/>
  <c r="X82" i="28"/>
  <c r="W82" i="28"/>
  <c r="V82" i="28"/>
  <c r="U82" i="28"/>
  <c r="T82" i="28"/>
  <c r="S82" i="28"/>
  <c r="Q82" i="28"/>
  <c r="O82" i="28"/>
  <c r="M82" i="28"/>
  <c r="K82" i="28"/>
  <c r="X81" i="28"/>
  <c r="W81" i="28"/>
  <c r="V81" i="28"/>
  <c r="U81" i="28"/>
  <c r="T81" i="28"/>
  <c r="S81" i="28"/>
  <c r="Q81" i="28"/>
  <c r="O81" i="28"/>
  <c r="M81" i="28"/>
  <c r="K81" i="28"/>
  <c r="X80" i="28"/>
  <c r="W80" i="28"/>
  <c r="V80" i="28"/>
  <c r="U80" i="28"/>
  <c r="T80" i="28"/>
  <c r="S80" i="28"/>
  <c r="Q80" i="28"/>
  <c r="O80" i="28"/>
  <c r="M80" i="28"/>
  <c r="K80" i="28"/>
  <c r="X79" i="28"/>
  <c r="W79" i="28"/>
  <c r="V79" i="28"/>
  <c r="U79" i="28"/>
  <c r="T79" i="28"/>
  <c r="S79" i="28"/>
  <c r="Q79" i="28"/>
  <c r="O79" i="28"/>
  <c r="M79" i="28"/>
  <c r="K79" i="28"/>
  <c r="X78" i="28"/>
  <c r="W78" i="28"/>
  <c r="V78" i="28"/>
  <c r="U78" i="28"/>
  <c r="T78" i="28"/>
  <c r="S78" i="28"/>
  <c r="Q78" i="28"/>
  <c r="O78" i="28"/>
  <c r="M78" i="28"/>
  <c r="K78" i="28"/>
  <c r="X77" i="28"/>
  <c r="W77" i="28"/>
  <c r="V77" i="28"/>
  <c r="U77" i="28"/>
  <c r="T77" i="28"/>
  <c r="S77" i="28"/>
  <c r="Q77" i="28"/>
  <c r="O77" i="28"/>
  <c r="M77" i="28"/>
  <c r="K77" i="28"/>
  <c r="X76" i="28"/>
  <c r="W76" i="28"/>
  <c r="V76" i="28"/>
  <c r="U76" i="28"/>
  <c r="T76" i="28"/>
  <c r="S76" i="28"/>
  <c r="Q76" i="28"/>
  <c r="O76" i="28"/>
  <c r="M76" i="28"/>
  <c r="K76" i="28"/>
  <c r="X75" i="28"/>
  <c r="W75" i="28"/>
  <c r="V75" i="28"/>
  <c r="U75" i="28"/>
  <c r="T75" i="28"/>
  <c r="S75" i="28"/>
  <c r="Q75" i="28"/>
  <c r="O75" i="28"/>
  <c r="M75" i="28"/>
  <c r="K75" i="28"/>
  <c r="X74" i="28"/>
  <c r="W74" i="28"/>
  <c r="V74" i="28"/>
  <c r="U74" i="28"/>
  <c r="T74" i="28"/>
  <c r="S74" i="28"/>
  <c r="Q74" i="28"/>
  <c r="O74" i="28"/>
  <c r="M74" i="28"/>
  <c r="K74" i="28"/>
  <c r="X73" i="28"/>
  <c r="W73" i="28"/>
  <c r="V73" i="28"/>
  <c r="U73" i="28"/>
  <c r="T73" i="28"/>
  <c r="S73" i="28"/>
  <c r="Q73" i="28"/>
  <c r="O73" i="28"/>
  <c r="M73" i="28"/>
  <c r="K73" i="28"/>
  <c r="X72" i="28"/>
  <c r="W72" i="28"/>
  <c r="V72" i="28"/>
  <c r="U72" i="28"/>
  <c r="T72" i="28"/>
  <c r="S72" i="28"/>
  <c r="Q72" i="28"/>
  <c r="O72" i="28"/>
  <c r="M72" i="28"/>
  <c r="K72" i="28"/>
  <c r="X71" i="28"/>
  <c r="W71" i="28"/>
  <c r="V71" i="28"/>
  <c r="U71" i="28"/>
  <c r="T71" i="28"/>
  <c r="S71" i="28"/>
  <c r="Q71" i="28"/>
  <c r="O71" i="28"/>
  <c r="M71" i="28"/>
  <c r="K71" i="28"/>
  <c r="X70" i="28"/>
  <c r="W70" i="28"/>
  <c r="V70" i="28"/>
  <c r="U70" i="28"/>
  <c r="T70" i="28"/>
  <c r="S70" i="28"/>
  <c r="Q70" i="28"/>
  <c r="O70" i="28"/>
  <c r="M70" i="28"/>
  <c r="K70" i="28"/>
  <c r="X69" i="28"/>
  <c r="W69" i="28"/>
  <c r="V69" i="28"/>
  <c r="U69" i="28"/>
  <c r="T69" i="28"/>
  <c r="S69" i="28"/>
  <c r="Q69" i="28"/>
  <c r="O69" i="28"/>
  <c r="M69" i="28"/>
  <c r="K69" i="28"/>
  <c r="X68" i="28"/>
  <c r="W68" i="28"/>
  <c r="V68" i="28"/>
  <c r="U68" i="28"/>
  <c r="T68" i="28"/>
  <c r="S68" i="28"/>
  <c r="Q68" i="28"/>
  <c r="O68" i="28"/>
  <c r="M68" i="28"/>
  <c r="K68" i="28"/>
  <c r="X67" i="28"/>
  <c r="W67" i="28"/>
  <c r="V67" i="28"/>
  <c r="U67" i="28"/>
  <c r="T67" i="28"/>
  <c r="S67" i="28"/>
  <c r="Q67" i="28"/>
  <c r="O67" i="28"/>
  <c r="M67" i="28"/>
  <c r="K67" i="28"/>
  <c r="X66" i="28"/>
  <c r="W66" i="28"/>
  <c r="V66" i="28"/>
  <c r="U66" i="28"/>
  <c r="T66" i="28"/>
  <c r="S66" i="28"/>
  <c r="Q66" i="28"/>
  <c r="O66" i="28"/>
  <c r="M66" i="28"/>
  <c r="K66" i="28"/>
  <c r="X65" i="28"/>
  <c r="W65" i="28"/>
  <c r="V65" i="28"/>
  <c r="U65" i="28"/>
  <c r="T65" i="28"/>
  <c r="S65" i="28"/>
  <c r="Q65" i="28"/>
  <c r="O65" i="28"/>
  <c r="M65" i="28"/>
  <c r="K65" i="28"/>
  <c r="X64" i="28"/>
  <c r="W64" i="28"/>
  <c r="V64" i="28"/>
  <c r="U64" i="28"/>
  <c r="T64" i="28"/>
  <c r="S64" i="28"/>
  <c r="Q64" i="28"/>
  <c r="O64" i="28"/>
  <c r="M64" i="28"/>
  <c r="K64" i="28"/>
  <c r="X63" i="28"/>
  <c r="W63" i="28"/>
  <c r="V63" i="28"/>
  <c r="U63" i="28"/>
  <c r="T63" i="28"/>
  <c r="S63" i="28"/>
  <c r="Q63" i="28"/>
  <c r="O63" i="28"/>
  <c r="M63" i="28"/>
  <c r="K63" i="28"/>
  <c r="X62" i="28"/>
  <c r="W62" i="28"/>
  <c r="V62" i="28"/>
  <c r="U62" i="28"/>
  <c r="T62" i="28"/>
  <c r="S62" i="28"/>
  <c r="Q62" i="28"/>
  <c r="O62" i="28"/>
  <c r="M62" i="28"/>
  <c r="K62" i="28"/>
  <c r="X61" i="28"/>
  <c r="W61" i="28"/>
  <c r="V61" i="28"/>
  <c r="U61" i="28"/>
  <c r="T61" i="28"/>
  <c r="S61" i="28"/>
  <c r="Q61" i="28"/>
  <c r="O61" i="28"/>
  <c r="M61" i="28"/>
  <c r="K61" i="28"/>
  <c r="X60" i="28"/>
  <c r="W60" i="28"/>
  <c r="V60" i="28"/>
  <c r="U60" i="28"/>
  <c r="T60" i="28"/>
  <c r="S60" i="28"/>
  <c r="Q60" i="28"/>
  <c r="O60" i="28"/>
  <c r="M60" i="28"/>
  <c r="K60" i="28"/>
  <c r="X59" i="28"/>
  <c r="W59" i="28"/>
  <c r="V59" i="28"/>
  <c r="U59" i="28"/>
  <c r="T59" i="28"/>
  <c r="S59" i="28"/>
  <c r="Q59" i="28"/>
  <c r="O59" i="28"/>
  <c r="M59" i="28"/>
  <c r="K59" i="28"/>
  <c r="X58" i="28"/>
  <c r="W58" i="28"/>
  <c r="V58" i="28"/>
  <c r="U58" i="28"/>
  <c r="T58" i="28"/>
  <c r="S58" i="28"/>
  <c r="Q58" i="28"/>
  <c r="O58" i="28"/>
  <c r="M58" i="28"/>
  <c r="K58" i="28"/>
  <c r="X57" i="28"/>
  <c r="W57" i="28"/>
  <c r="V57" i="28"/>
  <c r="U57" i="28"/>
  <c r="T57" i="28"/>
  <c r="S57" i="28"/>
  <c r="Q57" i="28"/>
  <c r="O57" i="28"/>
  <c r="M57" i="28"/>
  <c r="K57" i="28"/>
  <c r="X56" i="28"/>
  <c r="W56" i="28"/>
  <c r="V56" i="28"/>
  <c r="U56" i="28"/>
  <c r="T56" i="28"/>
  <c r="S56" i="28"/>
  <c r="Q56" i="28"/>
  <c r="O56" i="28"/>
  <c r="M56" i="28"/>
  <c r="K56" i="28"/>
  <c r="X55" i="28"/>
  <c r="W55" i="28"/>
  <c r="V55" i="28"/>
  <c r="U55" i="28"/>
  <c r="T55" i="28"/>
  <c r="S55" i="28"/>
  <c r="Q55" i="28"/>
  <c r="O55" i="28"/>
  <c r="M55" i="28"/>
  <c r="K55" i="28"/>
  <c r="X54" i="28"/>
  <c r="W54" i="28"/>
  <c r="V54" i="28"/>
  <c r="U54" i="28"/>
  <c r="T54" i="28"/>
  <c r="S54" i="28"/>
  <c r="Q54" i="28"/>
  <c r="O54" i="28"/>
  <c r="M54" i="28"/>
  <c r="K54" i="28"/>
  <c r="X53" i="28"/>
  <c r="W53" i="28"/>
  <c r="V53" i="28"/>
  <c r="U53" i="28"/>
  <c r="T53" i="28"/>
  <c r="S53" i="28"/>
  <c r="Q53" i="28"/>
  <c r="O53" i="28"/>
  <c r="M53" i="28"/>
  <c r="K53" i="28"/>
  <c r="X52" i="28"/>
  <c r="W52" i="28"/>
  <c r="V52" i="28"/>
  <c r="U52" i="28"/>
  <c r="T52" i="28"/>
  <c r="S52" i="28"/>
  <c r="Q52" i="28"/>
  <c r="O52" i="28"/>
  <c r="M52" i="28"/>
  <c r="K52" i="28"/>
  <c r="X51" i="28"/>
  <c r="W51" i="28"/>
  <c r="V51" i="28"/>
  <c r="U51" i="28"/>
  <c r="T51" i="28"/>
  <c r="S51" i="28"/>
  <c r="Q51" i="28"/>
  <c r="O51" i="28"/>
  <c r="M51" i="28"/>
  <c r="K51" i="28"/>
  <c r="X50" i="28"/>
  <c r="W50" i="28"/>
  <c r="V50" i="28"/>
  <c r="U50" i="28"/>
  <c r="T50" i="28"/>
  <c r="S50" i="28"/>
  <c r="Q50" i="28"/>
  <c r="O50" i="28"/>
  <c r="M50" i="28"/>
  <c r="K50" i="28"/>
  <c r="X49" i="28"/>
  <c r="W49" i="28"/>
  <c r="V49" i="28"/>
  <c r="U49" i="28"/>
  <c r="T49" i="28"/>
  <c r="S49" i="28"/>
  <c r="Q49" i="28"/>
  <c r="O49" i="28"/>
  <c r="M49" i="28"/>
  <c r="K49" i="28"/>
  <c r="X48" i="28"/>
  <c r="W48" i="28"/>
  <c r="V48" i="28"/>
  <c r="U48" i="28"/>
  <c r="T48" i="28"/>
  <c r="S48" i="28"/>
  <c r="Q48" i="28"/>
  <c r="O48" i="28"/>
  <c r="M48" i="28"/>
  <c r="K48" i="28"/>
  <c r="X47" i="28"/>
  <c r="W47" i="28"/>
  <c r="V47" i="28"/>
  <c r="U47" i="28"/>
  <c r="T47" i="28"/>
  <c r="S47" i="28"/>
  <c r="Q47" i="28"/>
  <c r="O47" i="28"/>
  <c r="M47" i="28"/>
  <c r="K47" i="28"/>
  <c r="X46" i="28"/>
  <c r="W46" i="28"/>
  <c r="V46" i="28"/>
  <c r="U46" i="28"/>
  <c r="T46" i="28"/>
  <c r="S46" i="28"/>
  <c r="Q46" i="28"/>
  <c r="O46" i="28"/>
  <c r="M46" i="28"/>
  <c r="K46" i="28"/>
  <c r="X45" i="28"/>
  <c r="W45" i="28"/>
  <c r="V45" i="28"/>
  <c r="U45" i="28"/>
  <c r="T45" i="28"/>
  <c r="S45" i="28"/>
  <c r="Q45" i="28"/>
  <c r="O45" i="28"/>
  <c r="M45" i="28"/>
  <c r="K45" i="28"/>
  <c r="X44" i="28"/>
  <c r="W44" i="28"/>
  <c r="V44" i="28"/>
  <c r="U44" i="28"/>
  <c r="T44" i="28"/>
  <c r="S44" i="28"/>
  <c r="Q44" i="28"/>
  <c r="O44" i="28"/>
  <c r="M44" i="28"/>
  <c r="K44" i="28"/>
  <c r="X43" i="28"/>
  <c r="W43" i="28"/>
  <c r="V43" i="28"/>
  <c r="U43" i="28"/>
  <c r="T43" i="28"/>
  <c r="S43" i="28"/>
  <c r="Q43" i="28"/>
  <c r="O43" i="28"/>
  <c r="M43" i="28"/>
  <c r="K43" i="28"/>
  <c r="X42" i="28"/>
  <c r="W42" i="28"/>
  <c r="V42" i="28"/>
  <c r="U42" i="28"/>
  <c r="T42" i="28"/>
  <c r="S42" i="28"/>
  <c r="Q42" i="28"/>
  <c r="O42" i="28"/>
  <c r="M42" i="28"/>
  <c r="K42" i="28"/>
  <c r="X41" i="28"/>
  <c r="W41" i="28"/>
  <c r="V41" i="28"/>
  <c r="U41" i="28"/>
  <c r="T41" i="28"/>
  <c r="S41" i="28"/>
  <c r="Q41" i="28"/>
  <c r="O41" i="28"/>
  <c r="M41" i="28"/>
  <c r="K41" i="28"/>
  <c r="X40" i="28"/>
  <c r="W40" i="28"/>
  <c r="V40" i="28"/>
  <c r="U40" i="28"/>
  <c r="T40" i="28"/>
  <c r="S40" i="28"/>
  <c r="Q40" i="28"/>
  <c r="O40" i="28"/>
  <c r="M40" i="28"/>
  <c r="K40" i="28"/>
  <c r="X39" i="28"/>
  <c r="W39" i="28"/>
  <c r="V39" i="28"/>
  <c r="U39" i="28"/>
  <c r="T39" i="28"/>
  <c r="S39" i="28"/>
  <c r="Q39" i="28"/>
  <c r="O39" i="28"/>
  <c r="M39" i="28"/>
  <c r="K39" i="28"/>
  <c r="X38" i="28"/>
  <c r="W38" i="28"/>
  <c r="V38" i="28"/>
  <c r="U38" i="28"/>
  <c r="T38" i="28"/>
  <c r="S38" i="28"/>
  <c r="Q38" i="28"/>
  <c r="O38" i="28"/>
  <c r="M38" i="28"/>
  <c r="K38" i="28"/>
  <c r="X37" i="28"/>
  <c r="W37" i="28"/>
  <c r="V37" i="28"/>
  <c r="U37" i="28"/>
  <c r="T37" i="28"/>
  <c r="S37" i="28"/>
  <c r="Q37" i="28"/>
  <c r="O37" i="28"/>
  <c r="M37" i="28"/>
  <c r="K37" i="28"/>
  <c r="X36" i="28"/>
  <c r="W36" i="28"/>
  <c r="V36" i="28"/>
  <c r="U36" i="28"/>
  <c r="T36" i="28"/>
  <c r="S36" i="28"/>
  <c r="Q36" i="28"/>
  <c r="O36" i="28"/>
  <c r="M36" i="28"/>
  <c r="K36" i="28"/>
  <c r="X35" i="28"/>
  <c r="W35" i="28"/>
  <c r="V35" i="28"/>
  <c r="U35" i="28"/>
  <c r="T35" i="28"/>
  <c r="S35" i="28"/>
  <c r="Q35" i="28"/>
  <c r="O35" i="28"/>
  <c r="M35" i="28"/>
  <c r="K35" i="28"/>
  <c r="X34" i="28"/>
  <c r="W34" i="28"/>
  <c r="V34" i="28"/>
  <c r="U34" i="28"/>
  <c r="T34" i="28"/>
  <c r="S34" i="28"/>
  <c r="Q34" i="28"/>
  <c r="O34" i="28"/>
  <c r="M34" i="28"/>
  <c r="K34" i="28"/>
  <c r="X33" i="28"/>
  <c r="W33" i="28"/>
  <c r="V33" i="28"/>
  <c r="U33" i="28"/>
  <c r="T33" i="28"/>
  <c r="S33" i="28"/>
  <c r="Q33" i="28"/>
  <c r="O33" i="28"/>
  <c r="M33" i="28"/>
  <c r="K33" i="28"/>
  <c r="X32" i="28"/>
  <c r="W32" i="28"/>
  <c r="V32" i="28"/>
  <c r="U32" i="28"/>
  <c r="T32" i="28"/>
  <c r="S32" i="28"/>
  <c r="Q32" i="28"/>
  <c r="O32" i="28"/>
  <c r="M32" i="28"/>
  <c r="K32" i="28"/>
  <c r="X31" i="28"/>
  <c r="W31" i="28"/>
  <c r="V31" i="28"/>
  <c r="U31" i="28"/>
  <c r="T31" i="28"/>
  <c r="S31" i="28"/>
  <c r="Q31" i="28"/>
  <c r="O31" i="28"/>
  <c r="M31" i="28"/>
  <c r="K31" i="28"/>
  <c r="X30" i="28"/>
  <c r="W30" i="28"/>
  <c r="V30" i="28"/>
  <c r="U30" i="28"/>
  <c r="T30" i="28"/>
  <c r="S30" i="28"/>
  <c r="Q30" i="28"/>
  <c r="O30" i="28"/>
  <c r="M30" i="28"/>
  <c r="K30" i="28"/>
  <c r="X29" i="28"/>
  <c r="W29" i="28"/>
  <c r="V29" i="28"/>
  <c r="U29" i="28"/>
  <c r="T29" i="28"/>
  <c r="S29" i="28"/>
  <c r="Q29" i="28"/>
  <c r="O29" i="28"/>
  <c r="M29" i="28"/>
  <c r="K29" i="28"/>
  <c r="X28" i="28"/>
  <c r="W28" i="28"/>
  <c r="V28" i="28"/>
  <c r="U28" i="28"/>
  <c r="T28" i="28"/>
  <c r="S28" i="28"/>
  <c r="Q28" i="28"/>
  <c r="O28" i="28"/>
  <c r="M28" i="28"/>
  <c r="K28" i="28"/>
  <c r="X27" i="28"/>
  <c r="W27" i="28"/>
  <c r="V27" i="28"/>
  <c r="U27" i="28"/>
  <c r="T27" i="28"/>
  <c r="S27" i="28"/>
  <c r="Q27" i="28"/>
  <c r="O27" i="28"/>
  <c r="M27" i="28"/>
  <c r="K27" i="28"/>
  <c r="X26" i="28"/>
  <c r="W26" i="28"/>
  <c r="V26" i="28"/>
  <c r="U26" i="28"/>
  <c r="T26" i="28"/>
  <c r="S26" i="28"/>
  <c r="Q26" i="28"/>
  <c r="O26" i="28"/>
  <c r="M26" i="28"/>
  <c r="K26" i="28"/>
  <c r="X25" i="28"/>
  <c r="W25" i="28"/>
  <c r="V25" i="28"/>
  <c r="U25" i="28"/>
  <c r="T25" i="28"/>
  <c r="S25" i="28"/>
  <c r="Q25" i="28"/>
  <c r="O25" i="28"/>
  <c r="M25" i="28"/>
  <c r="K25" i="28"/>
  <c r="X24" i="28"/>
  <c r="W24" i="28"/>
  <c r="V24" i="28"/>
  <c r="U24" i="28"/>
  <c r="T24" i="28"/>
  <c r="S24" i="28"/>
  <c r="Q24" i="28"/>
  <c r="O24" i="28"/>
  <c r="M24" i="28"/>
  <c r="K24" i="28"/>
  <c r="X23" i="28"/>
  <c r="W23" i="28"/>
  <c r="V23" i="28"/>
  <c r="U23" i="28"/>
  <c r="T23" i="28"/>
  <c r="S23" i="28"/>
  <c r="Q23" i="28"/>
  <c r="O23" i="28"/>
  <c r="M23" i="28"/>
  <c r="K23" i="28"/>
  <c r="X22" i="28"/>
  <c r="W22" i="28"/>
  <c r="V22" i="28"/>
  <c r="U22" i="28"/>
  <c r="T22" i="28"/>
  <c r="S22" i="28"/>
  <c r="Q22" i="28"/>
  <c r="O22" i="28"/>
  <c r="M22" i="28"/>
  <c r="K22" i="28"/>
  <c r="X21" i="28"/>
  <c r="W21" i="28"/>
  <c r="V21" i="28"/>
  <c r="U21" i="28"/>
  <c r="T21" i="28"/>
  <c r="S21" i="28"/>
  <c r="Q21" i="28"/>
  <c r="O21" i="28"/>
  <c r="M21" i="28"/>
  <c r="K21" i="28"/>
  <c r="X20" i="28"/>
  <c r="W20" i="28"/>
  <c r="V20" i="28"/>
  <c r="U20" i="28"/>
  <c r="T20" i="28"/>
  <c r="S20" i="28"/>
  <c r="Q20" i="28"/>
  <c r="O20" i="28"/>
  <c r="M20" i="28"/>
  <c r="K20" i="28"/>
  <c r="X19" i="28"/>
  <c r="W19" i="28"/>
  <c r="V19" i="28"/>
  <c r="U19" i="28"/>
  <c r="T19" i="28"/>
  <c r="S19" i="28"/>
  <c r="Q19" i="28"/>
  <c r="O19" i="28"/>
  <c r="M19" i="28"/>
  <c r="K19" i="28"/>
  <c r="X18" i="28"/>
  <c r="W18" i="28"/>
  <c r="V18" i="28"/>
  <c r="U18" i="28"/>
  <c r="T18" i="28"/>
  <c r="S18" i="28"/>
  <c r="Q18" i="28"/>
  <c r="O18" i="28"/>
  <c r="M18" i="28"/>
  <c r="K18" i="28"/>
  <c r="X17" i="28"/>
  <c r="W17" i="28"/>
  <c r="V17" i="28"/>
  <c r="U17" i="28"/>
  <c r="T17" i="28"/>
  <c r="S17" i="28"/>
  <c r="Q17" i="28"/>
  <c r="O17" i="28"/>
  <c r="M17" i="28"/>
  <c r="K17" i="28"/>
  <c r="X16" i="28"/>
  <c r="W16" i="28"/>
  <c r="V16" i="28"/>
  <c r="U16" i="28"/>
  <c r="T16" i="28"/>
  <c r="S16" i="28"/>
  <c r="Q16" i="28"/>
  <c r="O16" i="28"/>
  <c r="M16" i="28"/>
  <c r="K16" i="28"/>
  <c r="X15" i="28"/>
  <c r="W15" i="28"/>
  <c r="V15" i="28"/>
  <c r="U15" i="28"/>
  <c r="T15" i="28"/>
  <c r="S15" i="28"/>
  <c r="Q15" i="28"/>
  <c r="O15" i="28"/>
  <c r="M15" i="28"/>
  <c r="K15" i="28"/>
  <c r="X14" i="28"/>
  <c r="W14" i="28"/>
  <c r="V14" i="28"/>
  <c r="U14" i="28"/>
  <c r="T14" i="28"/>
  <c r="S14" i="28"/>
  <c r="Q14" i="28"/>
  <c r="O14" i="28"/>
  <c r="M14" i="28"/>
  <c r="K14" i="28"/>
  <c r="X13" i="28"/>
  <c r="W13" i="28"/>
  <c r="V13" i="28"/>
  <c r="U13" i="28"/>
  <c r="T13" i="28"/>
  <c r="S13" i="28"/>
  <c r="Q13" i="28"/>
  <c r="O13" i="28"/>
  <c r="M13" i="28"/>
  <c r="K13" i="28"/>
  <c r="X12" i="28"/>
  <c r="W12" i="28"/>
  <c r="V12" i="28"/>
  <c r="U12" i="28"/>
  <c r="T12" i="28"/>
  <c r="S12" i="28"/>
  <c r="Q12" i="28"/>
  <c r="O12" i="28"/>
  <c r="M12" i="28"/>
  <c r="K12" i="28"/>
  <c r="X11" i="28"/>
  <c r="W11" i="28"/>
  <c r="V11" i="28"/>
  <c r="U11" i="28"/>
  <c r="T11" i="28"/>
  <c r="S11" i="28"/>
  <c r="Q11" i="28"/>
  <c r="O11" i="28"/>
  <c r="M11" i="28"/>
  <c r="K11" i="28"/>
  <c r="X10" i="28"/>
  <c r="W10" i="28"/>
  <c r="V10" i="28"/>
  <c r="U10" i="28"/>
  <c r="T10" i="28"/>
  <c r="S10" i="28"/>
  <c r="Q10" i="28"/>
  <c r="O10" i="28"/>
  <c r="M10" i="28"/>
  <c r="K10" i="28"/>
  <c r="X9" i="28"/>
  <c r="W9" i="28"/>
  <c r="V9" i="28"/>
  <c r="U9" i="28"/>
  <c r="T9" i="28"/>
  <c r="S9" i="28"/>
  <c r="Q9" i="28"/>
  <c r="O9" i="28"/>
  <c r="M9" i="28"/>
  <c r="K9" i="28"/>
  <c r="X8" i="28"/>
  <c r="W8" i="28"/>
  <c r="V8" i="28"/>
  <c r="U8" i="28"/>
  <c r="T8" i="28"/>
  <c r="S8" i="28"/>
  <c r="Q8" i="28"/>
  <c r="O8" i="28"/>
  <c r="M8" i="28"/>
  <c r="K8" i="28"/>
  <c r="X7" i="28"/>
  <c r="W7" i="28"/>
  <c r="V7" i="28"/>
  <c r="U7" i="28"/>
  <c r="T7" i="28"/>
  <c r="S7" i="28"/>
  <c r="Q7" i="28"/>
  <c r="O7" i="28"/>
  <c r="M7" i="28"/>
  <c r="K7" i="28"/>
  <c r="X321" i="27"/>
  <c r="W321" i="27"/>
  <c r="V321" i="27"/>
  <c r="U321" i="27"/>
  <c r="T321" i="27"/>
  <c r="S321" i="27"/>
  <c r="Q321" i="27"/>
  <c r="O321" i="27"/>
  <c r="M321" i="27"/>
  <c r="K321" i="27"/>
  <c r="X320" i="27"/>
  <c r="W320" i="27"/>
  <c r="V320" i="27"/>
  <c r="U320" i="27"/>
  <c r="T320" i="27"/>
  <c r="S320" i="27"/>
  <c r="Q320" i="27"/>
  <c r="O320" i="27"/>
  <c r="M320" i="27"/>
  <c r="K320" i="27"/>
  <c r="X319" i="27"/>
  <c r="W319" i="27"/>
  <c r="V319" i="27"/>
  <c r="U319" i="27"/>
  <c r="T319" i="27"/>
  <c r="S319" i="27"/>
  <c r="Q319" i="27"/>
  <c r="O319" i="27"/>
  <c r="M319" i="27"/>
  <c r="K319" i="27"/>
  <c r="X318" i="27"/>
  <c r="W318" i="27"/>
  <c r="V318" i="27"/>
  <c r="U318" i="27"/>
  <c r="T318" i="27"/>
  <c r="S318" i="27"/>
  <c r="Q318" i="27"/>
  <c r="O318" i="27"/>
  <c r="M318" i="27"/>
  <c r="K318" i="27"/>
  <c r="X317" i="27"/>
  <c r="W317" i="27"/>
  <c r="V317" i="27"/>
  <c r="U317" i="27"/>
  <c r="T317" i="27"/>
  <c r="S317" i="27"/>
  <c r="Q317" i="27"/>
  <c r="O317" i="27"/>
  <c r="M317" i="27"/>
  <c r="K317" i="27"/>
  <c r="X316" i="27"/>
  <c r="W316" i="27"/>
  <c r="V316" i="27"/>
  <c r="U316" i="27"/>
  <c r="T316" i="27"/>
  <c r="S316" i="27"/>
  <c r="Q316" i="27"/>
  <c r="O316" i="27"/>
  <c r="M316" i="27"/>
  <c r="K316" i="27"/>
  <c r="X315" i="27"/>
  <c r="W315" i="27"/>
  <c r="V315" i="27"/>
  <c r="U315" i="27"/>
  <c r="T315" i="27"/>
  <c r="S315" i="27"/>
  <c r="Q315" i="27"/>
  <c r="O315" i="27"/>
  <c r="M315" i="27"/>
  <c r="K315" i="27"/>
  <c r="X314" i="27"/>
  <c r="W314" i="27"/>
  <c r="V314" i="27"/>
  <c r="U314" i="27"/>
  <c r="T314" i="27"/>
  <c r="S314" i="27"/>
  <c r="Q314" i="27"/>
  <c r="O314" i="27"/>
  <c r="M314" i="27"/>
  <c r="K314" i="27"/>
  <c r="X313" i="27"/>
  <c r="W313" i="27"/>
  <c r="V313" i="27"/>
  <c r="U313" i="27"/>
  <c r="T313" i="27"/>
  <c r="S313" i="27"/>
  <c r="Q313" i="27"/>
  <c r="O313" i="27"/>
  <c r="M313" i="27"/>
  <c r="K313" i="27"/>
  <c r="X312" i="27"/>
  <c r="W312" i="27"/>
  <c r="V312" i="27"/>
  <c r="U312" i="27"/>
  <c r="T312" i="27"/>
  <c r="S312" i="27"/>
  <c r="Q312" i="27"/>
  <c r="O312" i="27"/>
  <c r="M312" i="27"/>
  <c r="K312" i="27"/>
  <c r="X311" i="27"/>
  <c r="W311" i="27"/>
  <c r="V311" i="27"/>
  <c r="U311" i="27"/>
  <c r="T311" i="27"/>
  <c r="S311" i="27"/>
  <c r="Q311" i="27"/>
  <c r="O311" i="27"/>
  <c r="M311" i="27"/>
  <c r="K311" i="27"/>
  <c r="X310" i="27"/>
  <c r="W310" i="27"/>
  <c r="V310" i="27"/>
  <c r="U310" i="27"/>
  <c r="T310" i="27"/>
  <c r="S310" i="27"/>
  <c r="Q310" i="27"/>
  <c r="O310" i="27"/>
  <c r="M310" i="27"/>
  <c r="K310" i="27"/>
  <c r="X309" i="27"/>
  <c r="W309" i="27"/>
  <c r="V309" i="27"/>
  <c r="U309" i="27"/>
  <c r="T309" i="27"/>
  <c r="S309" i="27"/>
  <c r="Q309" i="27"/>
  <c r="O309" i="27"/>
  <c r="M309" i="27"/>
  <c r="K309" i="27"/>
  <c r="X308" i="27"/>
  <c r="W308" i="27"/>
  <c r="V308" i="27"/>
  <c r="U308" i="27"/>
  <c r="T308" i="27"/>
  <c r="S308" i="27"/>
  <c r="Q308" i="27"/>
  <c r="O308" i="27"/>
  <c r="M308" i="27"/>
  <c r="K308" i="27"/>
  <c r="X307" i="27"/>
  <c r="W307" i="27"/>
  <c r="V307" i="27"/>
  <c r="U307" i="27"/>
  <c r="T307" i="27"/>
  <c r="S307" i="27"/>
  <c r="Q307" i="27"/>
  <c r="O307" i="27"/>
  <c r="M307" i="27"/>
  <c r="K307" i="27"/>
  <c r="X306" i="27"/>
  <c r="W306" i="27"/>
  <c r="V306" i="27"/>
  <c r="U306" i="27"/>
  <c r="T306" i="27"/>
  <c r="S306" i="27"/>
  <c r="Q306" i="27"/>
  <c r="O306" i="27"/>
  <c r="M306" i="27"/>
  <c r="K306" i="27"/>
  <c r="X305" i="27"/>
  <c r="W305" i="27"/>
  <c r="V305" i="27"/>
  <c r="U305" i="27"/>
  <c r="T305" i="27"/>
  <c r="S305" i="27"/>
  <c r="Q305" i="27"/>
  <c r="O305" i="27"/>
  <c r="M305" i="27"/>
  <c r="K305" i="27"/>
  <c r="X304" i="27"/>
  <c r="W304" i="27"/>
  <c r="V304" i="27"/>
  <c r="U304" i="27"/>
  <c r="T304" i="27"/>
  <c r="S304" i="27"/>
  <c r="Q304" i="27"/>
  <c r="O304" i="27"/>
  <c r="M304" i="27"/>
  <c r="K304" i="27"/>
  <c r="X303" i="27"/>
  <c r="W303" i="27"/>
  <c r="V303" i="27"/>
  <c r="U303" i="27"/>
  <c r="T303" i="27"/>
  <c r="S303" i="27"/>
  <c r="Q303" i="27"/>
  <c r="O303" i="27"/>
  <c r="M303" i="27"/>
  <c r="K303" i="27"/>
  <c r="X302" i="27"/>
  <c r="W302" i="27"/>
  <c r="V302" i="27"/>
  <c r="U302" i="27"/>
  <c r="T302" i="27"/>
  <c r="S302" i="27"/>
  <c r="Q302" i="27"/>
  <c r="O302" i="27"/>
  <c r="M302" i="27"/>
  <c r="K302" i="27"/>
  <c r="X301" i="27"/>
  <c r="W301" i="27"/>
  <c r="V301" i="27"/>
  <c r="U301" i="27"/>
  <c r="T301" i="27"/>
  <c r="S301" i="27"/>
  <c r="Q301" i="27"/>
  <c r="O301" i="27"/>
  <c r="M301" i="27"/>
  <c r="K301" i="27"/>
  <c r="X300" i="27"/>
  <c r="W300" i="27"/>
  <c r="V300" i="27"/>
  <c r="U300" i="27"/>
  <c r="T300" i="27"/>
  <c r="S300" i="27"/>
  <c r="Q300" i="27"/>
  <c r="O300" i="27"/>
  <c r="M300" i="27"/>
  <c r="K300" i="27"/>
  <c r="X299" i="27"/>
  <c r="W299" i="27"/>
  <c r="V299" i="27"/>
  <c r="U299" i="27"/>
  <c r="T299" i="27"/>
  <c r="S299" i="27"/>
  <c r="Q299" i="27"/>
  <c r="O299" i="27"/>
  <c r="M299" i="27"/>
  <c r="K299" i="27"/>
  <c r="X298" i="27"/>
  <c r="W298" i="27"/>
  <c r="V298" i="27"/>
  <c r="U298" i="27"/>
  <c r="T298" i="27"/>
  <c r="S298" i="27"/>
  <c r="Q298" i="27"/>
  <c r="O298" i="27"/>
  <c r="M298" i="27"/>
  <c r="K298" i="27"/>
  <c r="X297" i="27"/>
  <c r="W297" i="27"/>
  <c r="V297" i="27"/>
  <c r="U297" i="27"/>
  <c r="T297" i="27"/>
  <c r="S297" i="27"/>
  <c r="Q297" i="27"/>
  <c r="O297" i="27"/>
  <c r="M297" i="27"/>
  <c r="K297" i="27"/>
  <c r="X296" i="27"/>
  <c r="W296" i="27"/>
  <c r="V296" i="27"/>
  <c r="U296" i="27"/>
  <c r="T296" i="27"/>
  <c r="S296" i="27"/>
  <c r="Q296" i="27"/>
  <c r="O296" i="27"/>
  <c r="M296" i="27"/>
  <c r="K296" i="27"/>
  <c r="X295" i="27"/>
  <c r="W295" i="27"/>
  <c r="V295" i="27"/>
  <c r="U295" i="27"/>
  <c r="T295" i="27"/>
  <c r="S295" i="27"/>
  <c r="Q295" i="27"/>
  <c r="O295" i="27"/>
  <c r="M295" i="27"/>
  <c r="K295" i="27"/>
  <c r="X294" i="27"/>
  <c r="W294" i="27"/>
  <c r="V294" i="27"/>
  <c r="U294" i="27"/>
  <c r="T294" i="27"/>
  <c r="S294" i="27"/>
  <c r="Q294" i="27"/>
  <c r="O294" i="27"/>
  <c r="M294" i="27"/>
  <c r="K294" i="27"/>
  <c r="X293" i="27"/>
  <c r="W293" i="27"/>
  <c r="V293" i="27"/>
  <c r="U293" i="27"/>
  <c r="T293" i="27"/>
  <c r="S293" i="27"/>
  <c r="Q293" i="27"/>
  <c r="O293" i="27"/>
  <c r="M293" i="27"/>
  <c r="K293" i="27"/>
  <c r="X292" i="27"/>
  <c r="W292" i="27"/>
  <c r="V292" i="27"/>
  <c r="U292" i="27"/>
  <c r="T292" i="27"/>
  <c r="S292" i="27"/>
  <c r="Q292" i="27"/>
  <c r="O292" i="27"/>
  <c r="M292" i="27"/>
  <c r="K292" i="27"/>
  <c r="X291" i="27"/>
  <c r="W291" i="27"/>
  <c r="V291" i="27"/>
  <c r="U291" i="27"/>
  <c r="T291" i="27"/>
  <c r="S291" i="27"/>
  <c r="Q291" i="27"/>
  <c r="O291" i="27"/>
  <c r="M291" i="27"/>
  <c r="K291" i="27"/>
  <c r="X290" i="27"/>
  <c r="W290" i="27"/>
  <c r="V290" i="27"/>
  <c r="U290" i="27"/>
  <c r="T290" i="27"/>
  <c r="S290" i="27"/>
  <c r="Q290" i="27"/>
  <c r="O290" i="27"/>
  <c r="M290" i="27"/>
  <c r="K290" i="27"/>
  <c r="X289" i="27"/>
  <c r="W289" i="27"/>
  <c r="V289" i="27"/>
  <c r="U289" i="27"/>
  <c r="T289" i="27"/>
  <c r="S289" i="27"/>
  <c r="Q289" i="27"/>
  <c r="O289" i="27"/>
  <c r="M289" i="27"/>
  <c r="K289" i="27"/>
  <c r="X288" i="27"/>
  <c r="W288" i="27"/>
  <c r="V288" i="27"/>
  <c r="U288" i="27"/>
  <c r="T288" i="27"/>
  <c r="S288" i="27"/>
  <c r="Q288" i="27"/>
  <c r="O288" i="27"/>
  <c r="M288" i="27"/>
  <c r="K288" i="27"/>
  <c r="X287" i="27"/>
  <c r="W287" i="27"/>
  <c r="V287" i="27"/>
  <c r="U287" i="27"/>
  <c r="T287" i="27"/>
  <c r="S287" i="27"/>
  <c r="Q287" i="27"/>
  <c r="O287" i="27"/>
  <c r="M287" i="27"/>
  <c r="K287" i="27"/>
  <c r="X286" i="27"/>
  <c r="W286" i="27"/>
  <c r="V286" i="27"/>
  <c r="U286" i="27"/>
  <c r="T286" i="27"/>
  <c r="S286" i="27"/>
  <c r="Q286" i="27"/>
  <c r="O286" i="27"/>
  <c r="M286" i="27"/>
  <c r="K286" i="27"/>
  <c r="X285" i="27"/>
  <c r="W285" i="27"/>
  <c r="V285" i="27"/>
  <c r="U285" i="27"/>
  <c r="T285" i="27"/>
  <c r="S285" i="27"/>
  <c r="Q285" i="27"/>
  <c r="O285" i="27"/>
  <c r="M285" i="27"/>
  <c r="K285" i="27"/>
  <c r="X284" i="27"/>
  <c r="W284" i="27"/>
  <c r="V284" i="27"/>
  <c r="U284" i="27"/>
  <c r="T284" i="27"/>
  <c r="S284" i="27"/>
  <c r="Q284" i="27"/>
  <c r="O284" i="27"/>
  <c r="M284" i="27"/>
  <c r="K284" i="27"/>
  <c r="X283" i="27"/>
  <c r="W283" i="27"/>
  <c r="V283" i="27"/>
  <c r="U283" i="27"/>
  <c r="T283" i="27"/>
  <c r="S283" i="27"/>
  <c r="Q283" i="27"/>
  <c r="O283" i="27"/>
  <c r="M283" i="27"/>
  <c r="K283" i="27"/>
  <c r="X282" i="27"/>
  <c r="W282" i="27"/>
  <c r="V282" i="27"/>
  <c r="U282" i="27"/>
  <c r="T282" i="27"/>
  <c r="S282" i="27"/>
  <c r="Q282" i="27"/>
  <c r="O282" i="27"/>
  <c r="M282" i="27"/>
  <c r="K282" i="27"/>
  <c r="X281" i="27"/>
  <c r="W281" i="27"/>
  <c r="V281" i="27"/>
  <c r="U281" i="27"/>
  <c r="T281" i="27"/>
  <c r="S281" i="27"/>
  <c r="Q281" i="27"/>
  <c r="O281" i="27"/>
  <c r="M281" i="27"/>
  <c r="K281" i="27"/>
  <c r="X280" i="27"/>
  <c r="W280" i="27"/>
  <c r="V280" i="27"/>
  <c r="U280" i="27"/>
  <c r="T280" i="27"/>
  <c r="S280" i="27"/>
  <c r="Q280" i="27"/>
  <c r="O280" i="27"/>
  <c r="M280" i="27"/>
  <c r="K280" i="27"/>
  <c r="X279" i="27"/>
  <c r="W279" i="27"/>
  <c r="V279" i="27"/>
  <c r="U279" i="27"/>
  <c r="T279" i="27"/>
  <c r="S279" i="27"/>
  <c r="Q279" i="27"/>
  <c r="O279" i="27"/>
  <c r="M279" i="27"/>
  <c r="K279" i="27"/>
  <c r="X278" i="27"/>
  <c r="W278" i="27"/>
  <c r="V278" i="27"/>
  <c r="U278" i="27"/>
  <c r="T278" i="27"/>
  <c r="S278" i="27"/>
  <c r="Q278" i="27"/>
  <c r="O278" i="27"/>
  <c r="M278" i="27"/>
  <c r="K278" i="27"/>
  <c r="X277" i="27"/>
  <c r="W277" i="27"/>
  <c r="V277" i="27"/>
  <c r="U277" i="27"/>
  <c r="T277" i="27"/>
  <c r="S277" i="27"/>
  <c r="Q277" i="27"/>
  <c r="O277" i="27"/>
  <c r="M277" i="27"/>
  <c r="K277" i="27"/>
  <c r="X276" i="27"/>
  <c r="W276" i="27"/>
  <c r="V276" i="27"/>
  <c r="U276" i="27"/>
  <c r="T276" i="27"/>
  <c r="S276" i="27"/>
  <c r="Q276" i="27"/>
  <c r="O276" i="27"/>
  <c r="M276" i="27"/>
  <c r="K276" i="27"/>
  <c r="X275" i="27"/>
  <c r="W275" i="27"/>
  <c r="V275" i="27"/>
  <c r="U275" i="27"/>
  <c r="T275" i="27"/>
  <c r="S275" i="27"/>
  <c r="Q275" i="27"/>
  <c r="O275" i="27"/>
  <c r="M275" i="27"/>
  <c r="K275" i="27"/>
  <c r="X274" i="27"/>
  <c r="W274" i="27"/>
  <c r="V274" i="27"/>
  <c r="U274" i="27"/>
  <c r="T274" i="27"/>
  <c r="S274" i="27"/>
  <c r="Q274" i="27"/>
  <c r="O274" i="27"/>
  <c r="M274" i="27"/>
  <c r="K274" i="27"/>
  <c r="X273" i="27"/>
  <c r="W273" i="27"/>
  <c r="V273" i="27"/>
  <c r="U273" i="27"/>
  <c r="T273" i="27"/>
  <c r="S273" i="27"/>
  <c r="Q273" i="27"/>
  <c r="O273" i="27"/>
  <c r="M273" i="27"/>
  <c r="K273" i="27"/>
  <c r="X272" i="27"/>
  <c r="W272" i="27"/>
  <c r="V272" i="27"/>
  <c r="U272" i="27"/>
  <c r="T272" i="27"/>
  <c r="S272" i="27"/>
  <c r="Q272" i="27"/>
  <c r="O272" i="27"/>
  <c r="M272" i="27"/>
  <c r="K272" i="27"/>
  <c r="X271" i="27"/>
  <c r="W271" i="27"/>
  <c r="V271" i="27"/>
  <c r="U271" i="27"/>
  <c r="T271" i="27"/>
  <c r="S271" i="27"/>
  <c r="Q271" i="27"/>
  <c r="O271" i="27"/>
  <c r="M271" i="27"/>
  <c r="K271" i="27"/>
  <c r="X270" i="27"/>
  <c r="W270" i="27"/>
  <c r="V270" i="27"/>
  <c r="U270" i="27"/>
  <c r="T270" i="27"/>
  <c r="S270" i="27"/>
  <c r="Q270" i="27"/>
  <c r="O270" i="27"/>
  <c r="M270" i="27"/>
  <c r="K270" i="27"/>
  <c r="X269" i="27"/>
  <c r="W269" i="27"/>
  <c r="V269" i="27"/>
  <c r="U269" i="27"/>
  <c r="T269" i="27"/>
  <c r="S269" i="27"/>
  <c r="Q269" i="27"/>
  <c r="O269" i="27"/>
  <c r="M269" i="27"/>
  <c r="K269" i="27"/>
  <c r="X268" i="27"/>
  <c r="W268" i="27"/>
  <c r="V268" i="27"/>
  <c r="U268" i="27"/>
  <c r="T268" i="27"/>
  <c r="S268" i="27"/>
  <c r="Q268" i="27"/>
  <c r="O268" i="27"/>
  <c r="M268" i="27"/>
  <c r="K268" i="27"/>
  <c r="X267" i="27"/>
  <c r="W267" i="27"/>
  <c r="V267" i="27"/>
  <c r="U267" i="27"/>
  <c r="T267" i="27"/>
  <c r="S267" i="27"/>
  <c r="Q267" i="27"/>
  <c r="O267" i="27"/>
  <c r="M267" i="27"/>
  <c r="K267" i="27"/>
  <c r="X266" i="27"/>
  <c r="W266" i="27"/>
  <c r="V266" i="27"/>
  <c r="U266" i="27"/>
  <c r="T266" i="27"/>
  <c r="S266" i="27"/>
  <c r="Q266" i="27"/>
  <c r="O266" i="27"/>
  <c r="M266" i="27"/>
  <c r="K266" i="27"/>
  <c r="X265" i="27"/>
  <c r="W265" i="27"/>
  <c r="V265" i="27"/>
  <c r="U265" i="27"/>
  <c r="T265" i="27"/>
  <c r="S265" i="27"/>
  <c r="Q265" i="27"/>
  <c r="O265" i="27"/>
  <c r="M265" i="27"/>
  <c r="K265" i="27"/>
  <c r="X264" i="27"/>
  <c r="W264" i="27"/>
  <c r="V264" i="27"/>
  <c r="U264" i="27"/>
  <c r="T264" i="27"/>
  <c r="S264" i="27"/>
  <c r="Q264" i="27"/>
  <c r="O264" i="27"/>
  <c r="M264" i="27"/>
  <c r="K264" i="27"/>
  <c r="X263" i="27"/>
  <c r="W263" i="27"/>
  <c r="V263" i="27"/>
  <c r="U263" i="27"/>
  <c r="T263" i="27"/>
  <c r="S263" i="27"/>
  <c r="Q263" i="27"/>
  <c r="O263" i="27"/>
  <c r="M263" i="27"/>
  <c r="K263" i="27"/>
  <c r="X262" i="27"/>
  <c r="W262" i="27"/>
  <c r="V262" i="27"/>
  <c r="U262" i="27"/>
  <c r="T262" i="27"/>
  <c r="S262" i="27"/>
  <c r="Q262" i="27"/>
  <c r="O262" i="27"/>
  <c r="M262" i="27"/>
  <c r="K262" i="27"/>
  <c r="X261" i="27"/>
  <c r="W261" i="27"/>
  <c r="V261" i="27"/>
  <c r="U261" i="27"/>
  <c r="T261" i="27"/>
  <c r="S261" i="27"/>
  <c r="Q261" i="27"/>
  <c r="O261" i="27"/>
  <c r="M261" i="27"/>
  <c r="K261" i="27"/>
  <c r="X260" i="27"/>
  <c r="W260" i="27"/>
  <c r="V260" i="27"/>
  <c r="U260" i="27"/>
  <c r="T260" i="27"/>
  <c r="S260" i="27"/>
  <c r="Q260" i="27"/>
  <c r="O260" i="27"/>
  <c r="M260" i="27"/>
  <c r="K260" i="27"/>
  <c r="X259" i="27"/>
  <c r="W259" i="27"/>
  <c r="V259" i="27"/>
  <c r="U259" i="27"/>
  <c r="T259" i="27"/>
  <c r="S259" i="27"/>
  <c r="Q259" i="27"/>
  <c r="O259" i="27"/>
  <c r="M259" i="27"/>
  <c r="K259" i="27"/>
  <c r="X258" i="27"/>
  <c r="W258" i="27"/>
  <c r="V258" i="27"/>
  <c r="U258" i="27"/>
  <c r="T258" i="27"/>
  <c r="S258" i="27"/>
  <c r="Q258" i="27"/>
  <c r="O258" i="27"/>
  <c r="M258" i="27"/>
  <c r="K258" i="27"/>
  <c r="X257" i="27"/>
  <c r="W257" i="27"/>
  <c r="V257" i="27"/>
  <c r="U257" i="27"/>
  <c r="T257" i="27"/>
  <c r="S257" i="27"/>
  <c r="Q257" i="27"/>
  <c r="O257" i="27"/>
  <c r="M257" i="27"/>
  <c r="K257" i="27"/>
  <c r="X256" i="27"/>
  <c r="W256" i="27"/>
  <c r="V256" i="27"/>
  <c r="U256" i="27"/>
  <c r="T256" i="27"/>
  <c r="S256" i="27"/>
  <c r="Q256" i="27"/>
  <c r="O256" i="27"/>
  <c r="M256" i="27"/>
  <c r="K256" i="27"/>
  <c r="X255" i="27"/>
  <c r="W255" i="27"/>
  <c r="V255" i="27"/>
  <c r="U255" i="27"/>
  <c r="T255" i="27"/>
  <c r="S255" i="27"/>
  <c r="Q255" i="27"/>
  <c r="O255" i="27"/>
  <c r="M255" i="27"/>
  <c r="K255" i="27"/>
  <c r="X254" i="27"/>
  <c r="W254" i="27"/>
  <c r="V254" i="27"/>
  <c r="U254" i="27"/>
  <c r="T254" i="27"/>
  <c r="S254" i="27"/>
  <c r="Q254" i="27"/>
  <c r="O254" i="27"/>
  <c r="M254" i="27"/>
  <c r="K254" i="27"/>
  <c r="X253" i="27"/>
  <c r="W253" i="27"/>
  <c r="V253" i="27"/>
  <c r="U253" i="27"/>
  <c r="T253" i="27"/>
  <c r="S253" i="27"/>
  <c r="Q253" i="27"/>
  <c r="O253" i="27"/>
  <c r="M253" i="27"/>
  <c r="K253" i="27"/>
  <c r="X252" i="27"/>
  <c r="W252" i="27"/>
  <c r="V252" i="27"/>
  <c r="U252" i="27"/>
  <c r="T252" i="27"/>
  <c r="S252" i="27"/>
  <c r="Q252" i="27"/>
  <c r="O252" i="27"/>
  <c r="M252" i="27"/>
  <c r="K252" i="27"/>
  <c r="X251" i="27"/>
  <c r="W251" i="27"/>
  <c r="V251" i="27"/>
  <c r="U251" i="27"/>
  <c r="T251" i="27"/>
  <c r="S251" i="27"/>
  <c r="Q251" i="27"/>
  <c r="O251" i="27"/>
  <c r="M251" i="27"/>
  <c r="K251" i="27"/>
  <c r="X250" i="27"/>
  <c r="W250" i="27"/>
  <c r="V250" i="27"/>
  <c r="U250" i="27"/>
  <c r="T250" i="27"/>
  <c r="S250" i="27"/>
  <c r="Q250" i="27"/>
  <c r="O250" i="27"/>
  <c r="M250" i="27"/>
  <c r="K250" i="27"/>
  <c r="X249" i="27"/>
  <c r="W249" i="27"/>
  <c r="V249" i="27"/>
  <c r="U249" i="27"/>
  <c r="T249" i="27"/>
  <c r="S249" i="27"/>
  <c r="Q249" i="27"/>
  <c r="O249" i="27"/>
  <c r="M249" i="27"/>
  <c r="K249" i="27"/>
  <c r="X248" i="27"/>
  <c r="W248" i="27"/>
  <c r="V248" i="27"/>
  <c r="U248" i="27"/>
  <c r="T248" i="27"/>
  <c r="S248" i="27"/>
  <c r="Q248" i="27"/>
  <c r="O248" i="27"/>
  <c r="M248" i="27"/>
  <c r="K248" i="27"/>
  <c r="X247" i="27"/>
  <c r="W247" i="27"/>
  <c r="V247" i="27"/>
  <c r="U247" i="27"/>
  <c r="T247" i="27"/>
  <c r="S247" i="27"/>
  <c r="Q247" i="27"/>
  <c r="O247" i="27"/>
  <c r="M247" i="27"/>
  <c r="K247" i="27"/>
  <c r="X246" i="27"/>
  <c r="W246" i="27"/>
  <c r="V246" i="27"/>
  <c r="U246" i="27"/>
  <c r="T246" i="27"/>
  <c r="S246" i="27"/>
  <c r="Q246" i="27"/>
  <c r="O246" i="27"/>
  <c r="M246" i="27"/>
  <c r="K246" i="27"/>
  <c r="X245" i="27"/>
  <c r="W245" i="27"/>
  <c r="V245" i="27"/>
  <c r="U245" i="27"/>
  <c r="T245" i="27"/>
  <c r="S245" i="27"/>
  <c r="Q245" i="27"/>
  <c r="O245" i="27"/>
  <c r="M245" i="27"/>
  <c r="K245" i="27"/>
  <c r="X244" i="27"/>
  <c r="W244" i="27"/>
  <c r="V244" i="27"/>
  <c r="U244" i="27"/>
  <c r="T244" i="27"/>
  <c r="S244" i="27"/>
  <c r="Q244" i="27"/>
  <c r="O244" i="27"/>
  <c r="M244" i="27"/>
  <c r="K244" i="27"/>
  <c r="X243" i="27"/>
  <c r="W243" i="27"/>
  <c r="V243" i="27"/>
  <c r="U243" i="27"/>
  <c r="T243" i="27"/>
  <c r="S243" i="27"/>
  <c r="Q243" i="27"/>
  <c r="O243" i="27"/>
  <c r="M243" i="27"/>
  <c r="K243" i="27"/>
  <c r="X242" i="27"/>
  <c r="W242" i="27"/>
  <c r="V242" i="27"/>
  <c r="U242" i="27"/>
  <c r="T242" i="27"/>
  <c r="S242" i="27"/>
  <c r="Q242" i="27"/>
  <c r="O242" i="27"/>
  <c r="M242" i="27"/>
  <c r="K242" i="27"/>
  <c r="X241" i="27"/>
  <c r="W241" i="27"/>
  <c r="V241" i="27"/>
  <c r="U241" i="27"/>
  <c r="T241" i="27"/>
  <c r="S241" i="27"/>
  <c r="Q241" i="27"/>
  <c r="O241" i="27"/>
  <c r="M241" i="27"/>
  <c r="K241" i="27"/>
  <c r="X240" i="27"/>
  <c r="W240" i="27"/>
  <c r="V240" i="27"/>
  <c r="U240" i="27"/>
  <c r="T240" i="27"/>
  <c r="S240" i="27"/>
  <c r="Q240" i="27"/>
  <c r="O240" i="27"/>
  <c r="M240" i="27"/>
  <c r="K240" i="27"/>
  <c r="X239" i="27"/>
  <c r="W239" i="27"/>
  <c r="V239" i="27"/>
  <c r="U239" i="27"/>
  <c r="T239" i="27"/>
  <c r="S239" i="27"/>
  <c r="Q239" i="27"/>
  <c r="O239" i="27"/>
  <c r="M239" i="27"/>
  <c r="K239" i="27"/>
  <c r="X238" i="27"/>
  <c r="W238" i="27"/>
  <c r="V238" i="27"/>
  <c r="U238" i="27"/>
  <c r="T238" i="27"/>
  <c r="S238" i="27"/>
  <c r="Q238" i="27"/>
  <c r="O238" i="27"/>
  <c r="M238" i="27"/>
  <c r="K238" i="27"/>
  <c r="X237" i="27"/>
  <c r="W237" i="27"/>
  <c r="V237" i="27"/>
  <c r="U237" i="27"/>
  <c r="T237" i="27"/>
  <c r="S237" i="27"/>
  <c r="Q237" i="27"/>
  <c r="O237" i="27"/>
  <c r="M237" i="27"/>
  <c r="K237" i="27"/>
  <c r="X236" i="27"/>
  <c r="W236" i="27"/>
  <c r="V236" i="27"/>
  <c r="U236" i="27"/>
  <c r="T236" i="27"/>
  <c r="S236" i="27"/>
  <c r="Q236" i="27"/>
  <c r="O236" i="27"/>
  <c r="M236" i="27"/>
  <c r="K236" i="27"/>
  <c r="X235" i="27"/>
  <c r="W235" i="27"/>
  <c r="V235" i="27"/>
  <c r="U235" i="27"/>
  <c r="T235" i="27"/>
  <c r="S235" i="27"/>
  <c r="Q235" i="27"/>
  <c r="O235" i="27"/>
  <c r="M235" i="27"/>
  <c r="K235" i="27"/>
  <c r="X234" i="27"/>
  <c r="W234" i="27"/>
  <c r="V234" i="27"/>
  <c r="U234" i="27"/>
  <c r="T234" i="27"/>
  <c r="S234" i="27"/>
  <c r="Q234" i="27"/>
  <c r="O234" i="27"/>
  <c r="M234" i="27"/>
  <c r="K234" i="27"/>
  <c r="X233" i="27"/>
  <c r="W233" i="27"/>
  <c r="V233" i="27"/>
  <c r="U233" i="27"/>
  <c r="T233" i="27"/>
  <c r="S233" i="27"/>
  <c r="Q233" i="27"/>
  <c r="O233" i="27"/>
  <c r="M233" i="27"/>
  <c r="K233" i="27"/>
  <c r="X232" i="27"/>
  <c r="W232" i="27"/>
  <c r="V232" i="27"/>
  <c r="U232" i="27"/>
  <c r="T232" i="27"/>
  <c r="S232" i="27"/>
  <c r="Q232" i="27"/>
  <c r="O232" i="27"/>
  <c r="M232" i="27"/>
  <c r="K232" i="27"/>
  <c r="X231" i="27"/>
  <c r="W231" i="27"/>
  <c r="V231" i="27"/>
  <c r="U231" i="27"/>
  <c r="T231" i="27"/>
  <c r="S231" i="27"/>
  <c r="Q231" i="27"/>
  <c r="O231" i="27"/>
  <c r="M231" i="27"/>
  <c r="K231" i="27"/>
  <c r="X230" i="27"/>
  <c r="W230" i="27"/>
  <c r="V230" i="27"/>
  <c r="U230" i="27"/>
  <c r="T230" i="27"/>
  <c r="S230" i="27"/>
  <c r="Q230" i="27"/>
  <c r="O230" i="27"/>
  <c r="M230" i="27"/>
  <c r="K230" i="27"/>
  <c r="X229" i="27"/>
  <c r="W229" i="27"/>
  <c r="V229" i="27"/>
  <c r="U229" i="27"/>
  <c r="T229" i="27"/>
  <c r="S229" i="27"/>
  <c r="Q229" i="27"/>
  <c r="O229" i="27"/>
  <c r="M229" i="27"/>
  <c r="K229" i="27"/>
  <c r="X228" i="27"/>
  <c r="W228" i="27"/>
  <c r="V228" i="27"/>
  <c r="U228" i="27"/>
  <c r="T228" i="27"/>
  <c r="S228" i="27"/>
  <c r="Q228" i="27"/>
  <c r="O228" i="27"/>
  <c r="M228" i="27"/>
  <c r="K228" i="27"/>
  <c r="X227" i="27"/>
  <c r="W227" i="27"/>
  <c r="V227" i="27"/>
  <c r="U227" i="27"/>
  <c r="T227" i="27"/>
  <c r="S227" i="27"/>
  <c r="Q227" i="27"/>
  <c r="O227" i="27"/>
  <c r="M227" i="27"/>
  <c r="K227" i="27"/>
  <c r="X226" i="27"/>
  <c r="W226" i="27"/>
  <c r="V226" i="27"/>
  <c r="U226" i="27"/>
  <c r="T226" i="27"/>
  <c r="S226" i="27"/>
  <c r="Q226" i="27"/>
  <c r="O226" i="27"/>
  <c r="M226" i="27"/>
  <c r="K226" i="27"/>
  <c r="X225" i="27"/>
  <c r="W225" i="27"/>
  <c r="V225" i="27"/>
  <c r="U225" i="27"/>
  <c r="T225" i="27"/>
  <c r="S225" i="27"/>
  <c r="Q225" i="27"/>
  <c r="O225" i="27"/>
  <c r="M225" i="27"/>
  <c r="K225" i="27"/>
  <c r="X224" i="27"/>
  <c r="W224" i="27"/>
  <c r="V224" i="27"/>
  <c r="U224" i="27"/>
  <c r="T224" i="27"/>
  <c r="S224" i="27"/>
  <c r="Q224" i="27"/>
  <c r="O224" i="27"/>
  <c r="M224" i="27"/>
  <c r="K224" i="27"/>
  <c r="X223" i="27"/>
  <c r="W223" i="27"/>
  <c r="V223" i="27"/>
  <c r="U223" i="27"/>
  <c r="T223" i="27"/>
  <c r="S223" i="27"/>
  <c r="Q223" i="27"/>
  <c r="O223" i="27"/>
  <c r="M223" i="27"/>
  <c r="K223" i="27"/>
  <c r="X222" i="27"/>
  <c r="W222" i="27"/>
  <c r="V222" i="27"/>
  <c r="U222" i="27"/>
  <c r="T222" i="27"/>
  <c r="S222" i="27"/>
  <c r="Q222" i="27"/>
  <c r="O222" i="27"/>
  <c r="M222" i="27"/>
  <c r="K222" i="27"/>
  <c r="X221" i="27"/>
  <c r="W221" i="27"/>
  <c r="V221" i="27"/>
  <c r="U221" i="27"/>
  <c r="T221" i="27"/>
  <c r="S221" i="27"/>
  <c r="Q221" i="27"/>
  <c r="O221" i="27"/>
  <c r="M221" i="27"/>
  <c r="K221" i="27"/>
  <c r="X220" i="27"/>
  <c r="W220" i="27"/>
  <c r="V220" i="27"/>
  <c r="U220" i="27"/>
  <c r="T220" i="27"/>
  <c r="S220" i="27"/>
  <c r="Q220" i="27"/>
  <c r="O220" i="27"/>
  <c r="M220" i="27"/>
  <c r="K220" i="27"/>
  <c r="X219" i="27"/>
  <c r="W219" i="27"/>
  <c r="V219" i="27"/>
  <c r="U219" i="27"/>
  <c r="T219" i="27"/>
  <c r="S219" i="27"/>
  <c r="Q219" i="27"/>
  <c r="O219" i="27"/>
  <c r="M219" i="27"/>
  <c r="K219" i="27"/>
  <c r="X218" i="27"/>
  <c r="W218" i="27"/>
  <c r="V218" i="27"/>
  <c r="U218" i="27"/>
  <c r="T218" i="27"/>
  <c r="S218" i="27"/>
  <c r="Q218" i="27"/>
  <c r="O218" i="27"/>
  <c r="M218" i="27"/>
  <c r="K218" i="27"/>
  <c r="X217" i="27"/>
  <c r="W217" i="27"/>
  <c r="V217" i="27"/>
  <c r="U217" i="27"/>
  <c r="T217" i="27"/>
  <c r="S217" i="27"/>
  <c r="Q217" i="27"/>
  <c r="O217" i="27"/>
  <c r="M217" i="27"/>
  <c r="K217" i="27"/>
  <c r="X216" i="27"/>
  <c r="W216" i="27"/>
  <c r="V216" i="27"/>
  <c r="U216" i="27"/>
  <c r="T216" i="27"/>
  <c r="S216" i="27"/>
  <c r="Q216" i="27"/>
  <c r="O216" i="27"/>
  <c r="M216" i="27"/>
  <c r="K216" i="27"/>
  <c r="X215" i="27"/>
  <c r="W215" i="27"/>
  <c r="V215" i="27"/>
  <c r="U215" i="27"/>
  <c r="T215" i="27"/>
  <c r="S215" i="27"/>
  <c r="Q215" i="27"/>
  <c r="O215" i="27"/>
  <c r="M215" i="27"/>
  <c r="K215" i="27"/>
  <c r="X214" i="27"/>
  <c r="W214" i="27"/>
  <c r="V214" i="27"/>
  <c r="U214" i="27"/>
  <c r="T214" i="27"/>
  <c r="S214" i="27"/>
  <c r="Q214" i="27"/>
  <c r="O214" i="27"/>
  <c r="M214" i="27"/>
  <c r="K214" i="27"/>
  <c r="X213" i="27"/>
  <c r="W213" i="27"/>
  <c r="V213" i="27"/>
  <c r="U213" i="27"/>
  <c r="T213" i="27"/>
  <c r="S213" i="27"/>
  <c r="Q213" i="27"/>
  <c r="O213" i="27"/>
  <c r="M213" i="27"/>
  <c r="K213" i="27"/>
  <c r="X212" i="27"/>
  <c r="W212" i="27"/>
  <c r="V212" i="27"/>
  <c r="U212" i="27"/>
  <c r="T212" i="27"/>
  <c r="S212" i="27"/>
  <c r="Q212" i="27"/>
  <c r="O212" i="27"/>
  <c r="M212" i="27"/>
  <c r="K212" i="27"/>
  <c r="X211" i="27"/>
  <c r="W211" i="27"/>
  <c r="V211" i="27"/>
  <c r="U211" i="27"/>
  <c r="T211" i="27"/>
  <c r="S211" i="27"/>
  <c r="Q211" i="27"/>
  <c r="O211" i="27"/>
  <c r="M211" i="27"/>
  <c r="K211" i="27"/>
  <c r="X210" i="27"/>
  <c r="W210" i="27"/>
  <c r="V210" i="27"/>
  <c r="U210" i="27"/>
  <c r="T210" i="27"/>
  <c r="S210" i="27"/>
  <c r="Q210" i="27"/>
  <c r="O210" i="27"/>
  <c r="M210" i="27"/>
  <c r="K210" i="27"/>
  <c r="X209" i="27"/>
  <c r="W209" i="27"/>
  <c r="V209" i="27"/>
  <c r="U209" i="27"/>
  <c r="T209" i="27"/>
  <c r="S209" i="27"/>
  <c r="Q209" i="27"/>
  <c r="O209" i="27"/>
  <c r="M209" i="27"/>
  <c r="K209" i="27"/>
  <c r="X208" i="27"/>
  <c r="W208" i="27"/>
  <c r="V208" i="27"/>
  <c r="U208" i="27"/>
  <c r="T208" i="27"/>
  <c r="S208" i="27"/>
  <c r="Q208" i="27"/>
  <c r="O208" i="27"/>
  <c r="M208" i="27"/>
  <c r="K208" i="27"/>
  <c r="X207" i="27"/>
  <c r="W207" i="27"/>
  <c r="V207" i="27"/>
  <c r="U207" i="27"/>
  <c r="T207" i="27"/>
  <c r="S207" i="27"/>
  <c r="Q207" i="27"/>
  <c r="O207" i="27"/>
  <c r="M207" i="27"/>
  <c r="K207" i="27"/>
  <c r="X206" i="27"/>
  <c r="W206" i="27"/>
  <c r="V206" i="27"/>
  <c r="U206" i="27"/>
  <c r="T206" i="27"/>
  <c r="S206" i="27"/>
  <c r="Q206" i="27"/>
  <c r="O206" i="27"/>
  <c r="M206" i="27"/>
  <c r="K206" i="27"/>
  <c r="X205" i="27"/>
  <c r="W205" i="27"/>
  <c r="V205" i="27"/>
  <c r="U205" i="27"/>
  <c r="T205" i="27"/>
  <c r="S205" i="27"/>
  <c r="Q205" i="27"/>
  <c r="O205" i="27"/>
  <c r="M205" i="27"/>
  <c r="K205" i="27"/>
  <c r="X204" i="27"/>
  <c r="W204" i="27"/>
  <c r="V204" i="27"/>
  <c r="U204" i="27"/>
  <c r="T204" i="27"/>
  <c r="S204" i="27"/>
  <c r="Q204" i="27"/>
  <c r="O204" i="27"/>
  <c r="M204" i="27"/>
  <c r="K204" i="27"/>
  <c r="X203" i="27"/>
  <c r="W203" i="27"/>
  <c r="V203" i="27"/>
  <c r="U203" i="27"/>
  <c r="T203" i="27"/>
  <c r="S203" i="27"/>
  <c r="Q203" i="27"/>
  <c r="O203" i="27"/>
  <c r="M203" i="27"/>
  <c r="K203" i="27"/>
  <c r="X202" i="27"/>
  <c r="W202" i="27"/>
  <c r="V202" i="27"/>
  <c r="U202" i="27"/>
  <c r="T202" i="27"/>
  <c r="S202" i="27"/>
  <c r="Q202" i="27"/>
  <c r="O202" i="27"/>
  <c r="M202" i="27"/>
  <c r="K202" i="27"/>
  <c r="X201" i="27"/>
  <c r="W201" i="27"/>
  <c r="V201" i="27"/>
  <c r="U201" i="27"/>
  <c r="T201" i="27"/>
  <c r="S201" i="27"/>
  <c r="Q201" i="27"/>
  <c r="O201" i="27"/>
  <c r="M201" i="27"/>
  <c r="K201" i="27"/>
  <c r="X200" i="27"/>
  <c r="W200" i="27"/>
  <c r="V200" i="27"/>
  <c r="U200" i="27"/>
  <c r="T200" i="27"/>
  <c r="S200" i="27"/>
  <c r="Q200" i="27"/>
  <c r="O200" i="27"/>
  <c r="M200" i="27"/>
  <c r="K200" i="27"/>
  <c r="X199" i="27"/>
  <c r="W199" i="27"/>
  <c r="V199" i="27"/>
  <c r="U199" i="27"/>
  <c r="T199" i="27"/>
  <c r="S199" i="27"/>
  <c r="Q199" i="27"/>
  <c r="O199" i="27"/>
  <c r="M199" i="27"/>
  <c r="K199" i="27"/>
  <c r="X198" i="27"/>
  <c r="W198" i="27"/>
  <c r="V198" i="27"/>
  <c r="U198" i="27"/>
  <c r="T198" i="27"/>
  <c r="S198" i="27"/>
  <c r="Q198" i="27"/>
  <c r="O198" i="27"/>
  <c r="M198" i="27"/>
  <c r="K198" i="27"/>
  <c r="X197" i="27"/>
  <c r="W197" i="27"/>
  <c r="V197" i="27"/>
  <c r="U197" i="27"/>
  <c r="T197" i="27"/>
  <c r="S197" i="27"/>
  <c r="Q197" i="27"/>
  <c r="O197" i="27"/>
  <c r="M197" i="27"/>
  <c r="K197" i="27"/>
  <c r="X196" i="27"/>
  <c r="W196" i="27"/>
  <c r="V196" i="27"/>
  <c r="U196" i="27"/>
  <c r="T196" i="27"/>
  <c r="S196" i="27"/>
  <c r="Q196" i="27"/>
  <c r="O196" i="27"/>
  <c r="M196" i="27"/>
  <c r="K196" i="27"/>
  <c r="X195" i="27"/>
  <c r="W195" i="27"/>
  <c r="V195" i="27"/>
  <c r="U195" i="27"/>
  <c r="T195" i="27"/>
  <c r="S195" i="27"/>
  <c r="Q195" i="27"/>
  <c r="O195" i="27"/>
  <c r="M195" i="27"/>
  <c r="K195" i="27"/>
  <c r="X194" i="27"/>
  <c r="W194" i="27"/>
  <c r="V194" i="27"/>
  <c r="U194" i="27"/>
  <c r="T194" i="27"/>
  <c r="S194" i="27"/>
  <c r="Q194" i="27"/>
  <c r="O194" i="27"/>
  <c r="M194" i="27"/>
  <c r="K194" i="27"/>
  <c r="X193" i="27"/>
  <c r="W193" i="27"/>
  <c r="V193" i="27"/>
  <c r="U193" i="27"/>
  <c r="T193" i="27"/>
  <c r="S193" i="27"/>
  <c r="Q193" i="27"/>
  <c r="O193" i="27"/>
  <c r="M193" i="27"/>
  <c r="K193" i="27"/>
  <c r="X192" i="27"/>
  <c r="W192" i="27"/>
  <c r="V192" i="27"/>
  <c r="U192" i="27"/>
  <c r="T192" i="27"/>
  <c r="S192" i="27"/>
  <c r="Q192" i="27"/>
  <c r="O192" i="27"/>
  <c r="M192" i="27"/>
  <c r="K192" i="27"/>
  <c r="X191" i="27"/>
  <c r="W191" i="27"/>
  <c r="V191" i="27"/>
  <c r="U191" i="27"/>
  <c r="T191" i="27"/>
  <c r="S191" i="27"/>
  <c r="Q191" i="27"/>
  <c r="O191" i="27"/>
  <c r="M191" i="27"/>
  <c r="K191" i="27"/>
  <c r="X190" i="27"/>
  <c r="W190" i="27"/>
  <c r="V190" i="27"/>
  <c r="U190" i="27"/>
  <c r="T190" i="27"/>
  <c r="S190" i="27"/>
  <c r="Q190" i="27"/>
  <c r="O190" i="27"/>
  <c r="M190" i="27"/>
  <c r="K190" i="27"/>
  <c r="X189" i="27"/>
  <c r="W189" i="27"/>
  <c r="V189" i="27"/>
  <c r="U189" i="27"/>
  <c r="T189" i="27"/>
  <c r="S189" i="27"/>
  <c r="Q189" i="27"/>
  <c r="O189" i="27"/>
  <c r="M189" i="27"/>
  <c r="K189" i="27"/>
  <c r="X188" i="27"/>
  <c r="W188" i="27"/>
  <c r="V188" i="27"/>
  <c r="U188" i="27"/>
  <c r="T188" i="27"/>
  <c r="S188" i="27"/>
  <c r="Q188" i="27"/>
  <c r="O188" i="27"/>
  <c r="M188" i="27"/>
  <c r="K188" i="27"/>
  <c r="X187" i="27"/>
  <c r="W187" i="27"/>
  <c r="V187" i="27"/>
  <c r="U187" i="27"/>
  <c r="T187" i="27"/>
  <c r="S187" i="27"/>
  <c r="Q187" i="27"/>
  <c r="O187" i="27"/>
  <c r="M187" i="27"/>
  <c r="K187" i="27"/>
  <c r="X186" i="27"/>
  <c r="W186" i="27"/>
  <c r="V186" i="27"/>
  <c r="U186" i="27"/>
  <c r="T186" i="27"/>
  <c r="S186" i="27"/>
  <c r="Q186" i="27"/>
  <c r="O186" i="27"/>
  <c r="M186" i="27"/>
  <c r="K186" i="27"/>
  <c r="X185" i="27"/>
  <c r="W185" i="27"/>
  <c r="V185" i="27"/>
  <c r="U185" i="27"/>
  <c r="T185" i="27"/>
  <c r="S185" i="27"/>
  <c r="Q185" i="27"/>
  <c r="O185" i="27"/>
  <c r="M185" i="27"/>
  <c r="K185" i="27"/>
  <c r="X184" i="27"/>
  <c r="W184" i="27"/>
  <c r="V184" i="27"/>
  <c r="U184" i="27"/>
  <c r="T184" i="27"/>
  <c r="S184" i="27"/>
  <c r="Q184" i="27"/>
  <c r="O184" i="27"/>
  <c r="M184" i="27"/>
  <c r="K184" i="27"/>
  <c r="X183" i="27"/>
  <c r="W183" i="27"/>
  <c r="V183" i="27"/>
  <c r="U183" i="27"/>
  <c r="T183" i="27"/>
  <c r="S183" i="27"/>
  <c r="Q183" i="27"/>
  <c r="O183" i="27"/>
  <c r="M183" i="27"/>
  <c r="K183" i="27"/>
  <c r="X182" i="27"/>
  <c r="W182" i="27"/>
  <c r="V182" i="27"/>
  <c r="U182" i="27"/>
  <c r="T182" i="27"/>
  <c r="S182" i="27"/>
  <c r="Q182" i="27"/>
  <c r="O182" i="27"/>
  <c r="M182" i="27"/>
  <c r="K182" i="27"/>
  <c r="X181" i="27"/>
  <c r="W181" i="27"/>
  <c r="V181" i="27"/>
  <c r="U181" i="27"/>
  <c r="T181" i="27"/>
  <c r="S181" i="27"/>
  <c r="Q181" i="27"/>
  <c r="O181" i="27"/>
  <c r="M181" i="27"/>
  <c r="K181" i="27"/>
  <c r="X180" i="27"/>
  <c r="W180" i="27"/>
  <c r="V180" i="27"/>
  <c r="U180" i="27"/>
  <c r="T180" i="27"/>
  <c r="S180" i="27"/>
  <c r="Q180" i="27"/>
  <c r="O180" i="27"/>
  <c r="M180" i="27"/>
  <c r="K180" i="27"/>
  <c r="X179" i="27"/>
  <c r="W179" i="27"/>
  <c r="V179" i="27"/>
  <c r="U179" i="27"/>
  <c r="T179" i="27"/>
  <c r="S179" i="27"/>
  <c r="Q179" i="27"/>
  <c r="O179" i="27"/>
  <c r="M179" i="27"/>
  <c r="K179" i="27"/>
  <c r="X178" i="27"/>
  <c r="W178" i="27"/>
  <c r="V178" i="27"/>
  <c r="U178" i="27"/>
  <c r="T178" i="27"/>
  <c r="S178" i="27"/>
  <c r="Q178" i="27"/>
  <c r="O178" i="27"/>
  <c r="M178" i="27"/>
  <c r="K178" i="27"/>
  <c r="X177" i="27"/>
  <c r="W177" i="27"/>
  <c r="V177" i="27"/>
  <c r="U177" i="27"/>
  <c r="T177" i="27"/>
  <c r="S177" i="27"/>
  <c r="Q177" i="27"/>
  <c r="O177" i="27"/>
  <c r="M177" i="27"/>
  <c r="K177" i="27"/>
  <c r="X176" i="27"/>
  <c r="W176" i="27"/>
  <c r="V176" i="27"/>
  <c r="U176" i="27"/>
  <c r="T176" i="27"/>
  <c r="S176" i="27"/>
  <c r="Q176" i="27"/>
  <c r="O176" i="27"/>
  <c r="M176" i="27"/>
  <c r="K176" i="27"/>
  <c r="X175" i="27"/>
  <c r="W175" i="27"/>
  <c r="V175" i="27"/>
  <c r="U175" i="27"/>
  <c r="T175" i="27"/>
  <c r="S175" i="27"/>
  <c r="Q175" i="27"/>
  <c r="O175" i="27"/>
  <c r="M175" i="27"/>
  <c r="K175" i="27"/>
  <c r="X174" i="27"/>
  <c r="W174" i="27"/>
  <c r="V174" i="27"/>
  <c r="U174" i="27"/>
  <c r="T174" i="27"/>
  <c r="S174" i="27"/>
  <c r="Q174" i="27"/>
  <c r="O174" i="27"/>
  <c r="M174" i="27"/>
  <c r="K174" i="27"/>
  <c r="X173" i="27"/>
  <c r="W173" i="27"/>
  <c r="V173" i="27"/>
  <c r="U173" i="27"/>
  <c r="T173" i="27"/>
  <c r="S173" i="27"/>
  <c r="Q173" i="27"/>
  <c r="O173" i="27"/>
  <c r="M173" i="27"/>
  <c r="K173" i="27"/>
  <c r="X172" i="27"/>
  <c r="W172" i="27"/>
  <c r="V172" i="27"/>
  <c r="U172" i="27"/>
  <c r="T172" i="27"/>
  <c r="S172" i="27"/>
  <c r="Q172" i="27"/>
  <c r="O172" i="27"/>
  <c r="M172" i="27"/>
  <c r="K172" i="27"/>
  <c r="X171" i="27"/>
  <c r="W171" i="27"/>
  <c r="V171" i="27"/>
  <c r="U171" i="27"/>
  <c r="T171" i="27"/>
  <c r="S171" i="27"/>
  <c r="Q171" i="27"/>
  <c r="O171" i="27"/>
  <c r="M171" i="27"/>
  <c r="K171" i="27"/>
  <c r="X170" i="27"/>
  <c r="W170" i="27"/>
  <c r="V170" i="27"/>
  <c r="U170" i="27"/>
  <c r="T170" i="27"/>
  <c r="S170" i="27"/>
  <c r="Q170" i="27"/>
  <c r="O170" i="27"/>
  <c r="M170" i="27"/>
  <c r="K170" i="27"/>
  <c r="X169" i="27"/>
  <c r="W169" i="27"/>
  <c r="V169" i="27"/>
  <c r="U169" i="27"/>
  <c r="T169" i="27"/>
  <c r="S169" i="27"/>
  <c r="Q169" i="27"/>
  <c r="O169" i="27"/>
  <c r="M169" i="27"/>
  <c r="K169" i="27"/>
  <c r="X168" i="27"/>
  <c r="W168" i="27"/>
  <c r="V168" i="27"/>
  <c r="U168" i="27"/>
  <c r="T168" i="27"/>
  <c r="S168" i="27"/>
  <c r="Q168" i="27"/>
  <c r="O168" i="27"/>
  <c r="M168" i="27"/>
  <c r="K168" i="27"/>
  <c r="X167" i="27"/>
  <c r="W167" i="27"/>
  <c r="V167" i="27"/>
  <c r="U167" i="27"/>
  <c r="T167" i="27"/>
  <c r="S167" i="27"/>
  <c r="Q167" i="27"/>
  <c r="O167" i="27"/>
  <c r="M167" i="27"/>
  <c r="K167" i="27"/>
  <c r="X166" i="27"/>
  <c r="W166" i="27"/>
  <c r="V166" i="27"/>
  <c r="U166" i="27"/>
  <c r="T166" i="27"/>
  <c r="S166" i="27"/>
  <c r="Q166" i="27"/>
  <c r="O166" i="27"/>
  <c r="M166" i="27"/>
  <c r="K166" i="27"/>
  <c r="X165" i="27"/>
  <c r="W165" i="27"/>
  <c r="V165" i="27"/>
  <c r="U165" i="27"/>
  <c r="T165" i="27"/>
  <c r="S165" i="27"/>
  <c r="Q165" i="27"/>
  <c r="O165" i="27"/>
  <c r="M165" i="27"/>
  <c r="K165" i="27"/>
  <c r="X164" i="27"/>
  <c r="W164" i="27"/>
  <c r="V164" i="27"/>
  <c r="U164" i="27"/>
  <c r="T164" i="27"/>
  <c r="S164" i="27"/>
  <c r="Q164" i="27"/>
  <c r="O164" i="27"/>
  <c r="M164" i="27"/>
  <c r="K164" i="27"/>
  <c r="X163" i="27"/>
  <c r="W163" i="27"/>
  <c r="V163" i="27"/>
  <c r="U163" i="27"/>
  <c r="T163" i="27"/>
  <c r="S163" i="27"/>
  <c r="Q163" i="27"/>
  <c r="O163" i="27"/>
  <c r="M163" i="27"/>
  <c r="K163" i="27"/>
  <c r="X162" i="27"/>
  <c r="W162" i="27"/>
  <c r="V162" i="27"/>
  <c r="U162" i="27"/>
  <c r="T162" i="27"/>
  <c r="S162" i="27"/>
  <c r="Q162" i="27"/>
  <c r="O162" i="27"/>
  <c r="M162" i="27"/>
  <c r="K162" i="27"/>
  <c r="X161" i="27"/>
  <c r="W161" i="27"/>
  <c r="V161" i="27"/>
  <c r="U161" i="27"/>
  <c r="T161" i="27"/>
  <c r="S161" i="27"/>
  <c r="Q161" i="27"/>
  <c r="O161" i="27"/>
  <c r="M161" i="27"/>
  <c r="K161" i="27"/>
  <c r="X160" i="27"/>
  <c r="W160" i="27"/>
  <c r="V160" i="27"/>
  <c r="U160" i="27"/>
  <c r="T160" i="27"/>
  <c r="S160" i="27"/>
  <c r="Q160" i="27"/>
  <c r="O160" i="27"/>
  <c r="M160" i="27"/>
  <c r="K160" i="27"/>
  <c r="X159" i="27"/>
  <c r="W159" i="27"/>
  <c r="V159" i="27"/>
  <c r="U159" i="27"/>
  <c r="T159" i="27"/>
  <c r="S159" i="27"/>
  <c r="Q159" i="27"/>
  <c r="O159" i="27"/>
  <c r="M159" i="27"/>
  <c r="K159" i="27"/>
  <c r="X158" i="27"/>
  <c r="W158" i="27"/>
  <c r="V158" i="27"/>
  <c r="U158" i="27"/>
  <c r="T158" i="27"/>
  <c r="S158" i="27"/>
  <c r="Q158" i="27"/>
  <c r="O158" i="27"/>
  <c r="M158" i="27"/>
  <c r="K158" i="27"/>
  <c r="X157" i="27"/>
  <c r="W157" i="27"/>
  <c r="V157" i="27"/>
  <c r="U157" i="27"/>
  <c r="T157" i="27"/>
  <c r="S157" i="27"/>
  <c r="Q157" i="27"/>
  <c r="O157" i="27"/>
  <c r="M157" i="27"/>
  <c r="K157" i="27"/>
  <c r="X156" i="27"/>
  <c r="W156" i="27"/>
  <c r="V156" i="27"/>
  <c r="U156" i="27"/>
  <c r="T156" i="27"/>
  <c r="S156" i="27"/>
  <c r="Q156" i="27"/>
  <c r="O156" i="27"/>
  <c r="M156" i="27"/>
  <c r="K156" i="27"/>
  <c r="X155" i="27"/>
  <c r="W155" i="27"/>
  <c r="V155" i="27"/>
  <c r="U155" i="27"/>
  <c r="T155" i="27"/>
  <c r="S155" i="27"/>
  <c r="Q155" i="27"/>
  <c r="O155" i="27"/>
  <c r="M155" i="27"/>
  <c r="K155" i="27"/>
  <c r="X154" i="27"/>
  <c r="W154" i="27"/>
  <c r="V154" i="27"/>
  <c r="U154" i="27"/>
  <c r="T154" i="27"/>
  <c r="S154" i="27"/>
  <c r="Q154" i="27"/>
  <c r="O154" i="27"/>
  <c r="M154" i="27"/>
  <c r="K154" i="27"/>
  <c r="X153" i="27"/>
  <c r="W153" i="27"/>
  <c r="V153" i="27"/>
  <c r="U153" i="27"/>
  <c r="T153" i="27"/>
  <c r="S153" i="27"/>
  <c r="Q153" i="27"/>
  <c r="O153" i="27"/>
  <c r="M153" i="27"/>
  <c r="K153" i="27"/>
  <c r="X152" i="27"/>
  <c r="W152" i="27"/>
  <c r="V152" i="27"/>
  <c r="U152" i="27"/>
  <c r="T152" i="27"/>
  <c r="S152" i="27"/>
  <c r="Q152" i="27"/>
  <c r="O152" i="27"/>
  <c r="M152" i="27"/>
  <c r="K152" i="27"/>
  <c r="X151" i="27"/>
  <c r="W151" i="27"/>
  <c r="V151" i="27"/>
  <c r="U151" i="27"/>
  <c r="T151" i="27"/>
  <c r="S151" i="27"/>
  <c r="Q151" i="27"/>
  <c r="O151" i="27"/>
  <c r="M151" i="27"/>
  <c r="K151" i="27"/>
  <c r="X150" i="27"/>
  <c r="W150" i="27"/>
  <c r="V150" i="27"/>
  <c r="U150" i="27"/>
  <c r="T150" i="27"/>
  <c r="S150" i="27"/>
  <c r="Q150" i="27"/>
  <c r="O150" i="27"/>
  <c r="M150" i="27"/>
  <c r="K150" i="27"/>
  <c r="X149" i="27"/>
  <c r="W149" i="27"/>
  <c r="V149" i="27"/>
  <c r="U149" i="27"/>
  <c r="T149" i="27"/>
  <c r="S149" i="27"/>
  <c r="Q149" i="27"/>
  <c r="O149" i="27"/>
  <c r="M149" i="27"/>
  <c r="K149" i="27"/>
  <c r="X148" i="27"/>
  <c r="W148" i="27"/>
  <c r="V148" i="27"/>
  <c r="U148" i="27"/>
  <c r="T148" i="27"/>
  <c r="S148" i="27"/>
  <c r="Q148" i="27"/>
  <c r="O148" i="27"/>
  <c r="M148" i="27"/>
  <c r="K148" i="27"/>
  <c r="X147" i="27"/>
  <c r="W147" i="27"/>
  <c r="V147" i="27"/>
  <c r="U147" i="27"/>
  <c r="T147" i="27"/>
  <c r="S147" i="27"/>
  <c r="Q147" i="27"/>
  <c r="O147" i="27"/>
  <c r="M147" i="27"/>
  <c r="K147" i="27"/>
  <c r="X146" i="27"/>
  <c r="W146" i="27"/>
  <c r="V146" i="27"/>
  <c r="U146" i="27"/>
  <c r="T146" i="27"/>
  <c r="S146" i="27"/>
  <c r="Q146" i="27"/>
  <c r="O146" i="27"/>
  <c r="M146" i="27"/>
  <c r="K146" i="27"/>
  <c r="X145" i="27"/>
  <c r="W145" i="27"/>
  <c r="V145" i="27"/>
  <c r="U145" i="27"/>
  <c r="T145" i="27"/>
  <c r="S145" i="27"/>
  <c r="Q145" i="27"/>
  <c r="O145" i="27"/>
  <c r="M145" i="27"/>
  <c r="K145" i="27"/>
  <c r="X144" i="27"/>
  <c r="W144" i="27"/>
  <c r="V144" i="27"/>
  <c r="U144" i="27"/>
  <c r="T144" i="27"/>
  <c r="S144" i="27"/>
  <c r="Q144" i="27"/>
  <c r="O144" i="27"/>
  <c r="M144" i="27"/>
  <c r="K144" i="27"/>
  <c r="X143" i="27"/>
  <c r="W143" i="27"/>
  <c r="V143" i="27"/>
  <c r="U143" i="27"/>
  <c r="T143" i="27"/>
  <c r="S143" i="27"/>
  <c r="Q143" i="27"/>
  <c r="O143" i="27"/>
  <c r="M143" i="27"/>
  <c r="K143" i="27"/>
  <c r="X142" i="27"/>
  <c r="W142" i="27"/>
  <c r="V142" i="27"/>
  <c r="U142" i="27"/>
  <c r="T142" i="27"/>
  <c r="S142" i="27"/>
  <c r="Q142" i="27"/>
  <c r="O142" i="27"/>
  <c r="M142" i="27"/>
  <c r="K142" i="27"/>
  <c r="X141" i="27"/>
  <c r="W141" i="27"/>
  <c r="V141" i="27"/>
  <c r="U141" i="27"/>
  <c r="T141" i="27"/>
  <c r="S141" i="27"/>
  <c r="Q141" i="27"/>
  <c r="O141" i="27"/>
  <c r="M141" i="27"/>
  <c r="K141" i="27"/>
  <c r="X140" i="27"/>
  <c r="W140" i="27"/>
  <c r="V140" i="27"/>
  <c r="U140" i="27"/>
  <c r="T140" i="27"/>
  <c r="S140" i="27"/>
  <c r="Q140" i="27"/>
  <c r="O140" i="27"/>
  <c r="M140" i="27"/>
  <c r="K140" i="27"/>
  <c r="X139" i="27"/>
  <c r="W139" i="27"/>
  <c r="V139" i="27"/>
  <c r="U139" i="27"/>
  <c r="T139" i="27"/>
  <c r="S139" i="27"/>
  <c r="Q139" i="27"/>
  <c r="O139" i="27"/>
  <c r="M139" i="27"/>
  <c r="K139" i="27"/>
  <c r="X138" i="27"/>
  <c r="W138" i="27"/>
  <c r="V138" i="27"/>
  <c r="U138" i="27"/>
  <c r="T138" i="27"/>
  <c r="S138" i="27"/>
  <c r="Q138" i="27"/>
  <c r="O138" i="27"/>
  <c r="M138" i="27"/>
  <c r="K138" i="27"/>
  <c r="X137" i="27"/>
  <c r="W137" i="27"/>
  <c r="V137" i="27"/>
  <c r="U137" i="27"/>
  <c r="T137" i="27"/>
  <c r="S137" i="27"/>
  <c r="Q137" i="27"/>
  <c r="O137" i="27"/>
  <c r="M137" i="27"/>
  <c r="K137" i="27"/>
  <c r="X136" i="27"/>
  <c r="W136" i="27"/>
  <c r="V136" i="27"/>
  <c r="U136" i="27"/>
  <c r="T136" i="27"/>
  <c r="S136" i="27"/>
  <c r="Q136" i="27"/>
  <c r="O136" i="27"/>
  <c r="M136" i="27"/>
  <c r="K136" i="27"/>
  <c r="X135" i="27"/>
  <c r="W135" i="27"/>
  <c r="V135" i="27"/>
  <c r="U135" i="27"/>
  <c r="T135" i="27"/>
  <c r="S135" i="27"/>
  <c r="Q135" i="27"/>
  <c r="O135" i="27"/>
  <c r="M135" i="27"/>
  <c r="K135" i="27"/>
  <c r="X134" i="27"/>
  <c r="W134" i="27"/>
  <c r="V134" i="27"/>
  <c r="U134" i="27"/>
  <c r="T134" i="27"/>
  <c r="S134" i="27"/>
  <c r="Q134" i="27"/>
  <c r="O134" i="27"/>
  <c r="M134" i="27"/>
  <c r="K134" i="27"/>
  <c r="X133" i="27"/>
  <c r="W133" i="27"/>
  <c r="V133" i="27"/>
  <c r="U133" i="27"/>
  <c r="T133" i="27"/>
  <c r="S133" i="27"/>
  <c r="Q133" i="27"/>
  <c r="O133" i="27"/>
  <c r="M133" i="27"/>
  <c r="K133" i="27"/>
  <c r="X132" i="27"/>
  <c r="W132" i="27"/>
  <c r="V132" i="27"/>
  <c r="U132" i="27"/>
  <c r="T132" i="27"/>
  <c r="S132" i="27"/>
  <c r="Q132" i="27"/>
  <c r="O132" i="27"/>
  <c r="M132" i="27"/>
  <c r="K132" i="27"/>
  <c r="X131" i="27"/>
  <c r="W131" i="27"/>
  <c r="V131" i="27"/>
  <c r="U131" i="27"/>
  <c r="T131" i="27"/>
  <c r="S131" i="27"/>
  <c r="Q131" i="27"/>
  <c r="O131" i="27"/>
  <c r="M131" i="27"/>
  <c r="K131" i="27"/>
  <c r="X130" i="27"/>
  <c r="W130" i="27"/>
  <c r="V130" i="27"/>
  <c r="U130" i="27"/>
  <c r="T130" i="27"/>
  <c r="S130" i="27"/>
  <c r="Q130" i="27"/>
  <c r="O130" i="27"/>
  <c r="M130" i="27"/>
  <c r="K130" i="27"/>
  <c r="X129" i="27"/>
  <c r="W129" i="27"/>
  <c r="V129" i="27"/>
  <c r="U129" i="27"/>
  <c r="T129" i="27"/>
  <c r="S129" i="27"/>
  <c r="Q129" i="27"/>
  <c r="O129" i="27"/>
  <c r="M129" i="27"/>
  <c r="K129" i="27"/>
  <c r="X128" i="27"/>
  <c r="W128" i="27"/>
  <c r="V128" i="27"/>
  <c r="U128" i="27"/>
  <c r="T128" i="27"/>
  <c r="S128" i="27"/>
  <c r="Q128" i="27"/>
  <c r="O128" i="27"/>
  <c r="M128" i="27"/>
  <c r="K128" i="27"/>
  <c r="X127" i="27"/>
  <c r="W127" i="27"/>
  <c r="V127" i="27"/>
  <c r="U127" i="27"/>
  <c r="T127" i="27"/>
  <c r="S127" i="27"/>
  <c r="Q127" i="27"/>
  <c r="O127" i="27"/>
  <c r="M127" i="27"/>
  <c r="K127" i="27"/>
  <c r="X126" i="27"/>
  <c r="W126" i="27"/>
  <c r="V126" i="27"/>
  <c r="U126" i="27"/>
  <c r="T126" i="27"/>
  <c r="S126" i="27"/>
  <c r="Q126" i="27"/>
  <c r="O126" i="27"/>
  <c r="M126" i="27"/>
  <c r="K126" i="27"/>
  <c r="X125" i="27"/>
  <c r="W125" i="27"/>
  <c r="V125" i="27"/>
  <c r="U125" i="27"/>
  <c r="T125" i="27"/>
  <c r="S125" i="27"/>
  <c r="Q125" i="27"/>
  <c r="O125" i="27"/>
  <c r="M125" i="27"/>
  <c r="K125" i="27"/>
  <c r="X124" i="27"/>
  <c r="W124" i="27"/>
  <c r="V124" i="27"/>
  <c r="U124" i="27"/>
  <c r="T124" i="27"/>
  <c r="S124" i="27"/>
  <c r="Q124" i="27"/>
  <c r="O124" i="27"/>
  <c r="M124" i="27"/>
  <c r="K124" i="27"/>
  <c r="X123" i="27"/>
  <c r="W123" i="27"/>
  <c r="V123" i="27"/>
  <c r="U123" i="27"/>
  <c r="T123" i="27"/>
  <c r="S123" i="27"/>
  <c r="Q123" i="27"/>
  <c r="O123" i="27"/>
  <c r="M123" i="27"/>
  <c r="K123" i="27"/>
  <c r="X122" i="27"/>
  <c r="W122" i="27"/>
  <c r="V122" i="27"/>
  <c r="U122" i="27"/>
  <c r="T122" i="27"/>
  <c r="S122" i="27"/>
  <c r="Q122" i="27"/>
  <c r="O122" i="27"/>
  <c r="M122" i="27"/>
  <c r="K122" i="27"/>
  <c r="X121" i="27"/>
  <c r="W121" i="27"/>
  <c r="V121" i="27"/>
  <c r="U121" i="27"/>
  <c r="T121" i="27"/>
  <c r="S121" i="27"/>
  <c r="Q121" i="27"/>
  <c r="O121" i="27"/>
  <c r="M121" i="27"/>
  <c r="K121" i="27"/>
  <c r="X120" i="27"/>
  <c r="W120" i="27"/>
  <c r="V120" i="27"/>
  <c r="U120" i="27"/>
  <c r="T120" i="27"/>
  <c r="S120" i="27"/>
  <c r="Q120" i="27"/>
  <c r="O120" i="27"/>
  <c r="M120" i="27"/>
  <c r="K120" i="27"/>
  <c r="X119" i="27"/>
  <c r="W119" i="27"/>
  <c r="V119" i="27"/>
  <c r="U119" i="27"/>
  <c r="T119" i="27"/>
  <c r="S119" i="27"/>
  <c r="Q119" i="27"/>
  <c r="O119" i="27"/>
  <c r="M119" i="27"/>
  <c r="K119" i="27"/>
  <c r="X118" i="27"/>
  <c r="W118" i="27"/>
  <c r="V118" i="27"/>
  <c r="U118" i="27"/>
  <c r="T118" i="27"/>
  <c r="S118" i="27"/>
  <c r="Q118" i="27"/>
  <c r="O118" i="27"/>
  <c r="M118" i="27"/>
  <c r="K118" i="27"/>
  <c r="X117" i="27"/>
  <c r="W117" i="27"/>
  <c r="V117" i="27"/>
  <c r="U117" i="27"/>
  <c r="T117" i="27"/>
  <c r="S117" i="27"/>
  <c r="Q117" i="27"/>
  <c r="O117" i="27"/>
  <c r="M117" i="27"/>
  <c r="K117" i="27"/>
  <c r="X116" i="27"/>
  <c r="W116" i="27"/>
  <c r="V116" i="27"/>
  <c r="U116" i="27"/>
  <c r="T116" i="27"/>
  <c r="S116" i="27"/>
  <c r="Q116" i="27"/>
  <c r="O116" i="27"/>
  <c r="M116" i="27"/>
  <c r="K116" i="27"/>
  <c r="X115" i="27"/>
  <c r="W115" i="27"/>
  <c r="V115" i="27"/>
  <c r="U115" i="27"/>
  <c r="T115" i="27"/>
  <c r="S115" i="27"/>
  <c r="Q115" i="27"/>
  <c r="O115" i="27"/>
  <c r="M115" i="27"/>
  <c r="K115" i="27"/>
  <c r="X114" i="27"/>
  <c r="W114" i="27"/>
  <c r="V114" i="27"/>
  <c r="U114" i="27"/>
  <c r="T114" i="27"/>
  <c r="S114" i="27"/>
  <c r="Q114" i="27"/>
  <c r="O114" i="27"/>
  <c r="M114" i="27"/>
  <c r="K114" i="27"/>
  <c r="X113" i="27"/>
  <c r="W113" i="27"/>
  <c r="V113" i="27"/>
  <c r="U113" i="27"/>
  <c r="T113" i="27"/>
  <c r="S113" i="27"/>
  <c r="Q113" i="27"/>
  <c r="O113" i="27"/>
  <c r="M113" i="27"/>
  <c r="K113" i="27"/>
  <c r="X112" i="27"/>
  <c r="W112" i="27"/>
  <c r="V112" i="27"/>
  <c r="U112" i="27"/>
  <c r="T112" i="27"/>
  <c r="S112" i="27"/>
  <c r="Q112" i="27"/>
  <c r="O112" i="27"/>
  <c r="M112" i="27"/>
  <c r="K112" i="27"/>
  <c r="X111" i="27"/>
  <c r="W111" i="27"/>
  <c r="V111" i="27"/>
  <c r="U111" i="27"/>
  <c r="T111" i="27"/>
  <c r="S111" i="27"/>
  <c r="Q111" i="27"/>
  <c r="O111" i="27"/>
  <c r="M111" i="27"/>
  <c r="K111" i="27"/>
  <c r="X110" i="27"/>
  <c r="W110" i="27"/>
  <c r="V110" i="27"/>
  <c r="U110" i="27"/>
  <c r="T110" i="27"/>
  <c r="S110" i="27"/>
  <c r="Q110" i="27"/>
  <c r="O110" i="27"/>
  <c r="M110" i="27"/>
  <c r="K110" i="27"/>
  <c r="X109" i="27"/>
  <c r="W109" i="27"/>
  <c r="V109" i="27"/>
  <c r="U109" i="27"/>
  <c r="T109" i="27"/>
  <c r="S109" i="27"/>
  <c r="Q109" i="27"/>
  <c r="O109" i="27"/>
  <c r="M109" i="27"/>
  <c r="K109" i="27"/>
  <c r="X108" i="27"/>
  <c r="W108" i="27"/>
  <c r="V108" i="27"/>
  <c r="U108" i="27"/>
  <c r="T108" i="27"/>
  <c r="S108" i="27"/>
  <c r="Q108" i="27"/>
  <c r="O108" i="27"/>
  <c r="M108" i="27"/>
  <c r="K108" i="27"/>
  <c r="X107" i="27"/>
  <c r="W107" i="27"/>
  <c r="V107" i="27"/>
  <c r="U107" i="27"/>
  <c r="T107" i="27"/>
  <c r="S107" i="27"/>
  <c r="Q107" i="27"/>
  <c r="O107" i="27"/>
  <c r="M107" i="27"/>
  <c r="K107" i="27"/>
  <c r="X106" i="27"/>
  <c r="W106" i="27"/>
  <c r="V106" i="27"/>
  <c r="U106" i="27"/>
  <c r="T106" i="27"/>
  <c r="S106" i="27"/>
  <c r="Q106" i="27"/>
  <c r="O106" i="27"/>
  <c r="M106" i="27"/>
  <c r="K106" i="27"/>
  <c r="X105" i="27"/>
  <c r="W105" i="27"/>
  <c r="V105" i="27"/>
  <c r="U105" i="27"/>
  <c r="T105" i="27"/>
  <c r="S105" i="27"/>
  <c r="Q105" i="27"/>
  <c r="O105" i="27"/>
  <c r="M105" i="27"/>
  <c r="K105" i="27"/>
  <c r="X104" i="27"/>
  <c r="W104" i="27"/>
  <c r="V104" i="27"/>
  <c r="U104" i="27"/>
  <c r="T104" i="27"/>
  <c r="S104" i="27"/>
  <c r="Q104" i="27"/>
  <c r="O104" i="27"/>
  <c r="M104" i="27"/>
  <c r="K104" i="27"/>
  <c r="X103" i="27"/>
  <c r="W103" i="27"/>
  <c r="V103" i="27"/>
  <c r="U103" i="27"/>
  <c r="T103" i="27"/>
  <c r="S103" i="27"/>
  <c r="Q103" i="27"/>
  <c r="O103" i="27"/>
  <c r="M103" i="27"/>
  <c r="K103" i="27"/>
  <c r="X102" i="27"/>
  <c r="W102" i="27"/>
  <c r="V102" i="27"/>
  <c r="U102" i="27"/>
  <c r="T102" i="27"/>
  <c r="S102" i="27"/>
  <c r="Q102" i="27"/>
  <c r="O102" i="27"/>
  <c r="M102" i="27"/>
  <c r="K102" i="27"/>
  <c r="X101" i="27"/>
  <c r="W101" i="27"/>
  <c r="V101" i="27"/>
  <c r="U101" i="27"/>
  <c r="T101" i="27"/>
  <c r="S101" i="27"/>
  <c r="Q101" i="27"/>
  <c r="O101" i="27"/>
  <c r="M101" i="27"/>
  <c r="K101" i="27"/>
  <c r="X100" i="27"/>
  <c r="W100" i="27"/>
  <c r="V100" i="27"/>
  <c r="U100" i="27"/>
  <c r="T100" i="27"/>
  <c r="S100" i="27"/>
  <c r="Q100" i="27"/>
  <c r="O100" i="27"/>
  <c r="M100" i="27"/>
  <c r="K100" i="27"/>
  <c r="X99" i="27"/>
  <c r="W99" i="27"/>
  <c r="V99" i="27"/>
  <c r="U99" i="27"/>
  <c r="T99" i="27"/>
  <c r="S99" i="27"/>
  <c r="Q99" i="27"/>
  <c r="O99" i="27"/>
  <c r="M99" i="27"/>
  <c r="K99" i="27"/>
  <c r="X98" i="27"/>
  <c r="W98" i="27"/>
  <c r="V98" i="27"/>
  <c r="U98" i="27"/>
  <c r="T98" i="27"/>
  <c r="S98" i="27"/>
  <c r="Q98" i="27"/>
  <c r="O98" i="27"/>
  <c r="M98" i="27"/>
  <c r="K98" i="27"/>
  <c r="X97" i="27"/>
  <c r="W97" i="27"/>
  <c r="V97" i="27"/>
  <c r="U97" i="27"/>
  <c r="T97" i="27"/>
  <c r="S97" i="27"/>
  <c r="Q97" i="27"/>
  <c r="O97" i="27"/>
  <c r="M97" i="27"/>
  <c r="K97" i="27"/>
  <c r="X96" i="27"/>
  <c r="W96" i="27"/>
  <c r="V96" i="27"/>
  <c r="U96" i="27"/>
  <c r="T96" i="27"/>
  <c r="S96" i="27"/>
  <c r="Q96" i="27"/>
  <c r="O96" i="27"/>
  <c r="M96" i="27"/>
  <c r="K96" i="27"/>
  <c r="X95" i="27"/>
  <c r="W95" i="27"/>
  <c r="V95" i="27"/>
  <c r="U95" i="27"/>
  <c r="T95" i="27"/>
  <c r="S95" i="27"/>
  <c r="Q95" i="27"/>
  <c r="O95" i="27"/>
  <c r="M95" i="27"/>
  <c r="K95" i="27"/>
  <c r="X94" i="27"/>
  <c r="W94" i="27"/>
  <c r="V94" i="27"/>
  <c r="U94" i="27"/>
  <c r="T94" i="27"/>
  <c r="S94" i="27"/>
  <c r="Q94" i="27"/>
  <c r="O94" i="27"/>
  <c r="M94" i="27"/>
  <c r="K94" i="27"/>
  <c r="X93" i="27"/>
  <c r="W93" i="27"/>
  <c r="V93" i="27"/>
  <c r="U93" i="27"/>
  <c r="T93" i="27"/>
  <c r="S93" i="27"/>
  <c r="Q93" i="27"/>
  <c r="O93" i="27"/>
  <c r="M93" i="27"/>
  <c r="K93" i="27"/>
  <c r="X92" i="27"/>
  <c r="W92" i="27"/>
  <c r="V92" i="27"/>
  <c r="U92" i="27"/>
  <c r="T92" i="27"/>
  <c r="S92" i="27"/>
  <c r="Q92" i="27"/>
  <c r="O92" i="27"/>
  <c r="M92" i="27"/>
  <c r="K92" i="27"/>
  <c r="X91" i="27"/>
  <c r="W91" i="27"/>
  <c r="V91" i="27"/>
  <c r="U91" i="27"/>
  <c r="T91" i="27"/>
  <c r="S91" i="27"/>
  <c r="Q91" i="27"/>
  <c r="O91" i="27"/>
  <c r="M91" i="27"/>
  <c r="K91" i="27"/>
  <c r="X90" i="27"/>
  <c r="W90" i="27"/>
  <c r="V90" i="27"/>
  <c r="U90" i="27"/>
  <c r="T90" i="27"/>
  <c r="S90" i="27"/>
  <c r="Q90" i="27"/>
  <c r="O90" i="27"/>
  <c r="M90" i="27"/>
  <c r="K90" i="27"/>
  <c r="X89" i="27"/>
  <c r="W89" i="27"/>
  <c r="V89" i="27"/>
  <c r="U89" i="27"/>
  <c r="T89" i="27"/>
  <c r="S89" i="27"/>
  <c r="Q89" i="27"/>
  <c r="O89" i="27"/>
  <c r="M89" i="27"/>
  <c r="K89" i="27"/>
  <c r="X88" i="27"/>
  <c r="W88" i="27"/>
  <c r="V88" i="27"/>
  <c r="U88" i="27"/>
  <c r="T88" i="27"/>
  <c r="S88" i="27"/>
  <c r="Q88" i="27"/>
  <c r="O88" i="27"/>
  <c r="M88" i="27"/>
  <c r="K88" i="27"/>
  <c r="X87" i="27"/>
  <c r="W87" i="27"/>
  <c r="V87" i="27"/>
  <c r="U87" i="27"/>
  <c r="T87" i="27"/>
  <c r="S87" i="27"/>
  <c r="Q87" i="27"/>
  <c r="O87" i="27"/>
  <c r="M87" i="27"/>
  <c r="K87" i="27"/>
  <c r="X86" i="27"/>
  <c r="W86" i="27"/>
  <c r="V86" i="27"/>
  <c r="U86" i="27"/>
  <c r="T86" i="27"/>
  <c r="S86" i="27"/>
  <c r="Q86" i="27"/>
  <c r="O86" i="27"/>
  <c r="M86" i="27"/>
  <c r="K86" i="27"/>
  <c r="X85" i="27"/>
  <c r="W85" i="27"/>
  <c r="V85" i="27"/>
  <c r="U85" i="27"/>
  <c r="T85" i="27"/>
  <c r="S85" i="27"/>
  <c r="Q85" i="27"/>
  <c r="O85" i="27"/>
  <c r="M85" i="27"/>
  <c r="K85" i="27"/>
  <c r="X84" i="27"/>
  <c r="W84" i="27"/>
  <c r="V84" i="27"/>
  <c r="U84" i="27"/>
  <c r="T84" i="27"/>
  <c r="S84" i="27"/>
  <c r="Q84" i="27"/>
  <c r="O84" i="27"/>
  <c r="M84" i="27"/>
  <c r="K84" i="27"/>
  <c r="X83" i="27"/>
  <c r="W83" i="27"/>
  <c r="V83" i="27"/>
  <c r="U83" i="27"/>
  <c r="T83" i="27"/>
  <c r="S83" i="27"/>
  <c r="Q83" i="27"/>
  <c r="O83" i="27"/>
  <c r="M83" i="27"/>
  <c r="K83" i="27"/>
  <c r="X82" i="27"/>
  <c r="W82" i="27"/>
  <c r="V82" i="27"/>
  <c r="U82" i="27"/>
  <c r="T82" i="27"/>
  <c r="S82" i="27"/>
  <c r="Q82" i="27"/>
  <c r="O82" i="27"/>
  <c r="M82" i="27"/>
  <c r="K82" i="27"/>
  <c r="X81" i="27"/>
  <c r="W81" i="27"/>
  <c r="V81" i="27"/>
  <c r="U81" i="27"/>
  <c r="T81" i="27"/>
  <c r="S81" i="27"/>
  <c r="Q81" i="27"/>
  <c r="O81" i="27"/>
  <c r="M81" i="27"/>
  <c r="K81" i="27"/>
  <c r="X80" i="27"/>
  <c r="W80" i="27"/>
  <c r="V80" i="27"/>
  <c r="U80" i="27"/>
  <c r="T80" i="27"/>
  <c r="S80" i="27"/>
  <c r="Q80" i="27"/>
  <c r="O80" i="27"/>
  <c r="M80" i="27"/>
  <c r="K80" i="27"/>
  <c r="X79" i="27"/>
  <c r="W79" i="27"/>
  <c r="V79" i="27"/>
  <c r="U79" i="27"/>
  <c r="T79" i="27"/>
  <c r="S79" i="27"/>
  <c r="Q79" i="27"/>
  <c r="O79" i="27"/>
  <c r="M79" i="27"/>
  <c r="K79" i="27"/>
  <c r="X78" i="27"/>
  <c r="W78" i="27"/>
  <c r="V78" i="27"/>
  <c r="U78" i="27"/>
  <c r="T78" i="27"/>
  <c r="S78" i="27"/>
  <c r="Q78" i="27"/>
  <c r="O78" i="27"/>
  <c r="M78" i="27"/>
  <c r="K78" i="27"/>
  <c r="X77" i="27"/>
  <c r="W77" i="27"/>
  <c r="V77" i="27"/>
  <c r="U77" i="27"/>
  <c r="T77" i="27"/>
  <c r="S77" i="27"/>
  <c r="Q77" i="27"/>
  <c r="O77" i="27"/>
  <c r="M77" i="27"/>
  <c r="K77" i="27"/>
  <c r="X76" i="27"/>
  <c r="W76" i="27"/>
  <c r="V76" i="27"/>
  <c r="U76" i="27"/>
  <c r="T76" i="27"/>
  <c r="S76" i="27"/>
  <c r="Q76" i="27"/>
  <c r="O76" i="27"/>
  <c r="M76" i="27"/>
  <c r="K76" i="27"/>
  <c r="X75" i="27"/>
  <c r="W75" i="27"/>
  <c r="V75" i="27"/>
  <c r="U75" i="27"/>
  <c r="T75" i="27"/>
  <c r="S75" i="27"/>
  <c r="Q75" i="27"/>
  <c r="O75" i="27"/>
  <c r="M75" i="27"/>
  <c r="K75" i="27"/>
  <c r="X74" i="27"/>
  <c r="W74" i="27"/>
  <c r="V74" i="27"/>
  <c r="U74" i="27"/>
  <c r="T74" i="27"/>
  <c r="S74" i="27"/>
  <c r="Q74" i="27"/>
  <c r="O74" i="27"/>
  <c r="M74" i="27"/>
  <c r="K74" i="27"/>
  <c r="X73" i="27"/>
  <c r="W73" i="27"/>
  <c r="V73" i="27"/>
  <c r="U73" i="27"/>
  <c r="T73" i="27"/>
  <c r="S73" i="27"/>
  <c r="Q73" i="27"/>
  <c r="O73" i="27"/>
  <c r="M73" i="27"/>
  <c r="K73" i="27"/>
  <c r="X72" i="27"/>
  <c r="W72" i="27"/>
  <c r="V72" i="27"/>
  <c r="U72" i="27"/>
  <c r="T72" i="27"/>
  <c r="S72" i="27"/>
  <c r="Q72" i="27"/>
  <c r="O72" i="27"/>
  <c r="M72" i="27"/>
  <c r="K72" i="27"/>
  <c r="X71" i="27"/>
  <c r="W71" i="27"/>
  <c r="V71" i="27"/>
  <c r="U71" i="27"/>
  <c r="T71" i="27"/>
  <c r="S71" i="27"/>
  <c r="Q71" i="27"/>
  <c r="O71" i="27"/>
  <c r="M71" i="27"/>
  <c r="K71" i="27"/>
  <c r="X70" i="27"/>
  <c r="W70" i="27"/>
  <c r="V70" i="27"/>
  <c r="U70" i="27"/>
  <c r="T70" i="27"/>
  <c r="S70" i="27"/>
  <c r="Q70" i="27"/>
  <c r="O70" i="27"/>
  <c r="M70" i="27"/>
  <c r="K70" i="27"/>
  <c r="X69" i="27"/>
  <c r="W69" i="27"/>
  <c r="V69" i="27"/>
  <c r="U69" i="27"/>
  <c r="T69" i="27"/>
  <c r="S69" i="27"/>
  <c r="Q69" i="27"/>
  <c r="O69" i="27"/>
  <c r="M69" i="27"/>
  <c r="K69" i="27"/>
  <c r="X68" i="27"/>
  <c r="W68" i="27"/>
  <c r="V68" i="27"/>
  <c r="U68" i="27"/>
  <c r="T68" i="27"/>
  <c r="S68" i="27"/>
  <c r="Q68" i="27"/>
  <c r="O68" i="27"/>
  <c r="M68" i="27"/>
  <c r="K68" i="27"/>
  <c r="X67" i="27"/>
  <c r="W67" i="27"/>
  <c r="V67" i="27"/>
  <c r="U67" i="27"/>
  <c r="T67" i="27"/>
  <c r="S67" i="27"/>
  <c r="Q67" i="27"/>
  <c r="O67" i="27"/>
  <c r="M67" i="27"/>
  <c r="K67" i="27"/>
  <c r="X66" i="27"/>
  <c r="W66" i="27"/>
  <c r="V66" i="27"/>
  <c r="U66" i="27"/>
  <c r="T66" i="27"/>
  <c r="S66" i="27"/>
  <c r="Q66" i="27"/>
  <c r="O66" i="27"/>
  <c r="M66" i="27"/>
  <c r="K66" i="27"/>
  <c r="X65" i="27"/>
  <c r="W65" i="27"/>
  <c r="V65" i="27"/>
  <c r="U65" i="27"/>
  <c r="T65" i="27"/>
  <c r="S65" i="27"/>
  <c r="Q65" i="27"/>
  <c r="O65" i="27"/>
  <c r="M65" i="27"/>
  <c r="K65" i="27"/>
  <c r="X64" i="27"/>
  <c r="W64" i="27"/>
  <c r="V64" i="27"/>
  <c r="U64" i="27"/>
  <c r="T64" i="27"/>
  <c r="S64" i="27"/>
  <c r="Q64" i="27"/>
  <c r="O64" i="27"/>
  <c r="M64" i="27"/>
  <c r="K64" i="27"/>
  <c r="X63" i="27"/>
  <c r="W63" i="27"/>
  <c r="V63" i="27"/>
  <c r="U63" i="27"/>
  <c r="T63" i="27"/>
  <c r="S63" i="27"/>
  <c r="Q63" i="27"/>
  <c r="O63" i="27"/>
  <c r="M63" i="27"/>
  <c r="K63" i="27"/>
  <c r="X62" i="27"/>
  <c r="W62" i="27"/>
  <c r="V62" i="27"/>
  <c r="U62" i="27"/>
  <c r="T62" i="27"/>
  <c r="S62" i="27"/>
  <c r="Q62" i="27"/>
  <c r="O62" i="27"/>
  <c r="M62" i="27"/>
  <c r="K62" i="27"/>
  <c r="X61" i="27"/>
  <c r="W61" i="27"/>
  <c r="V61" i="27"/>
  <c r="U61" i="27"/>
  <c r="T61" i="27"/>
  <c r="S61" i="27"/>
  <c r="Q61" i="27"/>
  <c r="O61" i="27"/>
  <c r="M61" i="27"/>
  <c r="K61" i="27"/>
  <c r="X60" i="27"/>
  <c r="W60" i="27"/>
  <c r="V60" i="27"/>
  <c r="U60" i="27"/>
  <c r="T60" i="27"/>
  <c r="S60" i="27"/>
  <c r="Q60" i="27"/>
  <c r="O60" i="27"/>
  <c r="M60" i="27"/>
  <c r="K60" i="27"/>
  <c r="X59" i="27"/>
  <c r="W59" i="27"/>
  <c r="V59" i="27"/>
  <c r="U59" i="27"/>
  <c r="T59" i="27"/>
  <c r="S59" i="27"/>
  <c r="Q59" i="27"/>
  <c r="O59" i="27"/>
  <c r="M59" i="27"/>
  <c r="K59" i="27"/>
  <c r="X58" i="27"/>
  <c r="W58" i="27"/>
  <c r="V58" i="27"/>
  <c r="U58" i="27"/>
  <c r="T58" i="27"/>
  <c r="S58" i="27"/>
  <c r="Q58" i="27"/>
  <c r="O58" i="27"/>
  <c r="M58" i="27"/>
  <c r="K58" i="27"/>
  <c r="X57" i="27"/>
  <c r="W57" i="27"/>
  <c r="V57" i="27"/>
  <c r="U57" i="27"/>
  <c r="T57" i="27"/>
  <c r="S57" i="27"/>
  <c r="Q57" i="27"/>
  <c r="O57" i="27"/>
  <c r="M57" i="27"/>
  <c r="K57" i="27"/>
  <c r="X56" i="27"/>
  <c r="W56" i="27"/>
  <c r="V56" i="27"/>
  <c r="U56" i="27"/>
  <c r="T56" i="27"/>
  <c r="S56" i="27"/>
  <c r="Q56" i="27"/>
  <c r="O56" i="27"/>
  <c r="M56" i="27"/>
  <c r="K56" i="27"/>
  <c r="X55" i="27"/>
  <c r="W55" i="27"/>
  <c r="V55" i="27"/>
  <c r="U55" i="27"/>
  <c r="T55" i="27"/>
  <c r="S55" i="27"/>
  <c r="Q55" i="27"/>
  <c r="O55" i="27"/>
  <c r="M55" i="27"/>
  <c r="K55" i="27"/>
  <c r="X54" i="27"/>
  <c r="W54" i="27"/>
  <c r="V54" i="27"/>
  <c r="U54" i="27"/>
  <c r="T54" i="27"/>
  <c r="S54" i="27"/>
  <c r="Q54" i="27"/>
  <c r="O54" i="27"/>
  <c r="M54" i="27"/>
  <c r="K54" i="27"/>
  <c r="X53" i="27"/>
  <c r="W53" i="27"/>
  <c r="V53" i="27"/>
  <c r="U53" i="27"/>
  <c r="T53" i="27"/>
  <c r="S53" i="27"/>
  <c r="Q53" i="27"/>
  <c r="O53" i="27"/>
  <c r="M53" i="27"/>
  <c r="K53" i="27"/>
  <c r="X52" i="27"/>
  <c r="W52" i="27"/>
  <c r="V52" i="27"/>
  <c r="U52" i="27"/>
  <c r="T52" i="27"/>
  <c r="S52" i="27"/>
  <c r="Q52" i="27"/>
  <c r="O52" i="27"/>
  <c r="M52" i="27"/>
  <c r="K52" i="27"/>
  <c r="X51" i="27"/>
  <c r="W51" i="27"/>
  <c r="V51" i="27"/>
  <c r="U51" i="27"/>
  <c r="T51" i="27"/>
  <c r="S51" i="27"/>
  <c r="Q51" i="27"/>
  <c r="O51" i="27"/>
  <c r="M51" i="27"/>
  <c r="K51" i="27"/>
  <c r="X50" i="27"/>
  <c r="W50" i="27"/>
  <c r="V50" i="27"/>
  <c r="U50" i="27"/>
  <c r="T50" i="27"/>
  <c r="S50" i="27"/>
  <c r="Q50" i="27"/>
  <c r="O50" i="27"/>
  <c r="M50" i="27"/>
  <c r="K50" i="27"/>
  <c r="X49" i="27"/>
  <c r="W49" i="27"/>
  <c r="V49" i="27"/>
  <c r="U49" i="27"/>
  <c r="T49" i="27"/>
  <c r="S49" i="27"/>
  <c r="Q49" i="27"/>
  <c r="O49" i="27"/>
  <c r="M49" i="27"/>
  <c r="K49" i="27"/>
  <c r="X48" i="27"/>
  <c r="W48" i="27"/>
  <c r="V48" i="27"/>
  <c r="U48" i="27"/>
  <c r="T48" i="27"/>
  <c r="S48" i="27"/>
  <c r="Q48" i="27"/>
  <c r="O48" i="27"/>
  <c r="M48" i="27"/>
  <c r="K48" i="27"/>
  <c r="X47" i="27"/>
  <c r="W47" i="27"/>
  <c r="V47" i="27"/>
  <c r="U47" i="27"/>
  <c r="T47" i="27"/>
  <c r="S47" i="27"/>
  <c r="Q47" i="27"/>
  <c r="O47" i="27"/>
  <c r="M47" i="27"/>
  <c r="K47" i="27"/>
  <c r="X46" i="27"/>
  <c r="W46" i="27"/>
  <c r="V46" i="27"/>
  <c r="U46" i="27"/>
  <c r="T46" i="27"/>
  <c r="S46" i="27"/>
  <c r="Q46" i="27"/>
  <c r="O46" i="27"/>
  <c r="M46" i="27"/>
  <c r="K46" i="27"/>
  <c r="X45" i="27"/>
  <c r="W45" i="27"/>
  <c r="V45" i="27"/>
  <c r="U45" i="27"/>
  <c r="T45" i="27"/>
  <c r="S45" i="27"/>
  <c r="Q45" i="27"/>
  <c r="O45" i="27"/>
  <c r="M45" i="27"/>
  <c r="K45" i="27"/>
  <c r="X44" i="27"/>
  <c r="W44" i="27"/>
  <c r="V44" i="27"/>
  <c r="U44" i="27"/>
  <c r="T44" i="27"/>
  <c r="S44" i="27"/>
  <c r="Q44" i="27"/>
  <c r="O44" i="27"/>
  <c r="M44" i="27"/>
  <c r="K44" i="27"/>
  <c r="X43" i="27"/>
  <c r="W43" i="27"/>
  <c r="V43" i="27"/>
  <c r="U43" i="27"/>
  <c r="T43" i="27"/>
  <c r="S43" i="27"/>
  <c r="Q43" i="27"/>
  <c r="O43" i="27"/>
  <c r="M43" i="27"/>
  <c r="K43" i="27"/>
  <c r="X42" i="27"/>
  <c r="W42" i="27"/>
  <c r="V42" i="27"/>
  <c r="U42" i="27"/>
  <c r="T42" i="27"/>
  <c r="S42" i="27"/>
  <c r="Q42" i="27"/>
  <c r="O42" i="27"/>
  <c r="M42" i="27"/>
  <c r="K42" i="27"/>
  <c r="X41" i="27"/>
  <c r="W41" i="27"/>
  <c r="V41" i="27"/>
  <c r="U41" i="27"/>
  <c r="T41" i="27"/>
  <c r="S41" i="27"/>
  <c r="Q41" i="27"/>
  <c r="O41" i="27"/>
  <c r="M41" i="27"/>
  <c r="K41" i="27"/>
  <c r="X40" i="27"/>
  <c r="W40" i="27"/>
  <c r="V40" i="27"/>
  <c r="U40" i="27"/>
  <c r="T40" i="27"/>
  <c r="S40" i="27"/>
  <c r="Q40" i="27"/>
  <c r="O40" i="27"/>
  <c r="M40" i="27"/>
  <c r="K40" i="27"/>
  <c r="X39" i="27"/>
  <c r="W39" i="27"/>
  <c r="V39" i="27"/>
  <c r="U39" i="27"/>
  <c r="T39" i="27"/>
  <c r="S39" i="27"/>
  <c r="Q39" i="27"/>
  <c r="O39" i="27"/>
  <c r="M39" i="27"/>
  <c r="K39" i="27"/>
  <c r="X38" i="27"/>
  <c r="W38" i="27"/>
  <c r="V38" i="27"/>
  <c r="U38" i="27"/>
  <c r="T38" i="27"/>
  <c r="S38" i="27"/>
  <c r="Q38" i="27"/>
  <c r="O38" i="27"/>
  <c r="M38" i="27"/>
  <c r="K38" i="27"/>
  <c r="X37" i="27"/>
  <c r="W37" i="27"/>
  <c r="V37" i="27"/>
  <c r="U37" i="27"/>
  <c r="T37" i="27"/>
  <c r="S37" i="27"/>
  <c r="Q37" i="27"/>
  <c r="O37" i="27"/>
  <c r="M37" i="27"/>
  <c r="K37" i="27"/>
  <c r="X36" i="27"/>
  <c r="W36" i="27"/>
  <c r="V36" i="27"/>
  <c r="U36" i="27"/>
  <c r="T36" i="27"/>
  <c r="S36" i="27"/>
  <c r="Q36" i="27"/>
  <c r="O36" i="27"/>
  <c r="M36" i="27"/>
  <c r="K36" i="27"/>
  <c r="X35" i="27"/>
  <c r="W35" i="27"/>
  <c r="V35" i="27"/>
  <c r="U35" i="27"/>
  <c r="T35" i="27"/>
  <c r="S35" i="27"/>
  <c r="Q35" i="27"/>
  <c r="O35" i="27"/>
  <c r="M35" i="27"/>
  <c r="K35" i="27"/>
  <c r="X34" i="27"/>
  <c r="W34" i="27"/>
  <c r="V34" i="27"/>
  <c r="U34" i="27"/>
  <c r="T34" i="27"/>
  <c r="S34" i="27"/>
  <c r="Q34" i="27"/>
  <c r="O34" i="27"/>
  <c r="M34" i="27"/>
  <c r="K34" i="27"/>
  <c r="X33" i="27"/>
  <c r="W33" i="27"/>
  <c r="V33" i="27"/>
  <c r="U33" i="27"/>
  <c r="T33" i="27"/>
  <c r="S33" i="27"/>
  <c r="Q33" i="27"/>
  <c r="O33" i="27"/>
  <c r="M33" i="27"/>
  <c r="K33" i="27"/>
  <c r="X32" i="27"/>
  <c r="W32" i="27"/>
  <c r="V32" i="27"/>
  <c r="U32" i="27"/>
  <c r="T32" i="27"/>
  <c r="S32" i="27"/>
  <c r="Q32" i="27"/>
  <c r="O32" i="27"/>
  <c r="M32" i="27"/>
  <c r="K32" i="27"/>
  <c r="X31" i="27"/>
  <c r="W31" i="27"/>
  <c r="V31" i="27"/>
  <c r="U31" i="27"/>
  <c r="T31" i="27"/>
  <c r="S31" i="27"/>
  <c r="Q31" i="27"/>
  <c r="O31" i="27"/>
  <c r="M31" i="27"/>
  <c r="K31" i="27"/>
  <c r="X30" i="27"/>
  <c r="W30" i="27"/>
  <c r="V30" i="27"/>
  <c r="U30" i="27"/>
  <c r="T30" i="27"/>
  <c r="S30" i="27"/>
  <c r="Q30" i="27"/>
  <c r="O30" i="27"/>
  <c r="M30" i="27"/>
  <c r="K30" i="27"/>
  <c r="X29" i="27"/>
  <c r="W29" i="27"/>
  <c r="V29" i="27"/>
  <c r="U29" i="27"/>
  <c r="T29" i="27"/>
  <c r="S29" i="27"/>
  <c r="Q29" i="27"/>
  <c r="O29" i="27"/>
  <c r="M29" i="27"/>
  <c r="K29" i="27"/>
  <c r="X28" i="27"/>
  <c r="W28" i="27"/>
  <c r="V28" i="27"/>
  <c r="U28" i="27"/>
  <c r="T28" i="27"/>
  <c r="S28" i="27"/>
  <c r="Q28" i="27"/>
  <c r="O28" i="27"/>
  <c r="M28" i="27"/>
  <c r="K28" i="27"/>
  <c r="X27" i="27"/>
  <c r="W27" i="27"/>
  <c r="V27" i="27"/>
  <c r="U27" i="27"/>
  <c r="T27" i="27"/>
  <c r="S27" i="27"/>
  <c r="Q27" i="27"/>
  <c r="O27" i="27"/>
  <c r="M27" i="27"/>
  <c r="K27" i="27"/>
  <c r="X26" i="27"/>
  <c r="W26" i="27"/>
  <c r="V26" i="27"/>
  <c r="U26" i="27"/>
  <c r="T26" i="27"/>
  <c r="S26" i="27"/>
  <c r="Q26" i="27"/>
  <c r="O26" i="27"/>
  <c r="M26" i="27"/>
  <c r="K26" i="27"/>
  <c r="X25" i="27"/>
  <c r="W25" i="27"/>
  <c r="V25" i="27"/>
  <c r="U25" i="27"/>
  <c r="T25" i="27"/>
  <c r="S25" i="27"/>
  <c r="Q25" i="27"/>
  <c r="O25" i="27"/>
  <c r="M25" i="27"/>
  <c r="K25" i="27"/>
  <c r="X24" i="27"/>
  <c r="W24" i="27"/>
  <c r="V24" i="27"/>
  <c r="U24" i="27"/>
  <c r="T24" i="27"/>
  <c r="S24" i="27"/>
  <c r="Q24" i="27"/>
  <c r="O24" i="27"/>
  <c r="M24" i="27"/>
  <c r="K24" i="27"/>
  <c r="X23" i="27"/>
  <c r="W23" i="27"/>
  <c r="V23" i="27"/>
  <c r="U23" i="27"/>
  <c r="T23" i="27"/>
  <c r="S23" i="27"/>
  <c r="Q23" i="27"/>
  <c r="O23" i="27"/>
  <c r="M23" i="27"/>
  <c r="K23" i="27"/>
  <c r="X22" i="27"/>
  <c r="W22" i="27"/>
  <c r="V22" i="27"/>
  <c r="U22" i="27"/>
  <c r="T22" i="27"/>
  <c r="S22" i="27"/>
  <c r="Q22" i="27"/>
  <c r="O22" i="27"/>
  <c r="M22" i="27"/>
  <c r="K22" i="27"/>
  <c r="X21" i="27"/>
  <c r="W21" i="27"/>
  <c r="V21" i="27"/>
  <c r="U21" i="27"/>
  <c r="T21" i="27"/>
  <c r="S21" i="27"/>
  <c r="Q21" i="27"/>
  <c r="O21" i="27"/>
  <c r="M21" i="27"/>
  <c r="K21" i="27"/>
  <c r="X20" i="27"/>
  <c r="W20" i="27"/>
  <c r="V20" i="27"/>
  <c r="U20" i="27"/>
  <c r="T20" i="27"/>
  <c r="S20" i="27"/>
  <c r="Q20" i="27"/>
  <c r="O20" i="27"/>
  <c r="M20" i="27"/>
  <c r="K20" i="27"/>
  <c r="X19" i="27"/>
  <c r="W19" i="27"/>
  <c r="V19" i="27"/>
  <c r="U19" i="27"/>
  <c r="T19" i="27"/>
  <c r="S19" i="27"/>
  <c r="Q19" i="27"/>
  <c r="O19" i="27"/>
  <c r="M19" i="27"/>
  <c r="K19" i="27"/>
  <c r="X18" i="27"/>
  <c r="W18" i="27"/>
  <c r="V18" i="27"/>
  <c r="U18" i="27"/>
  <c r="T18" i="27"/>
  <c r="S18" i="27"/>
  <c r="Q18" i="27"/>
  <c r="O18" i="27"/>
  <c r="M18" i="27"/>
  <c r="K18" i="27"/>
  <c r="X17" i="27"/>
  <c r="W17" i="27"/>
  <c r="V17" i="27"/>
  <c r="U17" i="27"/>
  <c r="T17" i="27"/>
  <c r="S17" i="27"/>
  <c r="Q17" i="27"/>
  <c r="O17" i="27"/>
  <c r="M17" i="27"/>
  <c r="K17" i="27"/>
  <c r="X16" i="27"/>
  <c r="W16" i="27"/>
  <c r="V16" i="27"/>
  <c r="U16" i="27"/>
  <c r="T16" i="27"/>
  <c r="S16" i="27"/>
  <c r="Q16" i="27"/>
  <c r="O16" i="27"/>
  <c r="M16" i="27"/>
  <c r="K16" i="27"/>
  <c r="X15" i="27"/>
  <c r="W15" i="27"/>
  <c r="V15" i="27"/>
  <c r="U15" i="27"/>
  <c r="T15" i="27"/>
  <c r="S15" i="27"/>
  <c r="Q15" i="27"/>
  <c r="O15" i="27"/>
  <c r="M15" i="27"/>
  <c r="K15" i="27"/>
  <c r="X14" i="27"/>
  <c r="W14" i="27"/>
  <c r="V14" i="27"/>
  <c r="U14" i="27"/>
  <c r="T14" i="27"/>
  <c r="S14" i="27"/>
  <c r="Q14" i="27"/>
  <c r="O14" i="27"/>
  <c r="M14" i="27"/>
  <c r="K14" i="27"/>
  <c r="X13" i="27"/>
  <c r="W13" i="27"/>
  <c r="V13" i="27"/>
  <c r="U13" i="27"/>
  <c r="T13" i="27"/>
  <c r="S13" i="27"/>
  <c r="Q13" i="27"/>
  <c r="O13" i="27"/>
  <c r="M13" i="27"/>
  <c r="K13" i="27"/>
  <c r="X12" i="27"/>
  <c r="W12" i="27"/>
  <c r="V12" i="27"/>
  <c r="U12" i="27"/>
  <c r="T12" i="27"/>
  <c r="S12" i="27"/>
  <c r="Q12" i="27"/>
  <c r="O12" i="27"/>
  <c r="M12" i="27"/>
  <c r="K12" i="27"/>
  <c r="X11" i="27"/>
  <c r="W11" i="27"/>
  <c r="V11" i="27"/>
  <c r="U11" i="27"/>
  <c r="T11" i="27"/>
  <c r="S11" i="27"/>
  <c r="Q11" i="27"/>
  <c r="O11" i="27"/>
  <c r="M11" i="27"/>
  <c r="K11" i="27"/>
  <c r="X10" i="27"/>
  <c r="W10" i="27"/>
  <c r="V10" i="27"/>
  <c r="U10" i="27"/>
  <c r="T10" i="27"/>
  <c r="S10" i="27"/>
  <c r="Q10" i="27"/>
  <c r="O10" i="27"/>
  <c r="M10" i="27"/>
  <c r="K10" i="27"/>
  <c r="X9" i="27"/>
  <c r="W9" i="27"/>
  <c r="V9" i="27"/>
  <c r="U9" i="27"/>
  <c r="T9" i="27"/>
  <c r="S9" i="27"/>
  <c r="Q9" i="27"/>
  <c r="O9" i="27"/>
  <c r="M9" i="27"/>
  <c r="K9" i="27"/>
  <c r="X8" i="27"/>
  <c r="W8" i="27"/>
  <c r="V8" i="27"/>
  <c r="U8" i="27"/>
  <c r="T8" i="27"/>
  <c r="S8" i="27"/>
  <c r="Q8" i="27"/>
  <c r="O8" i="27"/>
  <c r="M8" i="27"/>
  <c r="K8" i="27"/>
  <c r="X7" i="27"/>
  <c r="W7" i="27"/>
  <c r="V7" i="27"/>
  <c r="U7" i="27"/>
  <c r="T7" i="27"/>
  <c r="S7" i="27"/>
  <c r="Q7" i="27"/>
  <c r="O7" i="27"/>
  <c r="M7" i="27"/>
  <c r="K7" i="27"/>
  <c r="X318" i="26"/>
  <c r="W318" i="26"/>
  <c r="V318" i="26"/>
  <c r="U318" i="26"/>
  <c r="T318" i="26"/>
  <c r="S318" i="26"/>
  <c r="Q318" i="26"/>
  <c r="O318" i="26"/>
  <c r="M318" i="26"/>
  <c r="K318" i="26"/>
  <c r="X317" i="26"/>
  <c r="W317" i="26"/>
  <c r="V317" i="26"/>
  <c r="U317" i="26"/>
  <c r="T317" i="26"/>
  <c r="S317" i="26"/>
  <c r="Q317" i="26"/>
  <c r="O317" i="26"/>
  <c r="M317" i="26"/>
  <c r="K317" i="26"/>
  <c r="X316" i="26"/>
  <c r="W316" i="26"/>
  <c r="V316" i="26"/>
  <c r="U316" i="26"/>
  <c r="T316" i="26"/>
  <c r="S316" i="26"/>
  <c r="Q316" i="26"/>
  <c r="O316" i="26"/>
  <c r="M316" i="26"/>
  <c r="K316" i="26"/>
  <c r="X315" i="26"/>
  <c r="W315" i="26"/>
  <c r="V315" i="26"/>
  <c r="U315" i="26"/>
  <c r="T315" i="26"/>
  <c r="S315" i="26"/>
  <c r="Q315" i="26"/>
  <c r="O315" i="26"/>
  <c r="M315" i="26"/>
  <c r="K315" i="26"/>
  <c r="X314" i="26"/>
  <c r="W314" i="26"/>
  <c r="V314" i="26"/>
  <c r="U314" i="26"/>
  <c r="T314" i="26"/>
  <c r="S314" i="26"/>
  <c r="Q314" i="26"/>
  <c r="O314" i="26"/>
  <c r="M314" i="26"/>
  <c r="K314" i="26"/>
  <c r="X313" i="26"/>
  <c r="W313" i="26"/>
  <c r="V313" i="26"/>
  <c r="U313" i="26"/>
  <c r="T313" i="26"/>
  <c r="S313" i="26"/>
  <c r="Q313" i="26"/>
  <c r="O313" i="26"/>
  <c r="M313" i="26"/>
  <c r="K313" i="26"/>
  <c r="X312" i="26"/>
  <c r="W312" i="26"/>
  <c r="V312" i="26"/>
  <c r="U312" i="26"/>
  <c r="T312" i="26"/>
  <c r="S312" i="26"/>
  <c r="Q312" i="26"/>
  <c r="O312" i="26"/>
  <c r="M312" i="26"/>
  <c r="K312" i="26"/>
  <c r="X311" i="26"/>
  <c r="W311" i="26"/>
  <c r="V311" i="26"/>
  <c r="U311" i="26"/>
  <c r="T311" i="26"/>
  <c r="S311" i="26"/>
  <c r="Q311" i="26"/>
  <c r="O311" i="26"/>
  <c r="M311" i="26"/>
  <c r="K311" i="26"/>
  <c r="X310" i="26"/>
  <c r="W310" i="26"/>
  <c r="V310" i="26"/>
  <c r="U310" i="26"/>
  <c r="T310" i="26"/>
  <c r="S310" i="26"/>
  <c r="Q310" i="26"/>
  <c r="O310" i="26"/>
  <c r="M310" i="26"/>
  <c r="K310" i="26"/>
  <c r="X309" i="26"/>
  <c r="W309" i="26"/>
  <c r="V309" i="26"/>
  <c r="U309" i="26"/>
  <c r="T309" i="26"/>
  <c r="S309" i="26"/>
  <c r="Q309" i="26"/>
  <c r="O309" i="26"/>
  <c r="M309" i="26"/>
  <c r="K309" i="26"/>
  <c r="X308" i="26"/>
  <c r="W308" i="26"/>
  <c r="V308" i="26"/>
  <c r="U308" i="26"/>
  <c r="T308" i="26"/>
  <c r="S308" i="26"/>
  <c r="Q308" i="26"/>
  <c r="O308" i="26"/>
  <c r="M308" i="26"/>
  <c r="K308" i="26"/>
  <c r="X307" i="26"/>
  <c r="W307" i="26"/>
  <c r="V307" i="26"/>
  <c r="U307" i="26"/>
  <c r="T307" i="26"/>
  <c r="S307" i="26"/>
  <c r="Q307" i="26"/>
  <c r="O307" i="26"/>
  <c r="M307" i="26"/>
  <c r="K307" i="26"/>
  <c r="X306" i="26"/>
  <c r="W306" i="26"/>
  <c r="V306" i="26"/>
  <c r="U306" i="26"/>
  <c r="T306" i="26"/>
  <c r="S306" i="26"/>
  <c r="Q306" i="26"/>
  <c r="O306" i="26"/>
  <c r="M306" i="26"/>
  <c r="K306" i="26"/>
  <c r="X305" i="26"/>
  <c r="W305" i="26"/>
  <c r="V305" i="26"/>
  <c r="U305" i="26"/>
  <c r="T305" i="26"/>
  <c r="S305" i="26"/>
  <c r="Q305" i="26"/>
  <c r="O305" i="26"/>
  <c r="M305" i="26"/>
  <c r="K305" i="26"/>
  <c r="X304" i="26"/>
  <c r="W304" i="26"/>
  <c r="V304" i="26"/>
  <c r="U304" i="26"/>
  <c r="T304" i="26"/>
  <c r="S304" i="26"/>
  <c r="Q304" i="26"/>
  <c r="O304" i="26"/>
  <c r="M304" i="26"/>
  <c r="K304" i="26"/>
  <c r="X303" i="26"/>
  <c r="W303" i="26"/>
  <c r="V303" i="26"/>
  <c r="U303" i="26"/>
  <c r="T303" i="26"/>
  <c r="S303" i="26"/>
  <c r="Q303" i="26"/>
  <c r="O303" i="26"/>
  <c r="M303" i="26"/>
  <c r="K303" i="26"/>
  <c r="X302" i="26"/>
  <c r="W302" i="26"/>
  <c r="V302" i="26"/>
  <c r="U302" i="26"/>
  <c r="T302" i="26"/>
  <c r="S302" i="26"/>
  <c r="Q302" i="26"/>
  <c r="O302" i="26"/>
  <c r="M302" i="26"/>
  <c r="K302" i="26"/>
  <c r="X301" i="26"/>
  <c r="W301" i="26"/>
  <c r="V301" i="26"/>
  <c r="U301" i="26"/>
  <c r="T301" i="26"/>
  <c r="S301" i="26"/>
  <c r="Q301" i="26"/>
  <c r="O301" i="26"/>
  <c r="M301" i="26"/>
  <c r="K301" i="26"/>
  <c r="X300" i="26"/>
  <c r="W300" i="26"/>
  <c r="V300" i="26"/>
  <c r="U300" i="26"/>
  <c r="T300" i="26"/>
  <c r="S300" i="26"/>
  <c r="Q300" i="26"/>
  <c r="O300" i="26"/>
  <c r="M300" i="26"/>
  <c r="K300" i="26"/>
  <c r="X299" i="26"/>
  <c r="W299" i="26"/>
  <c r="V299" i="26"/>
  <c r="U299" i="26"/>
  <c r="T299" i="26"/>
  <c r="S299" i="26"/>
  <c r="Q299" i="26"/>
  <c r="O299" i="26"/>
  <c r="M299" i="26"/>
  <c r="K299" i="26"/>
  <c r="X298" i="26"/>
  <c r="W298" i="26"/>
  <c r="V298" i="26"/>
  <c r="U298" i="26"/>
  <c r="T298" i="26"/>
  <c r="S298" i="26"/>
  <c r="Q298" i="26"/>
  <c r="O298" i="26"/>
  <c r="M298" i="26"/>
  <c r="K298" i="26"/>
  <c r="X297" i="26"/>
  <c r="W297" i="26"/>
  <c r="V297" i="26"/>
  <c r="U297" i="26"/>
  <c r="T297" i="26"/>
  <c r="S297" i="26"/>
  <c r="Q297" i="26"/>
  <c r="O297" i="26"/>
  <c r="M297" i="26"/>
  <c r="K297" i="26"/>
  <c r="X296" i="26"/>
  <c r="W296" i="26"/>
  <c r="V296" i="26"/>
  <c r="U296" i="26"/>
  <c r="T296" i="26"/>
  <c r="S296" i="26"/>
  <c r="Q296" i="26"/>
  <c r="O296" i="26"/>
  <c r="M296" i="26"/>
  <c r="K296" i="26"/>
  <c r="X295" i="26"/>
  <c r="W295" i="26"/>
  <c r="V295" i="26"/>
  <c r="U295" i="26"/>
  <c r="T295" i="26"/>
  <c r="S295" i="26"/>
  <c r="Q295" i="26"/>
  <c r="O295" i="26"/>
  <c r="M295" i="26"/>
  <c r="K295" i="26"/>
  <c r="X294" i="26"/>
  <c r="W294" i="26"/>
  <c r="V294" i="26"/>
  <c r="U294" i="26"/>
  <c r="T294" i="26"/>
  <c r="S294" i="26"/>
  <c r="Q294" i="26"/>
  <c r="O294" i="26"/>
  <c r="M294" i="26"/>
  <c r="K294" i="26"/>
  <c r="X293" i="26"/>
  <c r="W293" i="26"/>
  <c r="V293" i="26"/>
  <c r="U293" i="26"/>
  <c r="T293" i="26"/>
  <c r="S293" i="26"/>
  <c r="Q293" i="26"/>
  <c r="O293" i="26"/>
  <c r="M293" i="26"/>
  <c r="K293" i="26"/>
  <c r="X292" i="26"/>
  <c r="W292" i="26"/>
  <c r="V292" i="26"/>
  <c r="U292" i="26"/>
  <c r="T292" i="26"/>
  <c r="S292" i="26"/>
  <c r="Q292" i="26"/>
  <c r="O292" i="26"/>
  <c r="M292" i="26"/>
  <c r="K292" i="26"/>
  <c r="X291" i="26"/>
  <c r="W291" i="26"/>
  <c r="V291" i="26"/>
  <c r="U291" i="26"/>
  <c r="T291" i="26"/>
  <c r="S291" i="26"/>
  <c r="Q291" i="26"/>
  <c r="O291" i="26"/>
  <c r="M291" i="26"/>
  <c r="K291" i="26"/>
  <c r="X290" i="26"/>
  <c r="W290" i="26"/>
  <c r="V290" i="26"/>
  <c r="U290" i="26"/>
  <c r="T290" i="26"/>
  <c r="S290" i="26"/>
  <c r="Q290" i="26"/>
  <c r="O290" i="26"/>
  <c r="M290" i="26"/>
  <c r="K290" i="26"/>
  <c r="X289" i="26"/>
  <c r="W289" i="26"/>
  <c r="V289" i="26"/>
  <c r="U289" i="26"/>
  <c r="T289" i="26"/>
  <c r="S289" i="26"/>
  <c r="Q289" i="26"/>
  <c r="O289" i="26"/>
  <c r="M289" i="26"/>
  <c r="K289" i="26"/>
  <c r="X288" i="26"/>
  <c r="W288" i="26"/>
  <c r="V288" i="26"/>
  <c r="U288" i="26"/>
  <c r="T288" i="26"/>
  <c r="S288" i="26"/>
  <c r="Q288" i="26"/>
  <c r="O288" i="26"/>
  <c r="M288" i="26"/>
  <c r="K288" i="26"/>
  <c r="X287" i="26"/>
  <c r="W287" i="26"/>
  <c r="V287" i="26"/>
  <c r="U287" i="26"/>
  <c r="T287" i="26"/>
  <c r="S287" i="26"/>
  <c r="Q287" i="26"/>
  <c r="O287" i="26"/>
  <c r="M287" i="26"/>
  <c r="K287" i="26"/>
  <c r="X286" i="26"/>
  <c r="W286" i="26"/>
  <c r="V286" i="26"/>
  <c r="U286" i="26"/>
  <c r="T286" i="26"/>
  <c r="S286" i="26"/>
  <c r="Q286" i="26"/>
  <c r="O286" i="26"/>
  <c r="M286" i="26"/>
  <c r="K286" i="26"/>
  <c r="X285" i="26"/>
  <c r="W285" i="26"/>
  <c r="V285" i="26"/>
  <c r="U285" i="26"/>
  <c r="T285" i="26"/>
  <c r="S285" i="26"/>
  <c r="Q285" i="26"/>
  <c r="O285" i="26"/>
  <c r="M285" i="26"/>
  <c r="K285" i="26"/>
  <c r="X284" i="26"/>
  <c r="W284" i="26"/>
  <c r="V284" i="26"/>
  <c r="U284" i="26"/>
  <c r="T284" i="26"/>
  <c r="S284" i="26"/>
  <c r="Q284" i="26"/>
  <c r="O284" i="26"/>
  <c r="M284" i="26"/>
  <c r="K284" i="26"/>
  <c r="X283" i="26"/>
  <c r="W283" i="26"/>
  <c r="V283" i="26"/>
  <c r="U283" i="26"/>
  <c r="T283" i="26"/>
  <c r="S283" i="26"/>
  <c r="Q283" i="26"/>
  <c r="O283" i="26"/>
  <c r="M283" i="26"/>
  <c r="K283" i="26"/>
  <c r="X282" i="26"/>
  <c r="W282" i="26"/>
  <c r="V282" i="26"/>
  <c r="U282" i="26"/>
  <c r="T282" i="26"/>
  <c r="S282" i="26"/>
  <c r="Q282" i="26"/>
  <c r="O282" i="26"/>
  <c r="M282" i="26"/>
  <c r="K282" i="26"/>
  <c r="X281" i="26"/>
  <c r="W281" i="26"/>
  <c r="V281" i="26"/>
  <c r="U281" i="26"/>
  <c r="T281" i="26"/>
  <c r="S281" i="26"/>
  <c r="Q281" i="26"/>
  <c r="O281" i="26"/>
  <c r="M281" i="26"/>
  <c r="K281" i="26"/>
  <c r="X280" i="26"/>
  <c r="W280" i="26"/>
  <c r="V280" i="26"/>
  <c r="U280" i="26"/>
  <c r="T280" i="26"/>
  <c r="S280" i="26"/>
  <c r="Q280" i="26"/>
  <c r="O280" i="26"/>
  <c r="M280" i="26"/>
  <c r="K280" i="26"/>
  <c r="X279" i="26"/>
  <c r="W279" i="26"/>
  <c r="V279" i="26"/>
  <c r="U279" i="26"/>
  <c r="T279" i="26"/>
  <c r="S279" i="26"/>
  <c r="Q279" i="26"/>
  <c r="O279" i="26"/>
  <c r="M279" i="26"/>
  <c r="K279" i="26"/>
  <c r="X278" i="26"/>
  <c r="W278" i="26"/>
  <c r="V278" i="26"/>
  <c r="U278" i="26"/>
  <c r="T278" i="26"/>
  <c r="S278" i="26"/>
  <c r="Q278" i="26"/>
  <c r="O278" i="26"/>
  <c r="M278" i="26"/>
  <c r="K278" i="26"/>
  <c r="X277" i="26"/>
  <c r="W277" i="26"/>
  <c r="V277" i="26"/>
  <c r="U277" i="26"/>
  <c r="T277" i="26"/>
  <c r="S277" i="26"/>
  <c r="Q277" i="26"/>
  <c r="O277" i="26"/>
  <c r="M277" i="26"/>
  <c r="K277" i="26"/>
  <c r="X276" i="26"/>
  <c r="W276" i="26"/>
  <c r="V276" i="26"/>
  <c r="U276" i="26"/>
  <c r="T276" i="26"/>
  <c r="S276" i="26"/>
  <c r="Q276" i="26"/>
  <c r="O276" i="26"/>
  <c r="M276" i="26"/>
  <c r="K276" i="26"/>
  <c r="X275" i="26"/>
  <c r="W275" i="26"/>
  <c r="V275" i="26"/>
  <c r="U275" i="26"/>
  <c r="T275" i="26"/>
  <c r="S275" i="26"/>
  <c r="Q275" i="26"/>
  <c r="O275" i="26"/>
  <c r="M275" i="26"/>
  <c r="K275" i="26"/>
  <c r="X274" i="26"/>
  <c r="W274" i="26"/>
  <c r="V274" i="26"/>
  <c r="U274" i="26"/>
  <c r="T274" i="26"/>
  <c r="S274" i="26"/>
  <c r="Q274" i="26"/>
  <c r="O274" i="26"/>
  <c r="M274" i="26"/>
  <c r="K274" i="26"/>
  <c r="X273" i="26"/>
  <c r="W273" i="26"/>
  <c r="V273" i="26"/>
  <c r="U273" i="26"/>
  <c r="T273" i="26"/>
  <c r="S273" i="26"/>
  <c r="Q273" i="26"/>
  <c r="O273" i="26"/>
  <c r="M273" i="26"/>
  <c r="K273" i="26"/>
  <c r="X272" i="26"/>
  <c r="W272" i="26"/>
  <c r="V272" i="26"/>
  <c r="U272" i="26"/>
  <c r="T272" i="26"/>
  <c r="S272" i="26"/>
  <c r="Q272" i="26"/>
  <c r="O272" i="26"/>
  <c r="M272" i="26"/>
  <c r="K272" i="26"/>
  <c r="X271" i="26"/>
  <c r="W271" i="26"/>
  <c r="V271" i="26"/>
  <c r="U271" i="26"/>
  <c r="T271" i="26"/>
  <c r="S271" i="26"/>
  <c r="Q271" i="26"/>
  <c r="O271" i="26"/>
  <c r="M271" i="26"/>
  <c r="K271" i="26"/>
  <c r="X270" i="26"/>
  <c r="W270" i="26"/>
  <c r="V270" i="26"/>
  <c r="U270" i="26"/>
  <c r="T270" i="26"/>
  <c r="S270" i="26"/>
  <c r="Q270" i="26"/>
  <c r="O270" i="26"/>
  <c r="M270" i="26"/>
  <c r="K270" i="26"/>
  <c r="X269" i="26"/>
  <c r="W269" i="26"/>
  <c r="V269" i="26"/>
  <c r="U269" i="26"/>
  <c r="T269" i="26"/>
  <c r="S269" i="26"/>
  <c r="Q269" i="26"/>
  <c r="O269" i="26"/>
  <c r="M269" i="26"/>
  <c r="K269" i="26"/>
  <c r="X268" i="26"/>
  <c r="W268" i="26"/>
  <c r="V268" i="26"/>
  <c r="U268" i="26"/>
  <c r="T268" i="26"/>
  <c r="S268" i="26"/>
  <c r="Q268" i="26"/>
  <c r="O268" i="26"/>
  <c r="M268" i="26"/>
  <c r="K268" i="26"/>
  <c r="X267" i="26"/>
  <c r="W267" i="26"/>
  <c r="V267" i="26"/>
  <c r="U267" i="26"/>
  <c r="T267" i="26"/>
  <c r="S267" i="26"/>
  <c r="Q267" i="26"/>
  <c r="O267" i="26"/>
  <c r="M267" i="26"/>
  <c r="K267" i="26"/>
  <c r="X266" i="26"/>
  <c r="W266" i="26"/>
  <c r="V266" i="26"/>
  <c r="U266" i="26"/>
  <c r="T266" i="26"/>
  <c r="S266" i="26"/>
  <c r="Q266" i="26"/>
  <c r="O266" i="26"/>
  <c r="M266" i="26"/>
  <c r="K266" i="26"/>
  <c r="X265" i="26"/>
  <c r="W265" i="26"/>
  <c r="V265" i="26"/>
  <c r="U265" i="26"/>
  <c r="T265" i="26"/>
  <c r="S265" i="26"/>
  <c r="Q265" i="26"/>
  <c r="O265" i="26"/>
  <c r="M265" i="26"/>
  <c r="K265" i="26"/>
  <c r="X264" i="26"/>
  <c r="W264" i="26"/>
  <c r="V264" i="26"/>
  <c r="U264" i="26"/>
  <c r="T264" i="26"/>
  <c r="S264" i="26"/>
  <c r="Q264" i="26"/>
  <c r="O264" i="26"/>
  <c r="M264" i="26"/>
  <c r="K264" i="26"/>
  <c r="X263" i="26"/>
  <c r="W263" i="26"/>
  <c r="V263" i="26"/>
  <c r="U263" i="26"/>
  <c r="T263" i="26"/>
  <c r="S263" i="26"/>
  <c r="Q263" i="26"/>
  <c r="O263" i="26"/>
  <c r="M263" i="26"/>
  <c r="K263" i="26"/>
  <c r="X262" i="26"/>
  <c r="W262" i="26"/>
  <c r="V262" i="26"/>
  <c r="U262" i="26"/>
  <c r="T262" i="26"/>
  <c r="S262" i="26"/>
  <c r="Q262" i="26"/>
  <c r="O262" i="26"/>
  <c r="M262" i="26"/>
  <c r="K262" i="26"/>
  <c r="X261" i="26"/>
  <c r="W261" i="26"/>
  <c r="V261" i="26"/>
  <c r="U261" i="26"/>
  <c r="T261" i="26"/>
  <c r="S261" i="26"/>
  <c r="Q261" i="26"/>
  <c r="O261" i="26"/>
  <c r="M261" i="26"/>
  <c r="K261" i="26"/>
  <c r="X260" i="26"/>
  <c r="W260" i="26"/>
  <c r="V260" i="26"/>
  <c r="U260" i="26"/>
  <c r="T260" i="26"/>
  <c r="S260" i="26"/>
  <c r="Q260" i="26"/>
  <c r="O260" i="26"/>
  <c r="M260" i="26"/>
  <c r="K260" i="26"/>
  <c r="X259" i="26"/>
  <c r="W259" i="26"/>
  <c r="V259" i="26"/>
  <c r="U259" i="26"/>
  <c r="T259" i="26"/>
  <c r="S259" i="26"/>
  <c r="Q259" i="26"/>
  <c r="O259" i="26"/>
  <c r="M259" i="26"/>
  <c r="K259" i="26"/>
  <c r="X258" i="26"/>
  <c r="W258" i="26"/>
  <c r="V258" i="26"/>
  <c r="U258" i="26"/>
  <c r="T258" i="26"/>
  <c r="S258" i="26"/>
  <c r="Q258" i="26"/>
  <c r="O258" i="26"/>
  <c r="M258" i="26"/>
  <c r="K258" i="26"/>
  <c r="X257" i="26"/>
  <c r="W257" i="26"/>
  <c r="V257" i="26"/>
  <c r="U257" i="26"/>
  <c r="T257" i="26"/>
  <c r="S257" i="26"/>
  <c r="Q257" i="26"/>
  <c r="O257" i="26"/>
  <c r="M257" i="26"/>
  <c r="K257" i="26"/>
  <c r="X256" i="26"/>
  <c r="W256" i="26"/>
  <c r="V256" i="26"/>
  <c r="U256" i="26"/>
  <c r="T256" i="26"/>
  <c r="S256" i="26"/>
  <c r="Q256" i="26"/>
  <c r="O256" i="26"/>
  <c r="M256" i="26"/>
  <c r="K256" i="26"/>
  <c r="X255" i="26"/>
  <c r="W255" i="26"/>
  <c r="V255" i="26"/>
  <c r="U255" i="26"/>
  <c r="T255" i="26"/>
  <c r="S255" i="26"/>
  <c r="Q255" i="26"/>
  <c r="O255" i="26"/>
  <c r="M255" i="26"/>
  <c r="K255" i="26"/>
  <c r="X254" i="26"/>
  <c r="W254" i="26"/>
  <c r="V254" i="26"/>
  <c r="U254" i="26"/>
  <c r="T254" i="26"/>
  <c r="S254" i="26"/>
  <c r="Q254" i="26"/>
  <c r="O254" i="26"/>
  <c r="M254" i="26"/>
  <c r="K254" i="26"/>
  <c r="X253" i="26"/>
  <c r="W253" i="26"/>
  <c r="V253" i="26"/>
  <c r="U253" i="26"/>
  <c r="T253" i="26"/>
  <c r="S253" i="26"/>
  <c r="Q253" i="26"/>
  <c r="O253" i="26"/>
  <c r="M253" i="26"/>
  <c r="K253" i="26"/>
  <c r="X252" i="26"/>
  <c r="W252" i="26"/>
  <c r="V252" i="26"/>
  <c r="U252" i="26"/>
  <c r="T252" i="26"/>
  <c r="S252" i="26"/>
  <c r="Q252" i="26"/>
  <c r="O252" i="26"/>
  <c r="M252" i="26"/>
  <c r="K252" i="26"/>
  <c r="X251" i="26"/>
  <c r="W251" i="26"/>
  <c r="V251" i="26"/>
  <c r="U251" i="26"/>
  <c r="T251" i="26"/>
  <c r="S251" i="26"/>
  <c r="Q251" i="26"/>
  <c r="O251" i="26"/>
  <c r="M251" i="26"/>
  <c r="K251" i="26"/>
  <c r="X250" i="26"/>
  <c r="W250" i="26"/>
  <c r="V250" i="26"/>
  <c r="U250" i="26"/>
  <c r="T250" i="26"/>
  <c r="S250" i="26"/>
  <c r="Q250" i="26"/>
  <c r="O250" i="26"/>
  <c r="M250" i="26"/>
  <c r="K250" i="26"/>
  <c r="X249" i="26"/>
  <c r="W249" i="26"/>
  <c r="V249" i="26"/>
  <c r="U249" i="26"/>
  <c r="T249" i="26"/>
  <c r="S249" i="26"/>
  <c r="Q249" i="26"/>
  <c r="O249" i="26"/>
  <c r="M249" i="26"/>
  <c r="K249" i="26"/>
  <c r="X248" i="26"/>
  <c r="W248" i="26"/>
  <c r="V248" i="26"/>
  <c r="U248" i="26"/>
  <c r="T248" i="26"/>
  <c r="S248" i="26"/>
  <c r="Q248" i="26"/>
  <c r="O248" i="26"/>
  <c r="M248" i="26"/>
  <c r="K248" i="26"/>
  <c r="X247" i="26"/>
  <c r="W247" i="26"/>
  <c r="V247" i="26"/>
  <c r="U247" i="26"/>
  <c r="T247" i="26"/>
  <c r="S247" i="26"/>
  <c r="Q247" i="26"/>
  <c r="O247" i="26"/>
  <c r="M247" i="26"/>
  <c r="K247" i="26"/>
  <c r="X246" i="26"/>
  <c r="W246" i="26"/>
  <c r="V246" i="26"/>
  <c r="U246" i="26"/>
  <c r="T246" i="26"/>
  <c r="S246" i="26"/>
  <c r="Q246" i="26"/>
  <c r="O246" i="26"/>
  <c r="M246" i="26"/>
  <c r="K246" i="26"/>
  <c r="X245" i="26"/>
  <c r="W245" i="26"/>
  <c r="V245" i="26"/>
  <c r="U245" i="26"/>
  <c r="T245" i="26"/>
  <c r="S245" i="26"/>
  <c r="Q245" i="26"/>
  <c r="O245" i="26"/>
  <c r="M245" i="26"/>
  <c r="K245" i="26"/>
  <c r="X244" i="26"/>
  <c r="W244" i="26"/>
  <c r="V244" i="26"/>
  <c r="U244" i="26"/>
  <c r="T244" i="26"/>
  <c r="S244" i="26"/>
  <c r="Q244" i="26"/>
  <c r="O244" i="26"/>
  <c r="M244" i="26"/>
  <c r="K244" i="26"/>
  <c r="X243" i="26"/>
  <c r="W243" i="26"/>
  <c r="V243" i="26"/>
  <c r="U243" i="26"/>
  <c r="T243" i="26"/>
  <c r="S243" i="26"/>
  <c r="Q243" i="26"/>
  <c r="O243" i="26"/>
  <c r="M243" i="26"/>
  <c r="K243" i="26"/>
  <c r="X242" i="26"/>
  <c r="W242" i="26"/>
  <c r="V242" i="26"/>
  <c r="U242" i="26"/>
  <c r="T242" i="26"/>
  <c r="S242" i="26"/>
  <c r="Q242" i="26"/>
  <c r="O242" i="26"/>
  <c r="M242" i="26"/>
  <c r="K242" i="26"/>
  <c r="X241" i="26"/>
  <c r="W241" i="26"/>
  <c r="V241" i="26"/>
  <c r="U241" i="26"/>
  <c r="T241" i="26"/>
  <c r="S241" i="26"/>
  <c r="Q241" i="26"/>
  <c r="O241" i="26"/>
  <c r="M241" i="26"/>
  <c r="K241" i="26"/>
  <c r="X240" i="26"/>
  <c r="W240" i="26"/>
  <c r="V240" i="26"/>
  <c r="U240" i="26"/>
  <c r="T240" i="26"/>
  <c r="S240" i="26"/>
  <c r="Q240" i="26"/>
  <c r="O240" i="26"/>
  <c r="M240" i="26"/>
  <c r="K240" i="26"/>
  <c r="X239" i="26"/>
  <c r="W239" i="26"/>
  <c r="V239" i="26"/>
  <c r="U239" i="26"/>
  <c r="T239" i="26"/>
  <c r="S239" i="26"/>
  <c r="Q239" i="26"/>
  <c r="O239" i="26"/>
  <c r="M239" i="26"/>
  <c r="K239" i="26"/>
  <c r="X238" i="26"/>
  <c r="W238" i="26"/>
  <c r="V238" i="26"/>
  <c r="U238" i="26"/>
  <c r="T238" i="26"/>
  <c r="S238" i="26"/>
  <c r="Q238" i="26"/>
  <c r="O238" i="26"/>
  <c r="M238" i="26"/>
  <c r="K238" i="26"/>
  <c r="X237" i="26"/>
  <c r="W237" i="26"/>
  <c r="V237" i="26"/>
  <c r="U237" i="26"/>
  <c r="T237" i="26"/>
  <c r="S237" i="26"/>
  <c r="Q237" i="26"/>
  <c r="O237" i="26"/>
  <c r="M237" i="26"/>
  <c r="K237" i="26"/>
  <c r="X236" i="26"/>
  <c r="W236" i="26"/>
  <c r="V236" i="26"/>
  <c r="U236" i="26"/>
  <c r="T236" i="26"/>
  <c r="S236" i="26"/>
  <c r="Q236" i="26"/>
  <c r="O236" i="26"/>
  <c r="M236" i="26"/>
  <c r="K236" i="26"/>
  <c r="X235" i="26"/>
  <c r="W235" i="26"/>
  <c r="V235" i="26"/>
  <c r="U235" i="26"/>
  <c r="T235" i="26"/>
  <c r="S235" i="26"/>
  <c r="Q235" i="26"/>
  <c r="O235" i="26"/>
  <c r="M235" i="26"/>
  <c r="K235" i="26"/>
  <c r="X234" i="26"/>
  <c r="W234" i="26"/>
  <c r="V234" i="26"/>
  <c r="U234" i="26"/>
  <c r="T234" i="26"/>
  <c r="S234" i="26"/>
  <c r="Q234" i="26"/>
  <c r="O234" i="26"/>
  <c r="M234" i="26"/>
  <c r="K234" i="26"/>
  <c r="X233" i="26"/>
  <c r="W233" i="26"/>
  <c r="V233" i="26"/>
  <c r="U233" i="26"/>
  <c r="T233" i="26"/>
  <c r="S233" i="26"/>
  <c r="Q233" i="26"/>
  <c r="O233" i="26"/>
  <c r="M233" i="26"/>
  <c r="K233" i="26"/>
  <c r="X232" i="26"/>
  <c r="W232" i="26"/>
  <c r="V232" i="26"/>
  <c r="U232" i="26"/>
  <c r="T232" i="26"/>
  <c r="S232" i="26"/>
  <c r="Q232" i="26"/>
  <c r="O232" i="26"/>
  <c r="M232" i="26"/>
  <c r="K232" i="26"/>
  <c r="X231" i="26"/>
  <c r="W231" i="26"/>
  <c r="V231" i="26"/>
  <c r="U231" i="26"/>
  <c r="T231" i="26"/>
  <c r="S231" i="26"/>
  <c r="Q231" i="26"/>
  <c r="O231" i="26"/>
  <c r="M231" i="26"/>
  <c r="K231" i="26"/>
  <c r="X230" i="26"/>
  <c r="W230" i="26"/>
  <c r="V230" i="26"/>
  <c r="U230" i="26"/>
  <c r="T230" i="26"/>
  <c r="S230" i="26"/>
  <c r="Q230" i="26"/>
  <c r="O230" i="26"/>
  <c r="M230" i="26"/>
  <c r="K230" i="26"/>
  <c r="X229" i="26"/>
  <c r="W229" i="26"/>
  <c r="V229" i="26"/>
  <c r="U229" i="26"/>
  <c r="T229" i="26"/>
  <c r="S229" i="26"/>
  <c r="Q229" i="26"/>
  <c r="O229" i="26"/>
  <c r="M229" i="26"/>
  <c r="K229" i="26"/>
  <c r="X228" i="26"/>
  <c r="W228" i="26"/>
  <c r="V228" i="26"/>
  <c r="U228" i="26"/>
  <c r="T228" i="26"/>
  <c r="S228" i="26"/>
  <c r="Q228" i="26"/>
  <c r="O228" i="26"/>
  <c r="M228" i="26"/>
  <c r="K228" i="26"/>
  <c r="X227" i="26"/>
  <c r="W227" i="26"/>
  <c r="V227" i="26"/>
  <c r="U227" i="26"/>
  <c r="T227" i="26"/>
  <c r="S227" i="26"/>
  <c r="Q227" i="26"/>
  <c r="O227" i="26"/>
  <c r="M227" i="26"/>
  <c r="K227" i="26"/>
  <c r="X226" i="26"/>
  <c r="W226" i="26"/>
  <c r="V226" i="26"/>
  <c r="U226" i="26"/>
  <c r="T226" i="26"/>
  <c r="S226" i="26"/>
  <c r="Q226" i="26"/>
  <c r="O226" i="26"/>
  <c r="M226" i="26"/>
  <c r="K226" i="26"/>
  <c r="X225" i="26"/>
  <c r="W225" i="26"/>
  <c r="V225" i="26"/>
  <c r="U225" i="26"/>
  <c r="T225" i="26"/>
  <c r="S225" i="26"/>
  <c r="Q225" i="26"/>
  <c r="O225" i="26"/>
  <c r="M225" i="26"/>
  <c r="K225" i="26"/>
  <c r="X224" i="26"/>
  <c r="W224" i="26"/>
  <c r="V224" i="26"/>
  <c r="U224" i="26"/>
  <c r="T224" i="26"/>
  <c r="S224" i="26"/>
  <c r="Q224" i="26"/>
  <c r="O224" i="26"/>
  <c r="M224" i="26"/>
  <c r="K224" i="26"/>
  <c r="X223" i="26"/>
  <c r="W223" i="26"/>
  <c r="V223" i="26"/>
  <c r="U223" i="26"/>
  <c r="T223" i="26"/>
  <c r="S223" i="26"/>
  <c r="Q223" i="26"/>
  <c r="O223" i="26"/>
  <c r="M223" i="26"/>
  <c r="K223" i="26"/>
  <c r="X222" i="26"/>
  <c r="W222" i="26"/>
  <c r="V222" i="26"/>
  <c r="U222" i="26"/>
  <c r="T222" i="26"/>
  <c r="S222" i="26"/>
  <c r="Q222" i="26"/>
  <c r="O222" i="26"/>
  <c r="M222" i="26"/>
  <c r="K222" i="26"/>
  <c r="X221" i="26"/>
  <c r="W221" i="26"/>
  <c r="V221" i="26"/>
  <c r="U221" i="26"/>
  <c r="T221" i="26"/>
  <c r="S221" i="26"/>
  <c r="Q221" i="26"/>
  <c r="O221" i="26"/>
  <c r="M221" i="26"/>
  <c r="K221" i="26"/>
  <c r="X220" i="26"/>
  <c r="W220" i="26"/>
  <c r="V220" i="26"/>
  <c r="U220" i="26"/>
  <c r="T220" i="26"/>
  <c r="S220" i="26"/>
  <c r="Q220" i="26"/>
  <c r="O220" i="26"/>
  <c r="M220" i="26"/>
  <c r="K220" i="26"/>
  <c r="X219" i="26"/>
  <c r="W219" i="26"/>
  <c r="V219" i="26"/>
  <c r="U219" i="26"/>
  <c r="T219" i="26"/>
  <c r="S219" i="26"/>
  <c r="Q219" i="26"/>
  <c r="O219" i="26"/>
  <c r="M219" i="26"/>
  <c r="K219" i="26"/>
  <c r="X218" i="26"/>
  <c r="W218" i="26"/>
  <c r="V218" i="26"/>
  <c r="U218" i="26"/>
  <c r="T218" i="26"/>
  <c r="S218" i="26"/>
  <c r="Q218" i="26"/>
  <c r="O218" i="26"/>
  <c r="M218" i="26"/>
  <c r="K218" i="26"/>
  <c r="X217" i="26"/>
  <c r="W217" i="26"/>
  <c r="V217" i="26"/>
  <c r="U217" i="26"/>
  <c r="T217" i="26"/>
  <c r="S217" i="26"/>
  <c r="Q217" i="26"/>
  <c r="O217" i="26"/>
  <c r="M217" i="26"/>
  <c r="K217" i="26"/>
  <c r="X216" i="26"/>
  <c r="W216" i="26"/>
  <c r="V216" i="26"/>
  <c r="U216" i="26"/>
  <c r="T216" i="26"/>
  <c r="S216" i="26"/>
  <c r="Q216" i="26"/>
  <c r="O216" i="26"/>
  <c r="M216" i="26"/>
  <c r="K216" i="26"/>
  <c r="X215" i="26"/>
  <c r="W215" i="26"/>
  <c r="V215" i="26"/>
  <c r="U215" i="26"/>
  <c r="T215" i="26"/>
  <c r="S215" i="26"/>
  <c r="Q215" i="26"/>
  <c r="O215" i="26"/>
  <c r="M215" i="26"/>
  <c r="K215" i="26"/>
  <c r="X214" i="26"/>
  <c r="W214" i="26"/>
  <c r="V214" i="26"/>
  <c r="U214" i="26"/>
  <c r="T214" i="26"/>
  <c r="S214" i="26"/>
  <c r="Q214" i="26"/>
  <c r="O214" i="26"/>
  <c r="M214" i="26"/>
  <c r="K214" i="26"/>
  <c r="X213" i="26"/>
  <c r="W213" i="26"/>
  <c r="V213" i="26"/>
  <c r="U213" i="26"/>
  <c r="T213" i="26"/>
  <c r="S213" i="26"/>
  <c r="Q213" i="26"/>
  <c r="O213" i="26"/>
  <c r="M213" i="26"/>
  <c r="K213" i="26"/>
  <c r="X212" i="26"/>
  <c r="W212" i="26"/>
  <c r="V212" i="26"/>
  <c r="U212" i="26"/>
  <c r="T212" i="26"/>
  <c r="S212" i="26"/>
  <c r="Q212" i="26"/>
  <c r="O212" i="26"/>
  <c r="M212" i="26"/>
  <c r="K212" i="26"/>
  <c r="X211" i="26"/>
  <c r="W211" i="26"/>
  <c r="V211" i="26"/>
  <c r="U211" i="26"/>
  <c r="T211" i="26"/>
  <c r="S211" i="26"/>
  <c r="Q211" i="26"/>
  <c r="O211" i="26"/>
  <c r="M211" i="26"/>
  <c r="K211" i="26"/>
  <c r="X210" i="26"/>
  <c r="W210" i="26"/>
  <c r="V210" i="26"/>
  <c r="U210" i="26"/>
  <c r="T210" i="26"/>
  <c r="S210" i="26"/>
  <c r="Q210" i="26"/>
  <c r="O210" i="26"/>
  <c r="M210" i="26"/>
  <c r="K210" i="26"/>
  <c r="X209" i="26"/>
  <c r="W209" i="26"/>
  <c r="V209" i="26"/>
  <c r="U209" i="26"/>
  <c r="T209" i="26"/>
  <c r="S209" i="26"/>
  <c r="Q209" i="26"/>
  <c r="O209" i="26"/>
  <c r="M209" i="26"/>
  <c r="K209" i="26"/>
  <c r="X208" i="26"/>
  <c r="W208" i="26"/>
  <c r="V208" i="26"/>
  <c r="U208" i="26"/>
  <c r="T208" i="26"/>
  <c r="S208" i="26"/>
  <c r="Q208" i="26"/>
  <c r="O208" i="26"/>
  <c r="M208" i="26"/>
  <c r="K208" i="26"/>
  <c r="X207" i="26"/>
  <c r="W207" i="26"/>
  <c r="V207" i="26"/>
  <c r="U207" i="26"/>
  <c r="T207" i="26"/>
  <c r="S207" i="26"/>
  <c r="Q207" i="26"/>
  <c r="O207" i="26"/>
  <c r="M207" i="26"/>
  <c r="K207" i="26"/>
  <c r="X206" i="26"/>
  <c r="W206" i="26"/>
  <c r="V206" i="26"/>
  <c r="U206" i="26"/>
  <c r="T206" i="26"/>
  <c r="S206" i="26"/>
  <c r="Q206" i="26"/>
  <c r="O206" i="26"/>
  <c r="M206" i="26"/>
  <c r="K206" i="26"/>
  <c r="X205" i="26"/>
  <c r="W205" i="26"/>
  <c r="V205" i="26"/>
  <c r="U205" i="26"/>
  <c r="T205" i="26"/>
  <c r="S205" i="26"/>
  <c r="Q205" i="26"/>
  <c r="O205" i="26"/>
  <c r="M205" i="26"/>
  <c r="K205" i="26"/>
  <c r="X204" i="26"/>
  <c r="W204" i="26"/>
  <c r="V204" i="26"/>
  <c r="U204" i="26"/>
  <c r="T204" i="26"/>
  <c r="S204" i="26"/>
  <c r="Q204" i="26"/>
  <c r="O204" i="26"/>
  <c r="M204" i="26"/>
  <c r="K204" i="26"/>
  <c r="X203" i="26"/>
  <c r="W203" i="26"/>
  <c r="V203" i="26"/>
  <c r="U203" i="26"/>
  <c r="T203" i="26"/>
  <c r="S203" i="26"/>
  <c r="Q203" i="26"/>
  <c r="O203" i="26"/>
  <c r="M203" i="26"/>
  <c r="K203" i="26"/>
  <c r="X202" i="26"/>
  <c r="W202" i="26"/>
  <c r="V202" i="26"/>
  <c r="U202" i="26"/>
  <c r="T202" i="26"/>
  <c r="S202" i="26"/>
  <c r="Q202" i="26"/>
  <c r="O202" i="26"/>
  <c r="M202" i="26"/>
  <c r="K202" i="26"/>
  <c r="X201" i="26"/>
  <c r="W201" i="26"/>
  <c r="V201" i="26"/>
  <c r="U201" i="26"/>
  <c r="T201" i="26"/>
  <c r="S201" i="26"/>
  <c r="Q201" i="26"/>
  <c r="O201" i="26"/>
  <c r="M201" i="26"/>
  <c r="K201" i="26"/>
  <c r="X200" i="26"/>
  <c r="W200" i="26"/>
  <c r="V200" i="26"/>
  <c r="U200" i="26"/>
  <c r="T200" i="26"/>
  <c r="S200" i="26"/>
  <c r="Q200" i="26"/>
  <c r="O200" i="26"/>
  <c r="M200" i="26"/>
  <c r="K200" i="26"/>
  <c r="X199" i="26"/>
  <c r="W199" i="26"/>
  <c r="V199" i="26"/>
  <c r="U199" i="26"/>
  <c r="T199" i="26"/>
  <c r="S199" i="26"/>
  <c r="Q199" i="26"/>
  <c r="O199" i="26"/>
  <c r="M199" i="26"/>
  <c r="K199" i="26"/>
  <c r="X198" i="26"/>
  <c r="W198" i="26"/>
  <c r="V198" i="26"/>
  <c r="U198" i="26"/>
  <c r="T198" i="26"/>
  <c r="S198" i="26"/>
  <c r="Q198" i="26"/>
  <c r="O198" i="26"/>
  <c r="M198" i="26"/>
  <c r="K198" i="26"/>
  <c r="X197" i="26"/>
  <c r="W197" i="26"/>
  <c r="V197" i="26"/>
  <c r="U197" i="26"/>
  <c r="T197" i="26"/>
  <c r="S197" i="26"/>
  <c r="Q197" i="26"/>
  <c r="O197" i="26"/>
  <c r="M197" i="26"/>
  <c r="K197" i="26"/>
  <c r="X196" i="26"/>
  <c r="W196" i="26"/>
  <c r="V196" i="26"/>
  <c r="U196" i="26"/>
  <c r="T196" i="26"/>
  <c r="S196" i="26"/>
  <c r="Q196" i="26"/>
  <c r="O196" i="26"/>
  <c r="M196" i="26"/>
  <c r="K196" i="26"/>
  <c r="X195" i="26"/>
  <c r="W195" i="26"/>
  <c r="V195" i="26"/>
  <c r="U195" i="26"/>
  <c r="T195" i="26"/>
  <c r="S195" i="26"/>
  <c r="Q195" i="26"/>
  <c r="O195" i="26"/>
  <c r="M195" i="26"/>
  <c r="K195" i="26"/>
  <c r="X194" i="26"/>
  <c r="W194" i="26"/>
  <c r="V194" i="26"/>
  <c r="U194" i="26"/>
  <c r="T194" i="26"/>
  <c r="S194" i="26"/>
  <c r="Q194" i="26"/>
  <c r="O194" i="26"/>
  <c r="M194" i="26"/>
  <c r="K194" i="26"/>
  <c r="X193" i="26"/>
  <c r="W193" i="26"/>
  <c r="V193" i="26"/>
  <c r="U193" i="26"/>
  <c r="T193" i="26"/>
  <c r="S193" i="26"/>
  <c r="Q193" i="26"/>
  <c r="O193" i="26"/>
  <c r="M193" i="26"/>
  <c r="K193" i="26"/>
  <c r="X192" i="26"/>
  <c r="W192" i="26"/>
  <c r="V192" i="26"/>
  <c r="U192" i="26"/>
  <c r="T192" i="26"/>
  <c r="S192" i="26"/>
  <c r="Q192" i="26"/>
  <c r="O192" i="26"/>
  <c r="M192" i="26"/>
  <c r="K192" i="26"/>
  <c r="X191" i="26"/>
  <c r="W191" i="26"/>
  <c r="V191" i="26"/>
  <c r="U191" i="26"/>
  <c r="T191" i="26"/>
  <c r="S191" i="26"/>
  <c r="Q191" i="26"/>
  <c r="O191" i="26"/>
  <c r="M191" i="26"/>
  <c r="K191" i="26"/>
  <c r="X190" i="26"/>
  <c r="W190" i="26"/>
  <c r="V190" i="26"/>
  <c r="U190" i="26"/>
  <c r="T190" i="26"/>
  <c r="S190" i="26"/>
  <c r="Q190" i="26"/>
  <c r="O190" i="26"/>
  <c r="M190" i="26"/>
  <c r="K190" i="26"/>
  <c r="X189" i="26"/>
  <c r="W189" i="26"/>
  <c r="V189" i="26"/>
  <c r="U189" i="26"/>
  <c r="T189" i="26"/>
  <c r="S189" i="26"/>
  <c r="Q189" i="26"/>
  <c r="O189" i="26"/>
  <c r="M189" i="26"/>
  <c r="K189" i="26"/>
  <c r="X188" i="26"/>
  <c r="W188" i="26"/>
  <c r="V188" i="26"/>
  <c r="U188" i="26"/>
  <c r="T188" i="26"/>
  <c r="S188" i="26"/>
  <c r="Q188" i="26"/>
  <c r="O188" i="26"/>
  <c r="M188" i="26"/>
  <c r="K188" i="26"/>
  <c r="X187" i="26"/>
  <c r="W187" i="26"/>
  <c r="V187" i="26"/>
  <c r="U187" i="26"/>
  <c r="T187" i="26"/>
  <c r="S187" i="26"/>
  <c r="Q187" i="26"/>
  <c r="O187" i="26"/>
  <c r="M187" i="26"/>
  <c r="K187" i="26"/>
  <c r="X186" i="26"/>
  <c r="W186" i="26"/>
  <c r="V186" i="26"/>
  <c r="U186" i="26"/>
  <c r="T186" i="26"/>
  <c r="S186" i="26"/>
  <c r="Q186" i="26"/>
  <c r="O186" i="26"/>
  <c r="M186" i="26"/>
  <c r="K186" i="26"/>
  <c r="X185" i="26"/>
  <c r="W185" i="26"/>
  <c r="V185" i="26"/>
  <c r="U185" i="26"/>
  <c r="T185" i="26"/>
  <c r="S185" i="26"/>
  <c r="Q185" i="26"/>
  <c r="O185" i="26"/>
  <c r="M185" i="26"/>
  <c r="K185" i="26"/>
  <c r="X184" i="26"/>
  <c r="W184" i="26"/>
  <c r="V184" i="26"/>
  <c r="U184" i="26"/>
  <c r="T184" i="26"/>
  <c r="S184" i="26"/>
  <c r="Q184" i="26"/>
  <c r="O184" i="26"/>
  <c r="M184" i="26"/>
  <c r="K184" i="26"/>
  <c r="X183" i="26"/>
  <c r="W183" i="26"/>
  <c r="V183" i="26"/>
  <c r="U183" i="26"/>
  <c r="T183" i="26"/>
  <c r="S183" i="26"/>
  <c r="Q183" i="26"/>
  <c r="O183" i="26"/>
  <c r="M183" i="26"/>
  <c r="K183" i="26"/>
  <c r="X182" i="26"/>
  <c r="W182" i="26"/>
  <c r="V182" i="26"/>
  <c r="U182" i="26"/>
  <c r="T182" i="26"/>
  <c r="S182" i="26"/>
  <c r="Q182" i="26"/>
  <c r="O182" i="26"/>
  <c r="M182" i="26"/>
  <c r="K182" i="26"/>
  <c r="X181" i="26"/>
  <c r="W181" i="26"/>
  <c r="V181" i="26"/>
  <c r="U181" i="26"/>
  <c r="T181" i="26"/>
  <c r="S181" i="26"/>
  <c r="Q181" i="26"/>
  <c r="O181" i="26"/>
  <c r="M181" i="26"/>
  <c r="K181" i="26"/>
  <c r="X180" i="26"/>
  <c r="W180" i="26"/>
  <c r="V180" i="26"/>
  <c r="U180" i="26"/>
  <c r="T180" i="26"/>
  <c r="S180" i="26"/>
  <c r="Q180" i="26"/>
  <c r="O180" i="26"/>
  <c r="M180" i="26"/>
  <c r="K180" i="26"/>
  <c r="X179" i="26"/>
  <c r="W179" i="26"/>
  <c r="V179" i="26"/>
  <c r="U179" i="26"/>
  <c r="T179" i="26"/>
  <c r="S179" i="26"/>
  <c r="Q179" i="26"/>
  <c r="O179" i="26"/>
  <c r="M179" i="26"/>
  <c r="K179" i="26"/>
  <c r="X178" i="26"/>
  <c r="W178" i="26"/>
  <c r="V178" i="26"/>
  <c r="U178" i="26"/>
  <c r="T178" i="26"/>
  <c r="S178" i="26"/>
  <c r="Q178" i="26"/>
  <c r="O178" i="26"/>
  <c r="M178" i="26"/>
  <c r="K178" i="26"/>
  <c r="X177" i="26"/>
  <c r="W177" i="26"/>
  <c r="V177" i="26"/>
  <c r="U177" i="26"/>
  <c r="T177" i="26"/>
  <c r="S177" i="26"/>
  <c r="Q177" i="26"/>
  <c r="O177" i="26"/>
  <c r="M177" i="26"/>
  <c r="K177" i="26"/>
  <c r="X176" i="26"/>
  <c r="W176" i="26"/>
  <c r="V176" i="26"/>
  <c r="U176" i="26"/>
  <c r="T176" i="26"/>
  <c r="S176" i="26"/>
  <c r="Q176" i="26"/>
  <c r="O176" i="26"/>
  <c r="M176" i="26"/>
  <c r="K176" i="26"/>
  <c r="X175" i="26"/>
  <c r="W175" i="26"/>
  <c r="V175" i="26"/>
  <c r="U175" i="26"/>
  <c r="T175" i="26"/>
  <c r="S175" i="26"/>
  <c r="Q175" i="26"/>
  <c r="O175" i="26"/>
  <c r="M175" i="26"/>
  <c r="K175" i="26"/>
  <c r="X174" i="26"/>
  <c r="W174" i="26"/>
  <c r="V174" i="26"/>
  <c r="U174" i="26"/>
  <c r="T174" i="26"/>
  <c r="S174" i="26"/>
  <c r="Q174" i="26"/>
  <c r="O174" i="26"/>
  <c r="M174" i="26"/>
  <c r="K174" i="26"/>
  <c r="X173" i="26"/>
  <c r="W173" i="26"/>
  <c r="V173" i="26"/>
  <c r="U173" i="26"/>
  <c r="T173" i="26"/>
  <c r="S173" i="26"/>
  <c r="Q173" i="26"/>
  <c r="O173" i="26"/>
  <c r="M173" i="26"/>
  <c r="K173" i="26"/>
  <c r="X172" i="26"/>
  <c r="W172" i="26"/>
  <c r="V172" i="26"/>
  <c r="U172" i="26"/>
  <c r="T172" i="26"/>
  <c r="S172" i="26"/>
  <c r="Q172" i="26"/>
  <c r="O172" i="26"/>
  <c r="M172" i="26"/>
  <c r="K172" i="26"/>
  <c r="X171" i="26"/>
  <c r="W171" i="26"/>
  <c r="V171" i="26"/>
  <c r="U171" i="26"/>
  <c r="T171" i="26"/>
  <c r="S171" i="26"/>
  <c r="Q171" i="26"/>
  <c r="O171" i="26"/>
  <c r="M171" i="26"/>
  <c r="K171" i="26"/>
  <c r="X170" i="26"/>
  <c r="W170" i="26"/>
  <c r="V170" i="26"/>
  <c r="U170" i="26"/>
  <c r="T170" i="26"/>
  <c r="S170" i="26"/>
  <c r="Q170" i="26"/>
  <c r="O170" i="26"/>
  <c r="M170" i="26"/>
  <c r="K170" i="26"/>
  <c r="X169" i="26"/>
  <c r="W169" i="26"/>
  <c r="V169" i="26"/>
  <c r="U169" i="26"/>
  <c r="T169" i="26"/>
  <c r="S169" i="26"/>
  <c r="Q169" i="26"/>
  <c r="O169" i="26"/>
  <c r="M169" i="26"/>
  <c r="K169" i="26"/>
  <c r="X168" i="26"/>
  <c r="W168" i="26"/>
  <c r="V168" i="26"/>
  <c r="U168" i="26"/>
  <c r="T168" i="26"/>
  <c r="S168" i="26"/>
  <c r="Q168" i="26"/>
  <c r="O168" i="26"/>
  <c r="M168" i="26"/>
  <c r="K168" i="26"/>
  <c r="X167" i="26"/>
  <c r="W167" i="26"/>
  <c r="V167" i="26"/>
  <c r="U167" i="26"/>
  <c r="T167" i="26"/>
  <c r="S167" i="26"/>
  <c r="Q167" i="26"/>
  <c r="O167" i="26"/>
  <c r="M167" i="26"/>
  <c r="K167" i="26"/>
  <c r="X166" i="26"/>
  <c r="W166" i="26"/>
  <c r="V166" i="26"/>
  <c r="U166" i="26"/>
  <c r="T166" i="26"/>
  <c r="S166" i="26"/>
  <c r="Q166" i="26"/>
  <c r="O166" i="26"/>
  <c r="M166" i="26"/>
  <c r="K166" i="26"/>
  <c r="X165" i="26"/>
  <c r="W165" i="26"/>
  <c r="V165" i="26"/>
  <c r="U165" i="26"/>
  <c r="T165" i="26"/>
  <c r="S165" i="26"/>
  <c r="Q165" i="26"/>
  <c r="O165" i="26"/>
  <c r="M165" i="26"/>
  <c r="K165" i="26"/>
  <c r="X164" i="26"/>
  <c r="W164" i="26"/>
  <c r="V164" i="26"/>
  <c r="U164" i="26"/>
  <c r="T164" i="26"/>
  <c r="S164" i="26"/>
  <c r="Q164" i="26"/>
  <c r="O164" i="26"/>
  <c r="M164" i="26"/>
  <c r="K164" i="26"/>
  <c r="X163" i="26"/>
  <c r="W163" i="26"/>
  <c r="V163" i="26"/>
  <c r="U163" i="26"/>
  <c r="T163" i="26"/>
  <c r="S163" i="26"/>
  <c r="Q163" i="26"/>
  <c r="O163" i="26"/>
  <c r="M163" i="26"/>
  <c r="K163" i="26"/>
  <c r="X162" i="26"/>
  <c r="W162" i="26"/>
  <c r="V162" i="26"/>
  <c r="U162" i="26"/>
  <c r="T162" i="26"/>
  <c r="S162" i="26"/>
  <c r="Q162" i="26"/>
  <c r="O162" i="26"/>
  <c r="M162" i="26"/>
  <c r="K162" i="26"/>
  <c r="X161" i="26"/>
  <c r="W161" i="26"/>
  <c r="V161" i="26"/>
  <c r="U161" i="26"/>
  <c r="T161" i="26"/>
  <c r="S161" i="26"/>
  <c r="Q161" i="26"/>
  <c r="O161" i="26"/>
  <c r="M161" i="26"/>
  <c r="K161" i="26"/>
  <c r="X160" i="26"/>
  <c r="W160" i="26"/>
  <c r="V160" i="26"/>
  <c r="U160" i="26"/>
  <c r="T160" i="26"/>
  <c r="S160" i="26"/>
  <c r="Q160" i="26"/>
  <c r="O160" i="26"/>
  <c r="M160" i="26"/>
  <c r="K160" i="26"/>
  <c r="X159" i="26"/>
  <c r="W159" i="26"/>
  <c r="V159" i="26"/>
  <c r="U159" i="26"/>
  <c r="T159" i="26"/>
  <c r="S159" i="26"/>
  <c r="Q159" i="26"/>
  <c r="O159" i="26"/>
  <c r="M159" i="26"/>
  <c r="K159" i="26"/>
  <c r="X158" i="26"/>
  <c r="W158" i="26"/>
  <c r="V158" i="26"/>
  <c r="U158" i="26"/>
  <c r="T158" i="26"/>
  <c r="S158" i="26"/>
  <c r="Q158" i="26"/>
  <c r="O158" i="26"/>
  <c r="M158" i="26"/>
  <c r="K158" i="26"/>
  <c r="X157" i="26"/>
  <c r="W157" i="26"/>
  <c r="V157" i="26"/>
  <c r="U157" i="26"/>
  <c r="T157" i="26"/>
  <c r="S157" i="26"/>
  <c r="Q157" i="26"/>
  <c r="O157" i="26"/>
  <c r="M157" i="26"/>
  <c r="K157" i="26"/>
  <c r="X156" i="26"/>
  <c r="W156" i="26"/>
  <c r="V156" i="26"/>
  <c r="U156" i="26"/>
  <c r="T156" i="26"/>
  <c r="S156" i="26"/>
  <c r="Q156" i="26"/>
  <c r="O156" i="26"/>
  <c r="M156" i="26"/>
  <c r="K156" i="26"/>
  <c r="X155" i="26"/>
  <c r="W155" i="26"/>
  <c r="V155" i="26"/>
  <c r="U155" i="26"/>
  <c r="T155" i="26"/>
  <c r="S155" i="26"/>
  <c r="Q155" i="26"/>
  <c r="O155" i="26"/>
  <c r="M155" i="26"/>
  <c r="K155" i="26"/>
  <c r="X154" i="26"/>
  <c r="W154" i="26"/>
  <c r="V154" i="26"/>
  <c r="U154" i="26"/>
  <c r="T154" i="26"/>
  <c r="S154" i="26"/>
  <c r="Q154" i="26"/>
  <c r="O154" i="26"/>
  <c r="M154" i="26"/>
  <c r="K154" i="26"/>
  <c r="X153" i="26"/>
  <c r="W153" i="26"/>
  <c r="V153" i="26"/>
  <c r="U153" i="26"/>
  <c r="T153" i="26"/>
  <c r="S153" i="26"/>
  <c r="Q153" i="26"/>
  <c r="O153" i="26"/>
  <c r="M153" i="26"/>
  <c r="K153" i="26"/>
  <c r="X152" i="26"/>
  <c r="W152" i="26"/>
  <c r="V152" i="26"/>
  <c r="U152" i="26"/>
  <c r="T152" i="26"/>
  <c r="S152" i="26"/>
  <c r="Q152" i="26"/>
  <c r="O152" i="26"/>
  <c r="M152" i="26"/>
  <c r="K152" i="26"/>
  <c r="X151" i="26"/>
  <c r="W151" i="26"/>
  <c r="V151" i="26"/>
  <c r="U151" i="26"/>
  <c r="T151" i="26"/>
  <c r="S151" i="26"/>
  <c r="Q151" i="26"/>
  <c r="O151" i="26"/>
  <c r="M151" i="26"/>
  <c r="K151" i="26"/>
  <c r="X150" i="26"/>
  <c r="W150" i="26"/>
  <c r="V150" i="26"/>
  <c r="U150" i="26"/>
  <c r="T150" i="26"/>
  <c r="S150" i="26"/>
  <c r="Q150" i="26"/>
  <c r="O150" i="26"/>
  <c r="M150" i="26"/>
  <c r="K150" i="26"/>
  <c r="X149" i="26"/>
  <c r="W149" i="26"/>
  <c r="V149" i="26"/>
  <c r="U149" i="26"/>
  <c r="T149" i="26"/>
  <c r="S149" i="26"/>
  <c r="Q149" i="26"/>
  <c r="O149" i="26"/>
  <c r="M149" i="26"/>
  <c r="K149" i="26"/>
  <c r="X148" i="26"/>
  <c r="W148" i="26"/>
  <c r="V148" i="26"/>
  <c r="U148" i="26"/>
  <c r="T148" i="26"/>
  <c r="S148" i="26"/>
  <c r="Q148" i="26"/>
  <c r="O148" i="26"/>
  <c r="M148" i="26"/>
  <c r="K148" i="26"/>
  <c r="X147" i="26"/>
  <c r="W147" i="26"/>
  <c r="V147" i="26"/>
  <c r="U147" i="26"/>
  <c r="T147" i="26"/>
  <c r="S147" i="26"/>
  <c r="Q147" i="26"/>
  <c r="O147" i="26"/>
  <c r="M147" i="26"/>
  <c r="K147" i="26"/>
  <c r="X146" i="26"/>
  <c r="W146" i="26"/>
  <c r="V146" i="26"/>
  <c r="U146" i="26"/>
  <c r="T146" i="26"/>
  <c r="S146" i="26"/>
  <c r="Q146" i="26"/>
  <c r="O146" i="26"/>
  <c r="M146" i="26"/>
  <c r="K146" i="26"/>
  <c r="X145" i="26"/>
  <c r="W145" i="26"/>
  <c r="V145" i="26"/>
  <c r="U145" i="26"/>
  <c r="T145" i="26"/>
  <c r="S145" i="26"/>
  <c r="Q145" i="26"/>
  <c r="O145" i="26"/>
  <c r="M145" i="26"/>
  <c r="K145" i="26"/>
  <c r="X144" i="26"/>
  <c r="W144" i="26"/>
  <c r="V144" i="26"/>
  <c r="U144" i="26"/>
  <c r="T144" i="26"/>
  <c r="S144" i="26"/>
  <c r="Q144" i="26"/>
  <c r="O144" i="26"/>
  <c r="M144" i="26"/>
  <c r="K144" i="26"/>
  <c r="X143" i="26"/>
  <c r="W143" i="26"/>
  <c r="V143" i="26"/>
  <c r="U143" i="26"/>
  <c r="T143" i="26"/>
  <c r="S143" i="26"/>
  <c r="Q143" i="26"/>
  <c r="O143" i="26"/>
  <c r="M143" i="26"/>
  <c r="K143" i="26"/>
  <c r="X142" i="26"/>
  <c r="W142" i="26"/>
  <c r="V142" i="26"/>
  <c r="U142" i="26"/>
  <c r="T142" i="26"/>
  <c r="S142" i="26"/>
  <c r="Q142" i="26"/>
  <c r="O142" i="26"/>
  <c r="M142" i="26"/>
  <c r="K142" i="26"/>
  <c r="X141" i="26"/>
  <c r="W141" i="26"/>
  <c r="V141" i="26"/>
  <c r="U141" i="26"/>
  <c r="T141" i="26"/>
  <c r="S141" i="26"/>
  <c r="Q141" i="26"/>
  <c r="O141" i="26"/>
  <c r="M141" i="26"/>
  <c r="K141" i="26"/>
  <c r="X140" i="26"/>
  <c r="W140" i="26"/>
  <c r="V140" i="26"/>
  <c r="U140" i="26"/>
  <c r="T140" i="26"/>
  <c r="S140" i="26"/>
  <c r="Q140" i="26"/>
  <c r="O140" i="26"/>
  <c r="M140" i="26"/>
  <c r="K140" i="26"/>
  <c r="X139" i="26"/>
  <c r="W139" i="26"/>
  <c r="V139" i="26"/>
  <c r="U139" i="26"/>
  <c r="T139" i="26"/>
  <c r="S139" i="26"/>
  <c r="Q139" i="26"/>
  <c r="O139" i="26"/>
  <c r="M139" i="26"/>
  <c r="K139" i="26"/>
  <c r="X138" i="26"/>
  <c r="W138" i="26"/>
  <c r="V138" i="26"/>
  <c r="U138" i="26"/>
  <c r="T138" i="26"/>
  <c r="S138" i="26"/>
  <c r="Q138" i="26"/>
  <c r="O138" i="26"/>
  <c r="M138" i="26"/>
  <c r="K138" i="26"/>
  <c r="X137" i="26"/>
  <c r="W137" i="26"/>
  <c r="V137" i="26"/>
  <c r="U137" i="26"/>
  <c r="T137" i="26"/>
  <c r="S137" i="26"/>
  <c r="Q137" i="26"/>
  <c r="O137" i="26"/>
  <c r="M137" i="26"/>
  <c r="K137" i="26"/>
  <c r="X136" i="26"/>
  <c r="W136" i="26"/>
  <c r="V136" i="26"/>
  <c r="U136" i="26"/>
  <c r="T136" i="26"/>
  <c r="S136" i="26"/>
  <c r="Q136" i="26"/>
  <c r="O136" i="26"/>
  <c r="M136" i="26"/>
  <c r="K136" i="26"/>
  <c r="X135" i="26"/>
  <c r="W135" i="26"/>
  <c r="V135" i="26"/>
  <c r="U135" i="26"/>
  <c r="T135" i="26"/>
  <c r="S135" i="26"/>
  <c r="Q135" i="26"/>
  <c r="O135" i="26"/>
  <c r="M135" i="26"/>
  <c r="K135" i="26"/>
  <c r="X134" i="26"/>
  <c r="W134" i="26"/>
  <c r="V134" i="26"/>
  <c r="U134" i="26"/>
  <c r="T134" i="26"/>
  <c r="S134" i="26"/>
  <c r="Q134" i="26"/>
  <c r="O134" i="26"/>
  <c r="M134" i="26"/>
  <c r="K134" i="26"/>
  <c r="X133" i="26"/>
  <c r="W133" i="26"/>
  <c r="V133" i="26"/>
  <c r="U133" i="26"/>
  <c r="T133" i="26"/>
  <c r="S133" i="26"/>
  <c r="Q133" i="26"/>
  <c r="O133" i="26"/>
  <c r="M133" i="26"/>
  <c r="K133" i="26"/>
  <c r="X132" i="26"/>
  <c r="W132" i="26"/>
  <c r="V132" i="26"/>
  <c r="U132" i="26"/>
  <c r="T132" i="26"/>
  <c r="S132" i="26"/>
  <c r="Q132" i="26"/>
  <c r="O132" i="26"/>
  <c r="M132" i="26"/>
  <c r="K132" i="26"/>
  <c r="X131" i="26"/>
  <c r="W131" i="26"/>
  <c r="V131" i="26"/>
  <c r="U131" i="26"/>
  <c r="T131" i="26"/>
  <c r="S131" i="26"/>
  <c r="Q131" i="26"/>
  <c r="O131" i="26"/>
  <c r="M131" i="26"/>
  <c r="K131" i="26"/>
  <c r="X130" i="26"/>
  <c r="W130" i="26"/>
  <c r="V130" i="26"/>
  <c r="U130" i="26"/>
  <c r="T130" i="26"/>
  <c r="S130" i="26"/>
  <c r="Q130" i="26"/>
  <c r="O130" i="26"/>
  <c r="M130" i="26"/>
  <c r="K130" i="26"/>
  <c r="X129" i="26"/>
  <c r="W129" i="26"/>
  <c r="V129" i="26"/>
  <c r="U129" i="26"/>
  <c r="T129" i="26"/>
  <c r="S129" i="26"/>
  <c r="Q129" i="26"/>
  <c r="O129" i="26"/>
  <c r="M129" i="26"/>
  <c r="K129" i="26"/>
  <c r="X128" i="26"/>
  <c r="W128" i="26"/>
  <c r="V128" i="26"/>
  <c r="U128" i="26"/>
  <c r="T128" i="26"/>
  <c r="S128" i="26"/>
  <c r="Q128" i="26"/>
  <c r="O128" i="26"/>
  <c r="M128" i="26"/>
  <c r="K128" i="26"/>
  <c r="X127" i="26"/>
  <c r="W127" i="26"/>
  <c r="V127" i="26"/>
  <c r="U127" i="26"/>
  <c r="T127" i="26"/>
  <c r="S127" i="26"/>
  <c r="Q127" i="26"/>
  <c r="O127" i="26"/>
  <c r="M127" i="26"/>
  <c r="K127" i="26"/>
  <c r="X126" i="26"/>
  <c r="W126" i="26"/>
  <c r="V126" i="26"/>
  <c r="U126" i="26"/>
  <c r="T126" i="26"/>
  <c r="S126" i="26"/>
  <c r="Q126" i="26"/>
  <c r="O126" i="26"/>
  <c r="M126" i="26"/>
  <c r="K126" i="26"/>
  <c r="X125" i="26"/>
  <c r="W125" i="26"/>
  <c r="V125" i="26"/>
  <c r="U125" i="26"/>
  <c r="T125" i="26"/>
  <c r="S125" i="26"/>
  <c r="Q125" i="26"/>
  <c r="O125" i="26"/>
  <c r="M125" i="26"/>
  <c r="K125" i="26"/>
  <c r="X124" i="26"/>
  <c r="W124" i="26"/>
  <c r="V124" i="26"/>
  <c r="U124" i="26"/>
  <c r="T124" i="26"/>
  <c r="S124" i="26"/>
  <c r="Q124" i="26"/>
  <c r="O124" i="26"/>
  <c r="M124" i="26"/>
  <c r="K124" i="26"/>
  <c r="X123" i="26"/>
  <c r="W123" i="26"/>
  <c r="V123" i="26"/>
  <c r="U123" i="26"/>
  <c r="T123" i="26"/>
  <c r="S123" i="26"/>
  <c r="Q123" i="26"/>
  <c r="O123" i="26"/>
  <c r="M123" i="26"/>
  <c r="K123" i="26"/>
  <c r="X122" i="26"/>
  <c r="W122" i="26"/>
  <c r="V122" i="26"/>
  <c r="U122" i="26"/>
  <c r="T122" i="26"/>
  <c r="S122" i="26"/>
  <c r="Q122" i="26"/>
  <c r="O122" i="26"/>
  <c r="M122" i="26"/>
  <c r="K122" i="26"/>
  <c r="X121" i="26"/>
  <c r="W121" i="26"/>
  <c r="V121" i="26"/>
  <c r="U121" i="26"/>
  <c r="T121" i="26"/>
  <c r="S121" i="26"/>
  <c r="Q121" i="26"/>
  <c r="O121" i="26"/>
  <c r="M121" i="26"/>
  <c r="K121" i="26"/>
  <c r="X120" i="26"/>
  <c r="W120" i="26"/>
  <c r="V120" i="26"/>
  <c r="U120" i="26"/>
  <c r="T120" i="26"/>
  <c r="S120" i="26"/>
  <c r="Q120" i="26"/>
  <c r="O120" i="26"/>
  <c r="M120" i="26"/>
  <c r="K120" i="26"/>
  <c r="X119" i="26"/>
  <c r="W119" i="26"/>
  <c r="V119" i="26"/>
  <c r="U119" i="26"/>
  <c r="T119" i="26"/>
  <c r="S119" i="26"/>
  <c r="Q119" i="26"/>
  <c r="O119" i="26"/>
  <c r="M119" i="26"/>
  <c r="K119" i="26"/>
  <c r="X118" i="26"/>
  <c r="W118" i="26"/>
  <c r="V118" i="26"/>
  <c r="U118" i="26"/>
  <c r="T118" i="26"/>
  <c r="S118" i="26"/>
  <c r="Q118" i="26"/>
  <c r="O118" i="26"/>
  <c r="M118" i="26"/>
  <c r="K118" i="26"/>
  <c r="X117" i="26"/>
  <c r="W117" i="26"/>
  <c r="V117" i="26"/>
  <c r="U117" i="26"/>
  <c r="T117" i="26"/>
  <c r="S117" i="26"/>
  <c r="Q117" i="26"/>
  <c r="O117" i="26"/>
  <c r="M117" i="26"/>
  <c r="K117" i="26"/>
  <c r="X116" i="26"/>
  <c r="W116" i="26"/>
  <c r="V116" i="26"/>
  <c r="U116" i="26"/>
  <c r="T116" i="26"/>
  <c r="S116" i="26"/>
  <c r="Q116" i="26"/>
  <c r="O116" i="26"/>
  <c r="M116" i="26"/>
  <c r="K116" i="26"/>
  <c r="X115" i="26"/>
  <c r="W115" i="26"/>
  <c r="V115" i="26"/>
  <c r="U115" i="26"/>
  <c r="T115" i="26"/>
  <c r="S115" i="26"/>
  <c r="Q115" i="26"/>
  <c r="O115" i="26"/>
  <c r="M115" i="26"/>
  <c r="K115" i="26"/>
  <c r="X114" i="26"/>
  <c r="W114" i="26"/>
  <c r="V114" i="26"/>
  <c r="U114" i="26"/>
  <c r="T114" i="26"/>
  <c r="S114" i="26"/>
  <c r="Q114" i="26"/>
  <c r="O114" i="26"/>
  <c r="M114" i="26"/>
  <c r="K114" i="26"/>
  <c r="X113" i="26"/>
  <c r="W113" i="26"/>
  <c r="V113" i="26"/>
  <c r="U113" i="26"/>
  <c r="T113" i="26"/>
  <c r="S113" i="26"/>
  <c r="Q113" i="26"/>
  <c r="O113" i="26"/>
  <c r="M113" i="26"/>
  <c r="K113" i="26"/>
  <c r="X112" i="26"/>
  <c r="W112" i="26"/>
  <c r="V112" i="26"/>
  <c r="U112" i="26"/>
  <c r="T112" i="26"/>
  <c r="S112" i="26"/>
  <c r="Q112" i="26"/>
  <c r="O112" i="26"/>
  <c r="M112" i="26"/>
  <c r="K112" i="26"/>
  <c r="X111" i="26"/>
  <c r="W111" i="26"/>
  <c r="V111" i="26"/>
  <c r="U111" i="26"/>
  <c r="T111" i="26"/>
  <c r="S111" i="26"/>
  <c r="Q111" i="26"/>
  <c r="O111" i="26"/>
  <c r="M111" i="26"/>
  <c r="K111" i="26"/>
  <c r="X110" i="26"/>
  <c r="W110" i="26"/>
  <c r="V110" i="26"/>
  <c r="U110" i="26"/>
  <c r="T110" i="26"/>
  <c r="S110" i="26"/>
  <c r="Q110" i="26"/>
  <c r="O110" i="26"/>
  <c r="M110" i="26"/>
  <c r="K110" i="26"/>
  <c r="X109" i="26"/>
  <c r="W109" i="26"/>
  <c r="V109" i="26"/>
  <c r="U109" i="26"/>
  <c r="T109" i="26"/>
  <c r="S109" i="26"/>
  <c r="Q109" i="26"/>
  <c r="O109" i="26"/>
  <c r="M109" i="26"/>
  <c r="K109" i="26"/>
  <c r="X108" i="26"/>
  <c r="W108" i="26"/>
  <c r="V108" i="26"/>
  <c r="U108" i="26"/>
  <c r="T108" i="26"/>
  <c r="S108" i="26"/>
  <c r="Q108" i="26"/>
  <c r="O108" i="26"/>
  <c r="M108" i="26"/>
  <c r="K108" i="26"/>
  <c r="X107" i="26"/>
  <c r="W107" i="26"/>
  <c r="V107" i="26"/>
  <c r="U107" i="26"/>
  <c r="T107" i="26"/>
  <c r="S107" i="26"/>
  <c r="Q107" i="26"/>
  <c r="O107" i="26"/>
  <c r="M107" i="26"/>
  <c r="K107" i="26"/>
  <c r="X106" i="26"/>
  <c r="W106" i="26"/>
  <c r="V106" i="26"/>
  <c r="U106" i="26"/>
  <c r="T106" i="26"/>
  <c r="S106" i="26"/>
  <c r="Q106" i="26"/>
  <c r="O106" i="26"/>
  <c r="M106" i="26"/>
  <c r="K106" i="26"/>
  <c r="X105" i="26"/>
  <c r="W105" i="26"/>
  <c r="V105" i="26"/>
  <c r="U105" i="26"/>
  <c r="T105" i="26"/>
  <c r="S105" i="26"/>
  <c r="Q105" i="26"/>
  <c r="O105" i="26"/>
  <c r="M105" i="26"/>
  <c r="K105" i="26"/>
  <c r="X104" i="26"/>
  <c r="W104" i="26"/>
  <c r="V104" i="26"/>
  <c r="U104" i="26"/>
  <c r="T104" i="26"/>
  <c r="S104" i="26"/>
  <c r="Q104" i="26"/>
  <c r="O104" i="26"/>
  <c r="M104" i="26"/>
  <c r="K104" i="26"/>
  <c r="X103" i="26"/>
  <c r="W103" i="26"/>
  <c r="V103" i="26"/>
  <c r="U103" i="26"/>
  <c r="T103" i="26"/>
  <c r="S103" i="26"/>
  <c r="Q103" i="26"/>
  <c r="O103" i="26"/>
  <c r="M103" i="26"/>
  <c r="K103" i="26"/>
  <c r="X102" i="26"/>
  <c r="W102" i="26"/>
  <c r="V102" i="26"/>
  <c r="U102" i="26"/>
  <c r="T102" i="26"/>
  <c r="S102" i="26"/>
  <c r="Q102" i="26"/>
  <c r="O102" i="26"/>
  <c r="M102" i="26"/>
  <c r="K102" i="26"/>
  <c r="X101" i="26"/>
  <c r="W101" i="26"/>
  <c r="V101" i="26"/>
  <c r="U101" i="26"/>
  <c r="T101" i="26"/>
  <c r="S101" i="26"/>
  <c r="Q101" i="26"/>
  <c r="O101" i="26"/>
  <c r="M101" i="26"/>
  <c r="K101" i="26"/>
  <c r="X100" i="26"/>
  <c r="W100" i="26"/>
  <c r="V100" i="26"/>
  <c r="U100" i="26"/>
  <c r="T100" i="26"/>
  <c r="S100" i="26"/>
  <c r="Q100" i="26"/>
  <c r="O100" i="26"/>
  <c r="M100" i="26"/>
  <c r="K100" i="26"/>
  <c r="X99" i="26"/>
  <c r="W99" i="26"/>
  <c r="V99" i="26"/>
  <c r="U99" i="26"/>
  <c r="T99" i="26"/>
  <c r="S99" i="26"/>
  <c r="Q99" i="26"/>
  <c r="O99" i="26"/>
  <c r="M99" i="26"/>
  <c r="K99" i="26"/>
  <c r="X98" i="26"/>
  <c r="W98" i="26"/>
  <c r="V98" i="26"/>
  <c r="U98" i="26"/>
  <c r="T98" i="26"/>
  <c r="S98" i="26"/>
  <c r="Q98" i="26"/>
  <c r="O98" i="26"/>
  <c r="M98" i="26"/>
  <c r="K98" i="26"/>
  <c r="X97" i="26"/>
  <c r="W97" i="26"/>
  <c r="V97" i="26"/>
  <c r="U97" i="26"/>
  <c r="T97" i="26"/>
  <c r="S97" i="26"/>
  <c r="Q97" i="26"/>
  <c r="O97" i="26"/>
  <c r="M97" i="26"/>
  <c r="K97" i="26"/>
  <c r="X96" i="26"/>
  <c r="W96" i="26"/>
  <c r="V96" i="26"/>
  <c r="U96" i="26"/>
  <c r="T96" i="26"/>
  <c r="S96" i="26"/>
  <c r="Q96" i="26"/>
  <c r="O96" i="26"/>
  <c r="M96" i="26"/>
  <c r="K96" i="26"/>
  <c r="X95" i="26"/>
  <c r="W95" i="26"/>
  <c r="V95" i="26"/>
  <c r="U95" i="26"/>
  <c r="T95" i="26"/>
  <c r="S95" i="26"/>
  <c r="Q95" i="26"/>
  <c r="O95" i="26"/>
  <c r="M95" i="26"/>
  <c r="K95" i="26"/>
  <c r="X94" i="26"/>
  <c r="W94" i="26"/>
  <c r="V94" i="26"/>
  <c r="U94" i="26"/>
  <c r="T94" i="26"/>
  <c r="S94" i="26"/>
  <c r="Q94" i="26"/>
  <c r="O94" i="26"/>
  <c r="M94" i="26"/>
  <c r="K94" i="26"/>
  <c r="X93" i="26"/>
  <c r="W93" i="26"/>
  <c r="V93" i="26"/>
  <c r="U93" i="26"/>
  <c r="T93" i="26"/>
  <c r="S93" i="26"/>
  <c r="Q93" i="26"/>
  <c r="O93" i="26"/>
  <c r="M93" i="26"/>
  <c r="K93" i="26"/>
  <c r="X92" i="26"/>
  <c r="W92" i="26"/>
  <c r="V92" i="26"/>
  <c r="U92" i="26"/>
  <c r="T92" i="26"/>
  <c r="S92" i="26"/>
  <c r="Q92" i="26"/>
  <c r="O92" i="26"/>
  <c r="M92" i="26"/>
  <c r="K92" i="26"/>
  <c r="X91" i="26"/>
  <c r="W91" i="26"/>
  <c r="V91" i="26"/>
  <c r="U91" i="26"/>
  <c r="T91" i="26"/>
  <c r="S91" i="26"/>
  <c r="Q91" i="26"/>
  <c r="O91" i="26"/>
  <c r="M91" i="26"/>
  <c r="K91" i="26"/>
  <c r="X90" i="26"/>
  <c r="W90" i="26"/>
  <c r="V90" i="26"/>
  <c r="U90" i="26"/>
  <c r="T90" i="26"/>
  <c r="S90" i="26"/>
  <c r="Q90" i="26"/>
  <c r="O90" i="26"/>
  <c r="M90" i="26"/>
  <c r="K90" i="26"/>
  <c r="X89" i="26"/>
  <c r="W89" i="26"/>
  <c r="V89" i="26"/>
  <c r="U89" i="26"/>
  <c r="T89" i="26"/>
  <c r="S89" i="26"/>
  <c r="Q89" i="26"/>
  <c r="O89" i="26"/>
  <c r="M89" i="26"/>
  <c r="K89" i="26"/>
  <c r="X88" i="26"/>
  <c r="W88" i="26"/>
  <c r="V88" i="26"/>
  <c r="U88" i="26"/>
  <c r="T88" i="26"/>
  <c r="S88" i="26"/>
  <c r="Q88" i="26"/>
  <c r="O88" i="26"/>
  <c r="M88" i="26"/>
  <c r="K88" i="26"/>
  <c r="X87" i="26"/>
  <c r="W87" i="26"/>
  <c r="V87" i="26"/>
  <c r="U87" i="26"/>
  <c r="T87" i="26"/>
  <c r="S87" i="26"/>
  <c r="Q87" i="26"/>
  <c r="O87" i="26"/>
  <c r="M87" i="26"/>
  <c r="K87" i="26"/>
  <c r="X86" i="26"/>
  <c r="W86" i="26"/>
  <c r="V86" i="26"/>
  <c r="U86" i="26"/>
  <c r="T86" i="26"/>
  <c r="S86" i="26"/>
  <c r="Q86" i="26"/>
  <c r="O86" i="26"/>
  <c r="M86" i="26"/>
  <c r="K86" i="26"/>
  <c r="X85" i="26"/>
  <c r="W85" i="26"/>
  <c r="V85" i="26"/>
  <c r="U85" i="26"/>
  <c r="T85" i="26"/>
  <c r="S85" i="26"/>
  <c r="Q85" i="26"/>
  <c r="O85" i="26"/>
  <c r="M85" i="26"/>
  <c r="K85" i="26"/>
  <c r="X84" i="26"/>
  <c r="W84" i="26"/>
  <c r="V84" i="26"/>
  <c r="U84" i="26"/>
  <c r="T84" i="26"/>
  <c r="S84" i="26"/>
  <c r="Q84" i="26"/>
  <c r="O84" i="26"/>
  <c r="M84" i="26"/>
  <c r="K84" i="26"/>
  <c r="X83" i="26"/>
  <c r="W83" i="26"/>
  <c r="V83" i="26"/>
  <c r="U83" i="26"/>
  <c r="T83" i="26"/>
  <c r="S83" i="26"/>
  <c r="Q83" i="26"/>
  <c r="O83" i="26"/>
  <c r="M83" i="26"/>
  <c r="K83" i="26"/>
  <c r="X82" i="26"/>
  <c r="W82" i="26"/>
  <c r="V82" i="26"/>
  <c r="U82" i="26"/>
  <c r="T82" i="26"/>
  <c r="S82" i="26"/>
  <c r="Q82" i="26"/>
  <c r="O82" i="26"/>
  <c r="M82" i="26"/>
  <c r="K82" i="26"/>
  <c r="X81" i="26"/>
  <c r="W81" i="26"/>
  <c r="V81" i="26"/>
  <c r="U81" i="26"/>
  <c r="T81" i="26"/>
  <c r="S81" i="26"/>
  <c r="Q81" i="26"/>
  <c r="O81" i="26"/>
  <c r="M81" i="26"/>
  <c r="K81" i="26"/>
  <c r="X80" i="26"/>
  <c r="W80" i="26"/>
  <c r="V80" i="26"/>
  <c r="U80" i="26"/>
  <c r="T80" i="26"/>
  <c r="S80" i="26"/>
  <c r="Q80" i="26"/>
  <c r="O80" i="26"/>
  <c r="M80" i="26"/>
  <c r="K80" i="26"/>
  <c r="X79" i="26"/>
  <c r="W79" i="26"/>
  <c r="V79" i="26"/>
  <c r="U79" i="26"/>
  <c r="T79" i="26"/>
  <c r="S79" i="26"/>
  <c r="Q79" i="26"/>
  <c r="O79" i="26"/>
  <c r="M79" i="26"/>
  <c r="K79" i="26"/>
  <c r="X78" i="26"/>
  <c r="W78" i="26"/>
  <c r="V78" i="26"/>
  <c r="U78" i="26"/>
  <c r="T78" i="26"/>
  <c r="S78" i="26"/>
  <c r="Q78" i="26"/>
  <c r="O78" i="26"/>
  <c r="M78" i="26"/>
  <c r="K78" i="26"/>
  <c r="X77" i="26"/>
  <c r="W77" i="26"/>
  <c r="V77" i="26"/>
  <c r="U77" i="26"/>
  <c r="T77" i="26"/>
  <c r="S77" i="26"/>
  <c r="Q77" i="26"/>
  <c r="O77" i="26"/>
  <c r="M77" i="26"/>
  <c r="K77" i="26"/>
  <c r="X76" i="26"/>
  <c r="W76" i="26"/>
  <c r="V76" i="26"/>
  <c r="U76" i="26"/>
  <c r="T76" i="26"/>
  <c r="S76" i="26"/>
  <c r="Q76" i="26"/>
  <c r="O76" i="26"/>
  <c r="M76" i="26"/>
  <c r="K76" i="26"/>
  <c r="X75" i="26"/>
  <c r="W75" i="26"/>
  <c r="V75" i="26"/>
  <c r="U75" i="26"/>
  <c r="T75" i="26"/>
  <c r="S75" i="26"/>
  <c r="Q75" i="26"/>
  <c r="O75" i="26"/>
  <c r="M75" i="26"/>
  <c r="K75" i="26"/>
  <c r="X74" i="26"/>
  <c r="W74" i="26"/>
  <c r="V74" i="26"/>
  <c r="U74" i="26"/>
  <c r="T74" i="26"/>
  <c r="S74" i="26"/>
  <c r="Q74" i="26"/>
  <c r="O74" i="26"/>
  <c r="M74" i="26"/>
  <c r="K74" i="26"/>
  <c r="X73" i="26"/>
  <c r="W73" i="26"/>
  <c r="V73" i="26"/>
  <c r="U73" i="26"/>
  <c r="T73" i="26"/>
  <c r="S73" i="26"/>
  <c r="Q73" i="26"/>
  <c r="O73" i="26"/>
  <c r="M73" i="26"/>
  <c r="K73" i="26"/>
  <c r="X72" i="26"/>
  <c r="W72" i="26"/>
  <c r="V72" i="26"/>
  <c r="U72" i="26"/>
  <c r="T72" i="26"/>
  <c r="S72" i="26"/>
  <c r="Q72" i="26"/>
  <c r="O72" i="26"/>
  <c r="M72" i="26"/>
  <c r="K72" i="26"/>
  <c r="X71" i="26"/>
  <c r="W71" i="26"/>
  <c r="V71" i="26"/>
  <c r="U71" i="26"/>
  <c r="T71" i="26"/>
  <c r="S71" i="26"/>
  <c r="Q71" i="26"/>
  <c r="O71" i="26"/>
  <c r="M71" i="26"/>
  <c r="K71" i="26"/>
  <c r="X70" i="26"/>
  <c r="W70" i="26"/>
  <c r="V70" i="26"/>
  <c r="U70" i="26"/>
  <c r="T70" i="26"/>
  <c r="S70" i="26"/>
  <c r="Q70" i="26"/>
  <c r="O70" i="26"/>
  <c r="M70" i="26"/>
  <c r="K70" i="26"/>
  <c r="X69" i="26"/>
  <c r="W69" i="26"/>
  <c r="V69" i="26"/>
  <c r="U69" i="26"/>
  <c r="T69" i="26"/>
  <c r="S69" i="26"/>
  <c r="Q69" i="26"/>
  <c r="O69" i="26"/>
  <c r="M69" i="26"/>
  <c r="K69" i="26"/>
  <c r="X68" i="26"/>
  <c r="W68" i="26"/>
  <c r="V68" i="26"/>
  <c r="U68" i="26"/>
  <c r="T68" i="26"/>
  <c r="S68" i="26"/>
  <c r="Q68" i="26"/>
  <c r="O68" i="26"/>
  <c r="M68" i="26"/>
  <c r="K68" i="26"/>
  <c r="X67" i="26"/>
  <c r="W67" i="26"/>
  <c r="V67" i="26"/>
  <c r="U67" i="26"/>
  <c r="T67" i="26"/>
  <c r="S67" i="26"/>
  <c r="Q67" i="26"/>
  <c r="O67" i="26"/>
  <c r="M67" i="26"/>
  <c r="K67" i="26"/>
  <c r="X66" i="26"/>
  <c r="W66" i="26"/>
  <c r="V66" i="26"/>
  <c r="U66" i="26"/>
  <c r="T66" i="26"/>
  <c r="S66" i="26"/>
  <c r="Q66" i="26"/>
  <c r="O66" i="26"/>
  <c r="M66" i="26"/>
  <c r="K66" i="26"/>
  <c r="X65" i="26"/>
  <c r="W65" i="26"/>
  <c r="V65" i="26"/>
  <c r="U65" i="26"/>
  <c r="T65" i="26"/>
  <c r="S65" i="26"/>
  <c r="Q65" i="26"/>
  <c r="O65" i="26"/>
  <c r="M65" i="26"/>
  <c r="K65" i="26"/>
  <c r="X64" i="26"/>
  <c r="W64" i="26"/>
  <c r="V64" i="26"/>
  <c r="U64" i="26"/>
  <c r="T64" i="26"/>
  <c r="S64" i="26"/>
  <c r="Q64" i="26"/>
  <c r="O64" i="26"/>
  <c r="M64" i="26"/>
  <c r="K64" i="26"/>
  <c r="X63" i="26"/>
  <c r="W63" i="26"/>
  <c r="V63" i="26"/>
  <c r="U63" i="26"/>
  <c r="T63" i="26"/>
  <c r="S63" i="26"/>
  <c r="Q63" i="26"/>
  <c r="O63" i="26"/>
  <c r="M63" i="26"/>
  <c r="K63" i="26"/>
  <c r="X62" i="26"/>
  <c r="W62" i="26"/>
  <c r="V62" i="26"/>
  <c r="U62" i="26"/>
  <c r="T62" i="26"/>
  <c r="S62" i="26"/>
  <c r="Q62" i="26"/>
  <c r="O62" i="26"/>
  <c r="M62" i="26"/>
  <c r="K62" i="26"/>
  <c r="X61" i="26"/>
  <c r="W61" i="26"/>
  <c r="V61" i="26"/>
  <c r="U61" i="26"/>
  <c r="T61" i="26"/>
  <c r="S61" i="26"/>
  <c r="Q61" i="26"/>
  <c r="O61" i="26"/>
  <c r="M61" i="26"/>
  <c r="K61" i="26"/>
  <c r="X60" i="26"/>
  <c r="W60" i="26"/>
  <c r="V60" i="26"/>
  <c r="U60" i="26"/>
  <c r="T60" i="26"/>
  <c r="S60" i="26"/>
  <c r="Q60" i="26"/>
  <c r="O60" i="26"/>
  <c r="M60" i="26"/>
  <c r="K60" i="26"/>
  <c r="X59" i="26"/>
  <c r="W59" i="26"/>
  <c r="V59" i="26"/>
  <c r="U59" i="26"/>
  <c r="T59" i="26"/>
  <c r="S59" i="26"/>
  <c r="Q59" i="26"/>
  <c r="O59" i="26"/>
  <c r="M59" i="26"/>
  <c r="K59" i="26"/>
  <c r="X58" i="26"/>
  <c r="W58" i="26"/>
  <c r="V58" i="26"/>
  <c r="U58" i="26"/>
  <c r="T58" i="26"/>
  <c r="S58" i="26"/>
  <c r="Q58" i="26"/>
  <c r="O58" i="26"/>
  <c r="M58" i="26"/>
  <c r="K58" i="26"/>
  <c r="X57" i="26"/>
  <c r="W57" i="26"/>
  <c r="V57" i="26"/>
  <c r="U57" i="26"/>
  <c r="T57" i="26"/>
  <c r="S57" i="26"/>
  <c r="Q57" i="26"/>
  <c r="O57" i="26"/>
  <c r="M57" i="26"/>
  <c r="K57" i="26"/>
  <c r="X56" i="26"/>
  <c r="W56" i="26"/>
  <c r="V56" i="26"/>
  <c r="U56" i="26"/>
  <c r="T56" i="26"/>
  <c r="S56" i="26"/>
  <c r="Q56" i="26"/>
  <c r="O56" i="26"/>
  <c r="M56" i="26"/>
  <c r="K56" i="26"/>
  <c r="X55" i="26"/>
  <c r="W55" i="26"/>
  <c r="V55" i="26"/>
  <c r="U55" i="26"/>
  <c r="T55" i="26"/>
  <c r="S55" i="26"/>
  <c r="Q55" i="26"/>
  <c r="O55" i="26"/>
  <c r="M55" i="26"/>
  <c r="K55" i="26"/>
  <c r="X54" i="26"/>
  <c r="W54" i="26"/>
  <c r="V54" i="26"/>
  <c r="U54" i="26"/>
  <c r="T54" i="26"/>
  <c r="S54" i="26"/>
  <c r="Q54" i="26"/>
  <c r="O54" i="26"/>
  <c r="M54" i="26"/>
  <c r="K54" i="26"/>
  <c r="X53" i="26"/>
  <c r="W53" i="26"/>
  <c r="V53" i="26"/>
  <c r="U53" i="26"/>
  <c r="T53" i="26"/>
  <c r="S53" i="26"/>
  <c r="Q53" i="26"/>
  <c r="O53" i="26"/>
  <c r="M53" i="26"/>
  <c r="K53" i="26"/>
  <c r="X52" i="26"/>
  <c r="W52" i="26"/>
  <c r="V52" i="26"/>
  <c r="U52" i="26"/>
  <c r="T52" i="26"/>
  <c r="S52" i="26"/>
  <c r="Q52" i="26"/>
  <c r="O52" i="26"/>
  <c r="M52" i="26"/>
  <c r="K52" i="26"/>
  <c r="X51" i="26"/>
  <c r="W51" i="26"/>
  <c r="V51" i="26"/>
  <c r="U51" i="26"/>
  <c r="T51" i="26"/>
  <c r="S51" i="26"/>
  <c r="Q51" i="26"/>
  <c r="O51" i="26"/>
  <c r="M51" i="26"/>
  <c r="K51" i="26"/>
  <c r="X50" i="26"/>
  <c r="W50" i="26"/>
  <c r="V50" i="26"/>
  <c r="U50" i="26"/>
  <c r="T50" i="26"/>
  <c r="S50" i="26"/>
  <c r="Q50" i="26"/>
  <c r="O50" i="26"/>
  <c r="M50" i="26"/>
  <c r="K50" i="26"/>
  <c r="X49" i="26"/>
  <c r="W49" i="26"/>
  <c r="V49" i="26"/>
  <c r="U49" i="26"/>
  <c r="T49" i="26"/>
  <c r="S49" i="26"/>
  <c r="Q49" i="26"/>
  <c r="O49" i="26"/>
  <c r="M49" i="26"/>
  <c r="K49" i="26"/>
  <c r="X48" i="26"/>
  <c r="W48" i="26"/>
  <c r="V48" i="26"/>
  <c r="U48" i="26"/>
  <c r="T48" i="26"/>
  <c r="S48" i="26"/>
  <c r="Q48" i="26"/>
  <c r="O48" i="26"/>
  <c r="M48" i="26"/>
  <c r="K48" i="26"/>
  <c r="X47" i="26"/>
  <c r="W47" i="26"/>
  <c r="V47" i="26"/>
  <c r="U47" i="26"/>
  <c r="T47" i="26"/>
  <c r="S47" i="26"/>
  <c r="Q47" i="26"/>
  <c r="O47" i="26"/>
  <c r="M47" i="26"/>
  <c r="K47" i="26"/>
  <c r="X46" i="26"/>
  <c r="W46" i="26"/>
  <c r="V46" i="26"/>
  <c r="U46" i="26"/>
  <c r="T46" i="26"/>
  <c r="S46" i="26"/>
  <c r="Q46" i="26"/>
  <c r="O46" i="26"/>
  <c r="M46" i="26"/>
  <c r="K46" i="26"/>
  <c r="X45" i="26"/>
  <c r="W45" i="26"/>
  <c r="V45" i="26"/>
  <c r="U45" i="26"/>
  <c r="T45" i="26"/>
  <c r="S45" i="26"/>
  <c r="Q45" i="26"/>
  <c r="O45" i="26"/>
  <c r="M45" i="26"/>
  <c r="K45" i="26"/>
  <c r="X44" i="26"/>
  <c r="W44" i="26"/>
  <c r="V44" i="26"/>
  <c r="U44" i="26"/>
  <c r="T44" i="26"/>
  <c r="S44" i="26"/>
  <c r="Q44" i="26"/>
  <c r="O44" i="26"/>
  <c r="M44" i="26"/>
  <c r="K44" i="26"/>
  <c r="X43" i="26"/>
  <c r="W43" i="26"/>
  <c r="V43" i="26"/>
  <c r="U43" i="26"/>
  <c r="T43" i="26"/>
  <c r="S43" i="26"/>
  <c r="Q43" i="26"/>
  <c r="O43" i="26"/>
  <c r="M43" i="26"/>
  <c r="K43" i="26"/>
  <c r="X42" i="26"/>
  <c r="W42" i="26"/>
  <c r="V42" i="26"/>
  <c r="U42" i="26"/>
  <c r="T42" i="26"/>
  <c r="S42" i="26"/>
  <c r="Q42" i="26"/>
  <c r="O42" i="26"/>
  <c r="M42" i="26"/>
  <c r="K42" i="26"/>
  <c r="X41" i="26"/>
  <c r="W41" i="26"/>
  <c r="V41" i="26"/>
  <c r="U41" i="26"/>
  <c r="T41" i="26"/>
  <c r="S41" i="26"/>
  <c r="Q41" i="26"/>
  <c r="O41" i="26"/>
  <c r="M41" i="26"/>
  <c r="K41" i="26"/>
  <c r="X40" i="26"/>
  <c r="W40" i="26"/>
  <c r="V40" i="26"/>
  <c r="U40" i="26"/>
  <c r="T40" i="26"/>
  <c r="S40" i="26"/>
  <c r="Q40" i="26"/>
  <c r="O40" i="26"/>
  <c r="M40" i="26"/>
  <c r="K40" i="26"/>
  <c r="X39" i="26"/>
  <c r="W39" i="26"/>
  <c r="V39" i="26"/>
  <c r="U39" i="26"/>
  <c r="T39" i="26"/>
  <c r="S39" i="26"/>
  <c r="Q39" i="26"/>
  <c r="O39" i="26"/>
  <c r="M39" i="26"/>
  <c r="K39" i="26"/>
  <c r="X38" i="26"/>
  <c r="W38" i="26"/>
  <c r="V38" i="26"/>
  <c r="U38" i="26"/>
  <c r="T38" i="26"/>
  <c r="S38" i="26"/>
  <c r="Q38" i="26"/>
  <c r="O38" i="26"/>
  <c r="M38" i="26"/>
  <c r="K38" i="26"/>
  <c r="X37" i="26"/>
  <c r="W37" i="26"/>
  <c r="V37" i="26"/>
  <c r="U37" i="26"/>
  <c r="T37" i="26"/>
  <c r="S37" i="26"/>
  <c r="Q37" i="26"/>
  <c r="O37" i="26"/>
  <c r="M37" i="26"/>
  <c r="K37" i="26"/>
  <c r="X36" i="26"/>
  <c r="W36" i="26"/>
  <c r="V36" i="26"/>
  <c r="U36" i="26"/>
  <c r="T36" i="26"/>
  <c r="S36" i="26"/>
  <c r="Q36" i="26"/>
  <c r="O36" i="26"/>
  <c r="M36" i="26"/>
  <c r="K36" i="26"/>
  <c r="X35" i="26"/>
  <c r="W35" i="26"/>
  <c r="V35" i="26"/>
  <c r="U35" i="26"/>
  <c r="T35" i="26"/>
  <c r="S35" i="26"/>
  <c r="Q35" i="26"/>
  <c r="O35" i="26"/>
  <c r="M35" i="26"/>
  <c r="K35" i="26"/>
  <c r="X34" i="26"/>
  <c r="W34" i="26"/>
  <c r="V34" i="26"/>
  <c r="U34" i="26"/>
  <c r="T34" i="26"/>
  <c r="S34" i="26"/>
  <c r="Q34" i="26"/>
  <c r="O34" i="26"/>
  <c r="M34" i="26"/>
  <c r="K34" i="26"/>
  <c r="X33" i="26"/>
  <c r="W33" i="26"/>
  <c r="V33" i="26"/>
  <c r="U33" i="26"/>
  <c r="T33" i="26"/>
  <c r="S33" i="26"/>
  <c r="Q33" i="26"/>
  <c r="O33" i="26"/>
  <c r="M33" i="26"/>
  <c r="K33" i="26"/>
  <c r="X32" i="26"/>
  <c r="W32" i="26"/>
  <c r="V32" i="26"/>
  <c r="U32" i="26"/>
  <c r="T32" i="26"/>
  <c r="S32" i="26"/>
  <c r="Q32" i="26"/>
  <c r="O32" i="26"/>
  <c r="M32" i="26"/>
  <c r="K32" i="26"/>
  <c r="X31" i="26"/>
  <c r="W31" i="26"/>
  <c r="V31" i="26"/>
  <c r="U31" i="26"/>
  <c r="T31" i="26"/>
  <c r="S31" i="26"/>
  <c r="Q31" i="26"/>
  <c r="O31" i="26"/>
  <c r="M31" i="26"/>
  <c r="K31" i="26"/>
  <c r="X30" i="26"/>
  <c r="W30" i="26"/>
  <c r="V30" i="26"/>
  <c r="U30" i="26"/>
  <c r="T30" i="26"/>
  <c r="S30" i="26"/>
  <c r="Q30" i="26"/>
  <c r="O30" i="26"/>
  <c r="M30" i="26"/>
  <c r="K30" i="26"/>
  <c r="X29" i="26"/>
  <c r="W29" i="26"/>
  <c r="V29" i="26"/>
  <c r="U29" i="26"/>
  <c r="T29" i="26"/>
  <c r="S29" i="26"/>
  <c r="Q29" i="26"/>
  <c r="O29" i="26"/>
  <c r="M29" i="26"/>
  <c r="K29" i="26"/>
  <c r="X28" i="26"/>
  <c r="W28" i="26"/>
  <c r="V28" i="26"/>
  <c r="U28" i="26"/>
  <c r="T28" i="26"/>
  <c r="S28" i="26"/>
  <c r="Q28" i="26"/>
  <c r="O28" i="26"/>
  <c r="M28" i="26"/>
  <c r="K28" i="26"/>
  <c r="X27" i="26"/>
  <c r="W27" i="26"/>
  <c r="V27" i="26"/>
  <c r="U27" i="26"/>
  <c r="T27" i="26"/>
  <c r="S27" i="26"/>
  <c r="Q27" i="26"/>
  <c r="O27" i="26"/>
  <c r="M27" i="26"/>
  <c r="K27" i="26"/>
  <c r="X26" i="26"/>
  <c r="W26" i="26"/>
  <c r="V26" i="26"/>
  <c r="U26" i="26"/>
  <c r="T26" i="26"/>
  <c r="S26" i="26"/>
  <c r="Q26" i="26"/>
  <c r="O26" i="26"/>
  <c r="M26" i="26"/>
  <c r="K26" i="26"/>
  <c r="X25" i="26"/>
  <c r="W25" i="26"/>
  <c r="V25" i="26"/>
  <c r="U25" i="26"/>
  <c r="T25" i="26"/>
  <c r="S25" i="26"/>
  <c r="Q25" i="26"/>
  <c r="O25" i="26"/>
  <c r="M25" i="26"/>
  <c r="K25" i="26"/>
  <c r="X24" i="26"/>
  <c r="W24" i="26"/>
  <c r="V24" i="26"/>
  <c r="U24" i="26"/>
  <c r="T24" i="26"/>
  <c r="S24" i="26"/>
  <c r="Q24" i="26"/>
  <c r="O24" i="26"/>
  <c r="M24" i="26"/>
  <c r="K24" i="26"/>
  <c r="X23" i="26"/>
  <c r="W23" i="26"/>
  <c r="V23" i="26"/>
  <c r="U23" i="26"/>
  <c r="T23" i="26"/>
  <c r="S23" i="26"/>
  <c r="Q23" i="26"/>
  <c r="O23" i="26"/>
  <c r="M23" i="26"/>
  <c r="K23" i="26"/>
  <c r="X22" i="26"/>
  <c r="W22" i="26"/>
  <c r="V22" i="26"/>
  <c r="U22" i="26"/>
  <c r="T22" i="26"/>
  <c r="S22" i="26"/>
  <c r="Q22" i="26"/>
  <c r="O22" i="26"/>
  <c r="M22" i="26"/>
  <c r="K22" i="26"/>
  <c r="X21" i="26"/>
  <c r="W21" i="26"/>
  <c r="V21" i="26"/>
  <c r="U21" i="26"/>
  <c r="T21" i="26"/>
  <c r="S21" i="26"/>
  <c r="Q21" i="26"/>
  <c r="O21" i="26"/>
  <c r="M21" i="26"/>
  <c r="K21" i="26"/>
  <c r="X20" i="26"/>
  <c r="W20" i="26"/>
  <c r="V20" i="26"/>
  <c r="U20" i="26"/>
  <c r="T20" i="26"/>
  <c r="S20" i="26"/>
  <c r="Q20" i="26"/>
  <c r="O20" i="26"/>
  <c r="M20" i="26"/>
  <c r="K20" i="26"/>
  <c r="X19" i="26"/>
  <c r="W19" i="26"/>
  <c r="V19" i="26"/>
  <c r="U19" i="26"/>
  <c r="T19" i="26"/>
  <c r="S19" i="26"/>
  <c r="Q19" i="26"/>
  <c r="O19" i="26"/>
  <c r="M19" i="26"/>
  <c r="K19" i="26"/>
  <c r="X18" i="26"/>
  <c r="W18" i="26"/>
  <c r="V18" i="26"/>
  <c r="U18" i="26"/>
  <c r="T18" i="26"/>
  <c r="S18" i="26"/>
  <c r="Q18" i="26"/>
  <c r="O18" i="26"/>
  <c r="M18" i="26"/>
  <c r="K18" i="26"/>
  <c r="X17" i="26"/>
  <c r="W17" i="26"/>
  <c r="V17" i="26"/>
  <c r="U17" i="26"/>
  <c r="T17" i="26"/>
  <c r="S17" i="26"/>
  <c r="Q17" i="26"/>
  <c r="O17" i="26"/>
  <c r="M17" i="26"/>
  <c r="K17" i="26"/>
  <c r="X16" i="26"/>
  <c r="W16" i="26"/>
  <c r="V16" i="26"/>
  <c r="U16" i="26"/>
  <c r="T16" i="26"/>
  <c r="S16" i="26"/>
  <c r="Q16" i="26"/>
  <c r="O16" i="26"/>
  <c r="M16" i="26"/>
  <c r="K16" i="26"/>
  <c r="X15" i="26"/>
  <c r="W15" i="26"/>
  <c r="V15" i="26"/>
  <c r="U15" i="26"/>
  <c r="T15" i="26"/>
  <c r="S15" i="26"/>
  <c r="Q15" i="26"/>
  <c r="O15" i="26"/>
  <c r="M15" i="26"/>
  <c r="K15" i="26"/>
  <c r="X14" i="26"/>
  <c r="W14" i="26"/>
  <c r="V14" i="26"/>
  <c r="U14" i="26"/>
  <c r="T14" i="26"/>
  <c r="S14" i="26"/>
  <c r="Q14" i="26"/>
  <c r="O14" i="26"/>
  <c r="M14" i="26"/>
  <c r="K14" i="26"/>
  <c r="X13" i="26"/>
  <c r="W13" i="26"/>
  <c r="V13" i="26"/>
  <c r="U13" i="26"/>
  <c r="T13" i="26"/>
  <c r="S13" i="26"/>
  <c r="Q13" i="26"/>
  <c r="O13" i="26"/>
  <c r="M13" i="26"/>
  <c r="K13" i="26"/>
  <c r="X12" i="26"/>
  <c r="W12" i="26"/>
  <c r="V12" i="26"/>
  <c r="U12" i="26"/>
  <c r="T12" i="26"/>
  <c r="S12" i="26"/>
  <c r="Q12" i="26"/>
  <c r="O12" i="26"/>
  <c r="M12" i="26"/>
  <c r="K12" i="26"/>
  <c r="X11" i="26"/>
  <c r="W11" i="26"/>
  <c r="V11" i="26"/>
  <c r="U11" i="26"/>
  <c r="T11" i="26"/>
  <c r="S11" i="26"/>
  <c r="Q11" i="26"/>
  <c r="O11" i="26"/>
  <c r="M11" i="26"/>
  <c r="K11" i="26"/>
  <c r="X10" i="26"/>
  <c r="W10" i="26"/>
  <c r="V10" i="26"/>
  <c r="U10" i="26"/>
  <c r="T10" i="26"/>
  <c r="S10" i="26"/>
  <c r="Q10" i="26"/>
  <c r="O10" i="26"/>
  <c r="M10" i="26"/>
  <c r="K10" i="26"/>
  <c r="X9" i="26"/>
  <c r="W9" i="26"/>
  <c r="V9" i="26"/>
  <c r="U9" i="26"/>
  <c r="T9" i="26"/>
  <c r="S9" i="26"/>
  <c r="Q9" i="26"/>
  <c r="O9" i="26"/>
  <c r="M9" i="26"/>
  <c r="K9" i="26"/>
  <c r="X8" i="26"/>
  <c r="W8" i="26"/>
  <c r="V8" i="26"/>
  <c r="U8" i="26"/>
  <c r="T8" i="26"/>
  <c r="S8" i="26"/>
  <c r="Q8" i="26"/>
  <c r="O8" i="26"/>
  <c r="M8" i="26"/>
  <c r="K8" i="26"/>
  <c r="X7" i="26"/>
  <c r="W7" i="26"/>
  <c r="V7" i="26"/>
  <c r="U7" i="26"/>
  <c r="T7" i="26"/>
  <c r="S7" i="26"/>
  <c r="Q7" i="26"/>
  <c r="O7" i="26"/>
  <c r="M7" i="26"/>
  <c r="K7" i="26"/>
  <c r="X316" i="25"/>
  <c r="W316" i="25"/>
  <c r="V316" i="25"/>
  <c r="U316" i="25"/>
  <c r="T316" i="25"/>
  <c r="S316" i="25"/>
  <c r="Q316" i="25"/>
  <c r="O316" i="25"/>
  <c r="M316" i="25"/>
  <c r="K316" i="25"/>
  <c r="X315" i="25"/>
  <c r="W315" i="25"/>
  <c r="V315" i="25"/>
  <c r="U315" i="25"/>
  <c r="T315" i="25"/>
  <c r="S315" i="25"/>
  <c r="Q315" i="25"/>
  <c r="O315" i="25"/>
  <c r="M315" i="25"/>
  <c r="K315" i="25"/>
  <c r="X314" i="25"/>
  <c r="W314" i="25"/>
  <c r="V314" i="25"/>
  <c r="U314" i="25"/>
  <c r="T314" i="25"/>
  <c r="S314" i="25"/>
  <c r="Q314" i="25"/>
  <c r="O314" i="25"/>
  <c r="M314" i="25"/>
  <c r="K314" i="25"/>
  <c r="X313" i="25"/>
  <c r="W313" i="25"/>
  <c r="V313" i="25"/>
  <c r="U313" i="25"/>
  <c r="T313" i="25"/>
  <c r="S313" i="25"/>
  <c r="Q313" i="25"/>
  <c r="O313" i="25"/>
  <c r="M313" i="25"/>
  <c r="K313" i="25"/>
  <c r="X312" i="25"/>
  <c r="W312" i="25"/>
  <c r="V312" i="25"/>
  <c r="U312" i="25"/>
  <c r="T312" i="25"/>
  <c r="S312" i="25"/>
  <c r="Q312" i="25"/>
  <c r="O312" i="25"/>
  <c r="M312" i="25"/>
  <c r="K312" i="25"/>
  <c r="X311" i="25"/>
  <c r="W311" i="25"/>
  <c r="V311" i="25"/>
  <c r="U311" i="25"/>
  <c r="T311" i="25"/>
  <c r="S311" i="25"/>
  <c r="Q311" i="25"/>
  <c r="O311" i="25"/>
  <c r="M311" i="25"/>
  <c r="K311" i="25"/>
  <c r="X310" i="25"/>
  <c r="W310" i="25"/>
  <c r="V310" i="25"/>
  <c r="U310" i="25"/>
  <c r="T310" i="25"/>
  <c r="S310" i="25"/>
  <c r="Q310" i="25"/>
  <c r="O310" i="25"/>
  <c r="M310" i="25"/>
  <c r="K310" i="25"/>
  <c r="X309" i="25"/>
  <c r="W309" i="25"/>
  <c r="V309" i="25"/>
  <c r="U309" i="25"/>
  <c r="T309" i="25"/>
  <c r="S309" i="25"/>
  <c r="Q309" i="25"/>
  <c r="O309" i="25"/>
  <c r="M309" i="25"/>
  <c r="K309" i="25"/>
  <c r="X308" i="25"/>
  <c r="W308" i="25"/>
  <c r="V308" i="25"/>
  <c r="U308" i="25"/>
  <c r="T308" i="25"/>
  <c r="S308" i="25"/>
  <c r="Q308" i="25"/>
  <c r="O308" i="25"/>
  <c r="M308" i="25"/>
  <c r="K308" i="25"/>
  <c r="X307" i="25"/>
  <c r="W307" i="25"/>
  <c r="V307" i="25"/>
  <c r="U307" i="25"/>
  <c r="T307" i="25"/>
  <c r="S307" i="25"/>
  <c r="Q307" i="25"/>
  <c r="O307" i="25"/>
  <c r="M307" i="25"/>
  <c r="K307" i="25"/>
  <c r="X306" i="25"/>
  <c r="W306" i="25"/>
  <c r="V306" i="25"/>
  <c r="U306" i="25"/>
  <c r="T306" i="25"/>
  <c r="S306" i="25"/>
  <c r="Q306" i="25"/>
  <c r="O306" i="25"/>
  <c r="M306" i="25"/>
  <c r="K306" i="25"/>
  <c r="X305" i="25"/>
  <c r="W305" i="25"/>
  <c r="V305" i="25"/>
  <c r="U305" i="25"/>
  <c r="T305" i="25"/>
  <c r="S305" i="25"/>
  <c r="Q305" i="25"/>
  <c r="O305" i="25"/>
  <c r="M305" i="25"/>
  <c r="K305" i="25"/>
  <c r="X304" i="25"/>
  <c r="W304" i="25"/>
  <c r="V304" i="25"/>
  <c r="U304" i="25"/>
  <c r="T304" i="25"/>
  <c r="S304" i="25"/>
  <c r="Q304" i="25"/>
  <c r="O304" i="25"/>
  <c r="M304" i="25"/>
  <c r="K304" i="25"/>
  <c r="X303" i="25"/>
  <c r="W303" i="25"/>
  <c r="V303" i="25"/>
  <c r="U303" i="25"/>
  <c r="T303" i="25"/>
  <c r="S303" i="25"/>
  <c r="Q303" i="25"/>
  <c r="O303" i="25"/>
  <c r="M303" i="25"/>
  <c r="K303" i="25"/>
  <c r="X302" i="25"/>
  <c r="W302" i="25"/>
  <c r="V302" i="25"/>
  <c r="U302" i="25"/>
  <c r="T302" i="25"/>
  <c r="S302" i="25"/>
  <c r="Q302" i="25"/>
  <c r="O302" i="25"/>
  <c r="M302" i="25"/>
  <c r="K302" i="25"/>
  <c r="X301" i="25"/>
  <c r="W301" i="25"/>
  <c r="V301" i="25"/>
  <c r="U301" i="25"/>
  <c r="T301" i="25"/>
  <c r="S301" i="25"/>
  <c r="Q301" i="25"/>
  <c r="O301" i="25"/>
  <c r="M301" i="25"/>
  <c r="K301" i="25"/>
  <c r="X300" i="25"/>
  <c r="W300" i="25"/>
  <c r="V300" i="25"/>
  <c r="U300" i="25"/>
  <c r="T300" i="25"/>
  <c r="S300" i="25"/>
  <c r="Q300" i="25"/>
  <c r="O300" i="25"/>
  <c r="M300" i="25"/>
  <c r="K300" i="25"/>
  <c r="X299" i="25"/>
  <c r="W299" i="25"/>
  <c r="V299" i="25"/>
  <c r="U299" i="25"/>
  <c r="T299" i="25"/>
  <c r="S299" i="25"/>
  <c r="Q299" i="25"/>
  <c r="O299" i="25"/>
  <c r="M299" i="25"/>
  <c r="K299" i="25"/>
  <c r="X298" i="25"/>
  <c r="W298" i="25"/>
  <c r="V298" i="25"/>
  <c r="U298" i="25"/>
  <c r="T298" i="25"/>
  <c r="S298" i="25"/>
  <c r="Q298" i="25"/>
  <c r="O298" i="25"/>
  <c r="M298" i="25"/>
  <c r="K298" i="25"/>
  <c r="X297" i="25"/>
  <c r="W297" i="25"/>
  <c r="V297" i="25"/>
  <c r="U297" i="25"/>
  <c r="T297" i="25"/>
  <c r="S297" i="25"/>
  <c r="Q297" i="25"/>
  <c r="O297" i="25"/>
  <c r="M297" i="25"/>
  <c r="K297" i="25"/>
  <c r="X296" i="25"/>
  <c r="W296" i="25"/>
  <c r="V296" i="25"/>
  <c r="U296" i="25"/>
  <c r="T296" i="25"/>
  <c r="S296" i="25"/>
  <c r="Q296" i="25"/>
  <c r="O296" i="25"/>
  <c r="M296" i="25"/>
  <c r="K296" i="25"/>
  <c r="X295" i="25"/>
  <c r="W295" i="25"/>
  <c r="V295" i="25"/>
  <c r="U295" i="25"/>
  <c r="T295" i="25"/>
  <c r="S295" i="25"/>
  <c r="Q295" i="25"/>
  <c r="O295" i="25"/>
  <c r="M295" i="25"/>
  <c r="K295" i="25"/>
  <c r="X294" i="25"/>
  <c r="W294" i="25"/>
  <c r="V294" i="25"/>
  <c r="U294" i="25"/>
  <c r="T294" i="25"/>
  <c r="S294" i="25"/>
  <c r="Q294" i="25"/>
  <c r="O294" i="25"/>
  <c r="M294" i="25"/>
  <c r="K294" i="25"/>
  <c r="X293" i="25"/>
  <c r="W293" i="25"/>
  <c r="V293" i="25"/>
  <c r="U293" i="25"/>
  <c r="T293" i="25"/>
  <c r="S293" i="25"/>
  <c r="Q293" i="25"/>
  <c r="O293" i="25"/>
  <c r="M293" i="25"/>
  <c r="K293" i="25"/>
  <c r="X292" i="25"/>
  <c r="W292" i="25"/>
  <c r="V292" i="25"/>
  <c r="U292" i="25"/>
  <c r="T292" i="25"/>
  <c r="S292" i="25"/>
  <c r="Q292" i="25"/>
  <c r="O292" i="25"/>
  <c r="M292" i="25"/>
  <c r="K292" i="25"/>
  <c r="X291" i="25"/>
  <c r="W291" i="25"/>
  <c r="V291" i="25"/>
  <c r="U291" i="25"/>
  <c r="T291" i="25"/>
  <c r="S291" i="25"/>
  <c r="Q291" i="25"/>
  <c r="O291" i="25"/>
  <c r="M291" i="25"/>
  <c r="K291" i="25"/>
  <c r="X290" i="25"/>
  <c r="W290" i="25"/>
  <c r="V290" i="25"/>
  <c r="U290" i="25"/>
  <c r="T290" i="25"/>
  <c r="S290" i="25"/>
  <c r="Q290" i="25"/>
  <c r="O290" i="25"/>
  <c r="M290" i="25"/>
  <c r="K290" i="25"/>
  <c r="X289" i="25"/>
  <c r="W289" i="25"/>
  <c r="V289" i="25"/>
  <c r="U289" i="25"/>
  <c r="T289" i="25"/>
  <c r="S289" i="25"/>
  <c r="Q289" i="25"/>
  <c r="O289" i="25"/>
  <c r="M289" i="25"/>
  <c r="K289" i="25"/>
  <c r="X288" i="25"/>
  <c r="W288" i="25"/>
  <c r="V288" i="25"/>
  <c r="U288" i="25"/>
  <c r="T288" i="25"/>
  <c r="S288" i="25"/>
  <c r="Q288" i="25"/>
  <c r="O288" i="25"/>
  <c r="M288" i="25"/>
  <c r="K288" i="25"/>
  <c r="X287" i="25"/>
  <c r="W287" i="25"/>
  <c r="V287" i="25"/>
  <c r="U287" i="25"/>
  <c r="T287" i="25"/>
  <c r="S287" i="25"/>
  <c r="Q287" i="25"/>
  <c r="O287" i="25"/>
  <c r="M287" i="25"/>
  <c r="K287" i="25"/>
  <c r="X286" i="25"/>
  <c r="W286" i="25"/>
  <c r="V286" i="25"/>
  <c r="U286" i="25"/>
  <c r="T286" i="25"/>
  <c r="S286" i="25"/>
  <c r="Q286" i="25"/>
  <c r="O286" i="25"/>
  <c r="M286" i="25"/>
  <c r="K286" i="25"/>
  <c r="X285" i="25"/>
  <c r="W285" i="25"/>
  <c r="V285" i="25"/>
  <c r="U285" i="25"/>
  <c r="T285" i="25"/>
  <c r="S285" i="25"/>
  <c r="Q285" i="25"/>
  <c r="O285" i="25"/>
  <c r="M285" i="25"/>
  <c r="K285" i="25"/>
  <c r="X284" i="25"/>
  <c r="W284" i="25"/>
  <c r="V284" i="25"/>
  <c r="U284" i="25"/>
  <c r="T284" i="25"/>
  <c r="S284" i="25"/>
  <c r="Q284" i="25"/>
  <c r="O284" i="25"/>
  <c r="M284" i="25"/>
  <c r="K284" i="25"/>
  <c r="X283" i="25"/>
  <c r="W283" i="25"/>
  <c r="V283" i="25"/>
  <c r="U283" i="25"/>
  <c r="T283" i="25"/>
  <c r="S283" i="25"/>
  <c r="Q283" i="25"/>
  <c r="O283" i="25"/>
  <c r="M283" i="25"/>
  <c r="K283" i="25"/>
  <c r="X282" i="25"/>
  <c r="W282" i="25"/>
  <c r="V282" i="25"/>
  <c r="U282" i="25"/>
  <c r="T282" i="25"/>
  <c r="S282" i="25"/>
  <c r="Q282" i="25"/>
  <c r="O282" i="25"/>
  <c r="M282" i="25"/>
  <c r="K282" i="25"/>
  <c r="X281" i="25"/>
  <c r="W281" i="25"/>
  <c r="V281" i="25"/>
  <c r="U281" i="25"/>
  <c r="T281" i="25"/>
  <c r="S281" i="25"/>
  <c r="Q281" i="25"/>
  <c r="O281" i="25"/>
  <c r="M281" i="25"/>
  <c r="K281" i="25"/>
  <c r="X280" i="25"/>
  <c r="W280" i="25"/>
  <c r="V280" i="25"/>
  <c r="U280" i="25"/>
  <c r="T280" i="25"/>
  <c r="S280" i="25"/>
  <c r="Q280" i="25"/>
  <c r="O280" i="25"/>
  <c r="M280" i="25"/>
  <c r="K280" i="25"/>
  <c r="X279" i="25"/>
  <c r="W279" i="25"/>
  <c r="V279" i="25"/>
  <c r="U279" i="25"/>
  <c r="T279" i="25"/>
  <c r="S279" i="25"/>
  <c r="Q279" i="25"/>
  <c r="O279" i="25"/>
  <c r="M279" i="25"/>
  <c r="K279" i="25"/>
  <c r="X278" i="25"/>
  <c r="W278" i="25"/>
  <c r="V278" i="25"/>
  <c r="U278" i="25"/>
  <c r="T278" i="25"/>
  <c r="S278" i="25"/>
  <c r="Q278" i="25"/>
  <c r="O278" i="25"/>
  <c r="M278" i="25"/>
  <c r="K278" i="25"/>
  <c r="X277" i="25"/>
  <c r="W277" i="25"/>
  <c r="V277" i="25"/>
  <c r="U277" i="25"/>
  <c r="T277" i="25"/>
  <c r="S277" i="25"/>
  <c r="Q277" i="25"/>
  <c r="O277" i="25"/>
  <c r="M277" i="25"/>
  <c r="K277" i="25"/>
  <c r="X276" i="25"/>
  <c r="W276" i="25"/>
  <c r="V276" i="25"/>
  <c r="U276" i="25"/>
  <c r="T276" i="25"/>
  <c r="S276" i="25"/>
  <c r="Q276" i="25"/>
  <c r="O276" i="25"/>
  <c r="M276" i="25"/>
  <c r="K276" i="25"/>
  <c r="X275" i="25"/>
  <c r="W275" i="25"/>
  <c r="V275" i="25"/>
  <c r="U275" i="25"/>
  <c r="T275" i="25"/>
  <c r="S275" i="25"/>
  <c r="Q275" i="25"/>
  <c r="O275" i="25"/>
  <c r="M275" i="25"/>
  <c r="K275" i="25"/>
  <c r="X274" i="25"/>
  <c r="W274" i="25"/>
  <c r="V274" i="25"/>
  <c r="U274" i="25"/>
  <c r="T274" i="25"/>
  <c r="S274" i="25"/>
  <c r="Q274" i="25"/>
  <c r="O274" i="25"/>
  <c r="M274" i="25"/>
  <c r="K274" i="25"/>
  <c r="X273" i="25"/>
  <c r="W273" i="25"/>
  <c r="V273" i="25"/>
  <c r="U273" i="25"/>
  <c r="T273" i="25"/>
  <c r="S273" i="25"/>
  <c r="Q273" i="25"/>
  <c r="O273" i="25"/>
  <c r="M273" i="25"/>
  <c r="K273" i="25"/>
  <c r="X272" i="25"/>
  <c r="W272" i="25"/>
  <c r="V272" i="25"/>
  <c r="U272" i="25"/>
  <c r="T272" i="25"/>
  <c r="S272" i="25"/>
  <c r="Q272" i="25"/>
  <c r="O272" i="25"/>
  <c r="M272" i="25"/>
  <c r="K272" i="25"/>
  <c r="X271" i="25"/>
  <c r="W271" i="25"/>
  <c r="V271" i="25"/>
  <c r="U271" i="25"/>
  <c r="T271" i="25"/>
  <c r="S271" i="25"/>
  <c r="Q271" i="25"/>
  <c r="O271" i="25"/>
  <c r="M271" i="25"/>
  <c r="K271" i="25"/>
  <c r="X270" i="25"/>
  <c r="W270" i="25"/>
  <c r="V270" i="25"/>
  <c r="U270" i="25"/>
  <c r="T270" i="25"/>
  <c r="S270" i="25"/>
  <c r="Q270" i="25"/>
  <c r="O270" i="25"/>
  <c r="M270" i="25"/>
  <c r="K270" i="25"/>
  <c r="X269" i="25"/>
  <c r="W269" i="25"/>
  <c r="V269" i="25"/>
  <c r="U269" i="25"/>
  <c r="T269" i="25"/>
  <c r="S269" i="25"/>
  <c r="Q269" i="25"/>
  <c r="O269" i="25"/>
  <c r="M269" i="25"/>
  <c r="K269" i="25"/>
  <c r="X268" i="25"/>
  <c r="W268" i="25"/>
  <c r="V268" i="25"/>
  <c r="U268" i="25"/>
  <c r="T268" i="25"/>
  <c r="S268" i="25"/>
  <c r="Q268" i="25"/>
  <c r="O268" i="25"/>
  <c r="M268" i="25"/>
  <c r="K268" i="25"/>
  <c r="X267" i="25"/>
  <c r="W267" i="25"/>
  <c r="V267" i="25"/>
  <c r="U267" i="25"/>
  <c r="T267" i="25"/>
  <c r="S267" i="25"/>
  <c r="Q267" i="25"/>
  <c r="O267" i="25"/>
  <c r="M267" i="25"/>
  <c r="K267" i="25"/>
  <c r="X266" i="25"/>
  <c r="W266" i="25"/>
  <c r="V266" i="25"/>
  <c r="U266" i="25"/>
  <c r="T266" i="25"/>
  <c r="S266" i="25"/>
  <c r="Q266" i="25"/>
  <c r="O266" i="25"/>
  <c r="M266" i="25"/>
  <c r="K266" i="25"/>
  <c r="X265" i="25"/>
  <c r="W265" i="25"/>
  <c r="V265" i="25"/>
  <c r="U265" i="25"/>
  <c r="T265" i="25"/>
  <c r="S265" i="25"/>
  <c r="Q265" i="25"/>
  <c r="O265" i="25"/>
  <c r="M265" i="25"/>
  <c r="K265" i="25"/>
  <c r="X264" i="25"/>
  <c r="W264" i="25"/>
  <c r="V264" i="25"/>
  <c r="U264" i="25"/>
  <c r="T264" i="25"/>
  <c r="S264" i="25"/>
  <c r="Q264" i="25"/>
  <c r="O264" i="25"/>
  <c r="M264" i="25"/>
  <c r="K264" i="25"/>
  <c r="X263" i="25"/>
  <c r="W263" i="25"/>
  <c r="V263" i="25"/>
  <c r="U263" i="25"/>
  <c r="T263" i="25"/>
  <c r="S263" i="25"/>
  <c r="Q263" i="25"/>
  <c r="O263" i="25"/>
  <c r="M263" i="25"/>
  <c r="K263" i="25"/>
  <c r="X262" i="25"/>
  <c r="W262" i="25"/>
  <c r="V262" i="25"/>
  <c r="U262" i="25"/>
  <c r="T262" i="25"/>
  <c r="S262" i="25"/>
  <c r="Q262" i="25"/>
  <c r="O262" i="25"/>
  <c r="M262" i="25"/>
  <c r="K262" i="25"/>
  <c r="X261" i="25"/>
  <c r="W261" i="25"/>
  <c r="V261" i="25"/>
  <c r="U261" i="25"/>
  <c r="T261" i="25"/>
  <c r="S261" i="25"/>
  <c r="Q261" i="25"/>
  <c r="O261" i="25"/>
  <c r="M261" i="25"/>
  <c r="K261" i="25"/>
  <c r="X260" i="25"/>
  <c r="W260" i="25"/>
  <c r="V260" i="25"/>
  <c r="U260" i="25"/>
  <c r="T260" i="25"/>
  <c r="S260" i="25"/>
  <c r="Q260" i="25"/>
  <c r="O260" i="25"/>
  <c r="M260" i="25"/>
  <c r="K260" i="25"/>
  <c r="X259" i="25"/>
  <c r="W259" i="25"/>
  <c r="V259" i="25"/>
  <c r="U259" i="25"/>
  <c r="T259" i="25"/>
  <c r="S259" i="25"/>
  <c r="Q259" i="25"/>
  <c r="O259" i="25"/>
  <c r="M259" i="25"/>
  <c r="K259" i="25"/>
  <c r="X258" i="25"/>
  <c r="W258" i="25"/>
  <c r="V258" i="25"/>
  <c r="U258" i="25"/>
  <c r="T258" i="25"/>
  <c r="S258" i="25"/>
  <c r="Q258" i="25"/>
  <c r="O258" i="25"/>
  <c r="M258" i="25"/>
  <c r="K258" i="25"/>
  <c r="X257" i="25"/>
  <c r="W257" i="25"/>
  <c r="V257" i="25"/>
  <c r="U257" i="25"/>
  <c r="T257" i="25"/>
  <c r="S257" i="25"/>
  <c r="Q257" i="25"/>
  <c r="O257" i="25"/>
  <c r="M257" i="25"/>
  <c r="K257" i="25"/>
  <c r="X256" i="25"/>
  <c r="W256" i="25"/>
  <c r="V256" i="25"/>
  <c r="U256" i="25"/>
  <c r="T256" i="25"/>
  <c r="S256" i="25"/>
  <c r="Q256" i="25"/>
  <c r="O256" i="25"/>
  <c r="M256" i="25"/>
  <c r="K256" i="25"/>
  <c r="X255" i="25"/>
  <c r="W255" i="25"/>
  <c r="V255" i="25"/>
  <c r="U255" i="25"/>
  <c r="T255" i="25"/>
  <c r="S255" i="25"/>
  <c r="Q255" i="25"/>
  <c r="O255" i="25"/>
  <c r="M255" i="25"/>
  <c r="K255" i="25"/>
  <c r="X254" i="25"/>
  <c r="W254" i="25"/>
  <c r="V254" i="25"/>
  <c r="U254" i="25"/>
  <c r="T254" i="25"/>
  <c r="S254" i="25"/>
  <c r="Q254" i="25"/>
  <c r="O254" i="25"/>
  <c r="M254" i="25"/>
  <c r="K254" i="25"/>
  <c r="X253" i="25"/>
  <c r="W253" i="25"/>
  <c r="V253" i="25"/>
  <c r="U253" i="25"/>
  <c r="T253" i="25"/>
  <c r="S253" i="25"/>
  <c r="Q253" i="25"/>
  <c r="O253" i="25"/>
  <c r="M253" i="25"/>
  <c r="K253" i="25"/>
  <c r="X252" i="25"/>
  <c r="W252" i="25"/>
  <c r="V252" i="25"/>
  <c r="U252" i="25"/>
  <c r="T252" i="25"/>
  <c r="S252" i="25"/>
  <c r="Q252" i="25"/>
  <c r="O252" i="25"/>
  <c r="M252" i="25"/>
  <c r="K252" i="25"/>
  <c r="X251" i="25"/>
  <c r="W251" i="25"/>
  <c r="V251" i="25"/>
  <c r="U251" i="25"/>
  <c r="T251" i="25"/>
  <c r="S251" i="25"/>
  <c r="Q251" i="25"/>
  <c r="O251" i="25"/>
  <c r="M251" i="25"/>
  <c r="K251" i="25"/>
  <c r="X250" i="25"/>
  <c r="W250" i="25"/>
  <c r="V250" i="25"/>
  <c r="U250" i="25"/>
  <c r="T250" i="25"/>
  <c r="S250" i="25"/>
  <c r="Q250" i="25"/>
  <c r="O250" i="25"/>
  <c r="M250" i="25"/>
  <c r="K250" i="25"/>
  <c r="X249" i="25"/>
  <c r="W249" i="25"/>
  <c r="V249" i="25"/>
  <c r="U249" i="25"/>
  <c r="T249" i="25"/>
  <c r="S249" i="25"/>
  <c r="Q249" i="25"/>
  <c r="O249" i="25"/>
  <c r="M249" i="25"/>
  <c r="K249" i="25"/>
  <c r="X248" i="25"/>
  <c r="W248" i="25"/>
  <c r="V248" i="25"/>
  <c r="U248" i="25"/>
  <c r="T248" i="25"/>
  <c r="S248" i="25"/>
  <c r="Q248" i="25"/>
  <c r="O248" i="25"/>
  <c r="M248" i="25"/>
  <c r="K248" i="25"/>
  <c r="X247" i="25"/>
  <c r="W247" i="25"/>
  <c r="V247" i="25"/>
  <c r="U247" i="25"/>
  <c r="T247" i="25"/>
  <c r="S247" i="25"/>
  <c r="Q247" i="25"/>
  <c r="O247" i="25"/>
  <c r="M247" i="25"/>
  <c r="K247" i="25"/>
  <c r="X246" i="25"/>
  <c r="W246" i="25"/>
  <c r="V246" i="25"/>
  <c r="U246" i="25"/>
  <c r="T246" i="25"/>
  <c r="S246" i="25"/>
  <c r="Q246" i="25"/>
  <c r="O246" i="25"/>
  <c r="M246" i="25"/>
  <c r="K246" i="25"/>
  <c r="X245" i="25"/>
  <c r="W245" i="25"/>
  <c r="V245" i="25"/>
  <c r="U245" i="25"/>
  <c r="T245" i="25"/>
  <c r="S245" i="25"/>
  <c r="Q245" i="25"/>
  <c r="O245" i="25"/>
  <c r="M245" i="25"/>
  <c r="K245" i="25"/>
  <c r="X244" i="25"/>
  <c r="W244" i="25"/>
  <c r="V244" i="25"/>
  <c r="U244" i="25"/>
  <c r="T244" i="25"/>
  <c r="S244" i="25"/>
  <c r="Q244" i="25"/>
  <c r="O244" i="25"/>
  <c r="M244" i="25"/>
  <c r="K244" i="25"/>
  <c r="X243" i="25"/>
  <c r="W243" i="25"/>
  <c r="V243" i="25"/>
  <c r="U243" i="25"/>
  <c r="T243" i="25"/>
  <c r="S243" i="25"/>
  <c r="Q243" i="25"/>
  <c r="O243" i="25"/>
  <c r="M243" i="25"/>
  <c r="K243" i="25"/>
  <c r="X242" i="25"/>
  <c r="W242" i="25"/>
  <c r="V242" i="25"/>
  <c r="U242" i="25"/>
  <c r="T242" i="25"/>
  <c r="S242" i="25"/>
  <c r="Q242" i="25"/>
  <c r="O242" i="25"/>
  <c r="M242" i="25"/>
  <c r="K242" i="25"/>
  <c r="X241" i="25"/>
  <c r="W241" i="25"/>
  <c r="V241" i="25"/>
  <c r="U241" i="25"/>
  <c r="T241" i="25"/>
  <c r="S241" i="25"/>
  <c r="Q241" i="25"/>
  <c r="O241" i="25"/>
  <c r="M241" i="25"/>
  <c r="K241" i="25"/>
  <c r="X240" i="25"/>
  <c r="W240" i="25"/>
  <c r="V240" i="25"/>
  <c r="U240" i="25"/>
  <c r="T240" i="25"/>
  <c r="S240" i="25"/>
  <c r="Q240" i="25"/>
  <c r="O240" i="25"/>
  <c r="M240" i="25"/>
  <c r="K240" i="25"/>
  <c r="X239" i="25"/>
  <c r="W239" i="25"/>
  <c r="V239" i="25"/>
  <c r="U239" i="25"/>
  <c r="T239" i="25"/>
  <c r="S239" i="25"/>
  <c r="Q239" i="25"/>
  <c r="O239" i="25"/>
  <c r="M239" i="25"/>
  <c r="K239" i="25"/>
  <c r="X238" i="25"/>
  <c r="W238" i="25"/>
  <c r="V238" i="25"/>
  <c r="U238" i="25"/>
  <c r="T238" i="25"/>
  <c r="S238" i="25"/>
  <c r="Q238" i="25"/>
  <c r="O238" i="25"/>
  <c r="M238" i="25"/>
  <c r="K238" i="25"/>
  <c r="X237" i="25"/>
  <c r="W237" i="25"/>
  <c r="V237" i="25"/>
  <c r="U237" i="25"/>
  <c r="T237" i="25"/>
  <c r="S237" i="25"/>
  <c r="Q237" i="25"/>
  <c r="O237" i="25"/>
  <c r="M237" i="25"/>
  <c r="K237" i="25"/>
  <c r="X236" i="25"/>
  <c r="W236" i="25"/>
  <c r="V236" i="25"/>
  <c r="U236" i="25"/>
  <c r="T236" i="25"/>
  <c r="S236" i="25"/>
  <c r="Q236" i="25"/>
  <c r="O236" i="25"/>
  <c r="M236" i="25"/>
  <c r="K236" i="25"/>
  <c r="X235" i="25"/>
  <c r="W235" i="25"/>
  <c r="V235" i="25"/>
  <c r="U235" i="25"/>
  <c r="T235" i="25"/>
  <c r="S235" i="25"/>
  <c r="Q235" i="25"/>
  <c r="O235" i="25"/>
  <c r="M235" i="25"/>
  <c r="K235" i="25"/>
  <c r="X234" i="25"/>
  <c r="W234" i="25"/>
  <c r="V234" i="25"/>
  <c r="U234" i="25"/>
  <c r="T234" i="25"/>
  <c r="S234" i="25"/>
  <c r="Q234" i="25"/>
  <c r="O234" i="25"/>
  <c r="M234" i="25"/>
  <c r="K234" i="25"/>
  <c r="X233" i="25"/>
  <c r="W233" i="25"/>
  <c r="V233" i="25"/>
  <c r="U233" i="25"/>
  <c r="T233" i="25"/>
  <c r="S233" i="25"/>
  <c r="Q233" i="25"/>
  <c r="O233" i="25"/>
  <c r="M233" i="25"/>
  <c r="K233" i="25"/>
  <c r="X232" i="25"/>
  <c r="W232" i="25"/>
  <c r="V232" i="25"/>
  <c r="U232" i="25"/>
  <c r="T232" i="25"/>
  <c r="S232" i="25"/>
  <c r="Q232" i="25"/>
  <c r="O232" i="25"/>
  <c r="M232" i="25"/>
  <c r="K232" i="25"/>
  <c r="X231" i="25"/>
  <c r="W231" i="25"/>
  <c r="V231" i="25"/>
  <c r="U231" i="25"/>
  <c r="T231" i="25"/>
  <c r="S231" i="25"/>
  <c r="Q231" i="25"/>
  <c r="O231" i="25"/>
  <c r="M231" i="25"/>
  <c r="K231" i="25"/>
  <c r="X230" i="25"/>
  <c r="W230" i="25"/>
  <c r="V230" i="25"/>
  <c r="U230" i="25"/>
  <c r="T230" i="25"/>
  <c r="S230" i="25"/>
  <c r="Q230" i="25"/>
  <c r="O230" i="25"/>
  <c r="M230" i="25"/>
  <c r="K230" i="25"/>
  <c r="X229" i="25"/>
  <c r="W229" i="25"/>
  <c r="V229" i="25"/>
  <c r="U229" i="25"/>
  <c r="T229" i="25"/>
  <c r="S229" i="25"/>
  <c r="Q229" i="25"/>
  <c r="O229" i="25"/>
  <c r="M229" i="25"/>
  <c r="K229" i="25"/>
  <c r="X228" i="25"/>
  <c r="W228" i="25"/>
  <c r="V228" i="25"/>
  <c r="U228" i="25"/>
  <c r="T228" i="25"/>
  <c r="S228" i="25"/>
  <c r="Q228" i="25"/>
  <c r="O228" i="25"/>
  <c r="M228" i="25"/>
  <c r="K228" i="25"/>
  <c r="X227" i="25"/>
  <c r="W227" i="25"/>
  <c r="V227" i="25"/>
  <c r="U227" i="25"/>
  <c r="T227" i="25"/>
  <c r="S227" i="25"/>
  <c r="Q227" i="25"/>
  <c r="O227" i="25"/>
  <c r="M227" i="25"/>
  <c r="K227" i="25"/>
  <c r="X226" i="25"/>
  <c r="W226" i="25"/>
  <c r="V226" i="25"/>
  <c r="U226" i="25"/>
  <c r="T226" i="25"/>
  <c r="S226" i="25"/>
  <c r="Q226" i="25"/>
  <c r="O226" i="25"/>
  <c r="M226" i="25"/>
  <c r="K226" i="25"/>
  <c r="X225" i="25"/>
  <c r="W225" i="25"/>
  <c r="V225" i="25"/>
  <c r="U225" i="25"/>
  <c r="T225" i="25"/>
  <c r="S225" i="25"/>
  <c r="Q225" i="25"/>
  <c r="O225" i="25"/>
  <c r="M225" i="25"/>
  <c r="K225" i="25"/>
  <c r="X224" i="25"/>
  <c r="W224" i="25"/>
  <c r="V224" i="25"/>
  <c r="U224" i="25"/>
  <c r="T224" i="25"/>
  <c r="S224" i="25"/>
  <c r="Q224" i="25"/>
  <c r="O224" i="25"/>
  <c r="M224" i="25"/>
  <c r="K224" i="25"/>
  <c r="X223" i="25"/>
  <c r="W223" i="25"/>
  <c r="V223" i="25"/>
  <c r="U223" i="25"/>
  <c r="T223" i="25"/>
  <c r="S223" i="25"/>
  <c r="Q223" i="25"/>
  <c r="O223" i="25"/>
  <c r="M223" i="25"/>
  <c r="K223" i="25"/>
  <c r="X222" i="25"/>
  <c r="W222" i="25"/>
  <c r="V222" i="25"/>
  <c r="U222" i="25"/>
  <c r="T222" i="25"/>
  <c r="S222" i="25"/>
  <c r="Q222" i="25"/>
  <c r="O222" i="25"/>
  <c r="M222" i="25"/>
  <c r="K222" i="25"/>
  <c r="X221" i="25"/>
  <c r="W221" i="25"/>
  <c r="V221" i="25"/>
  <c r="U221" i="25"/>
  <c r="T221" i="25"/>
  <c r="S221" i="25"/>
  <c r="Q221" i="25"/>
  <c r="O221" i="25"/>
  <c r="M221" i="25"/>
  <c r="K221" i="25"/>
  <c r="X220" i="25"/>
  <c r="W220" i="25"/>
  <c r="V220" i="25"/>
  <c r="U220" i="25"/>
  <c r="T220" i="25"/>
  <c r="S220" i="25"/>
  <c r="Q220" i="25"/>
  <c r="O220" i="25"/>
  <c r="M220" i="25"/>
  <c r="K220" i="25"/>
  <c r="X219" i="25"/>
  <c r="W219" i="25"/>
  <c r="V219" i="25"/>
  <c r="U219" i="25"/>
  <c r="T219" i="25"/>
  <c r="S219" i="25"/>
  <c r="Q219" i="25"/>
  <c r="O219" i="25"/>
  <c r="M219" i="25"/>
  <c r="K219" i="25"/>
  <c r="X218" i="25"/>
  <c r="W218" i="25"/>
  <c r="V218" i="25"/>
  <c r="U218" i="25"/>
  <c r="T218" i="25"/>
  <c r="S218" i="25"/>
  <c r="Q218" i="25"/>
  <c r="O218" i="25"/>
  <c r="M218" i="25"/>
  <c r="K218" i="25"/>
  <c r="X217" i="25"/>
  <c r="W217" i="25"/>
  <c r="V217" i="25"/>
  <c r="U217" i="25"/>
  <c r="T217" i="25"/>
  <c r="S217" i="25"/>
  <c r="Q217" i="25"/>
  <c r="O217" i="25"/>
  <c r="M217" i="25"/>
  <c r="K217" i="25"/>
  <c r="X216" i="25"/>
  <c r="W216" i="25"/>
  <c r="V216" i="25"/>
  <c r="U216" i="25"/>
  <c r="T216" i="25"/>
  <c r="S216" i="25"/>
  <c r="Q216" i="25"/>
  <c r="O216" i="25"/>
  <c r="M216" i="25"/>
  <c r="K216" i="25"/>
  <c r="X215" i="25"/>
  <c r="W215" i="25"/>
  <c r="V215" i="25"/>
  <c r="U215" i="25"/>
  <c r="T215" i="25"/>
  <c r="S215" i="25"/>
  <c r="Q215" i="25"/>
  <c r="O215" i="25"/>
  <c r="M215" i="25"/>
  <c r="K215" i="25"/>
  <c r="X214" i="25"/>
  <c r="W214" i="25"/>
  <c r="V214" i="25"/>
  <c r="U214" i="25"/>
  <c r="T214" i="25"/>
  <c r="S214" i="25"/>
  <c r="Q214" i="25"/>
  <c r="O214" i="25"/>
  <c r="M214" i="25"/>
  <c r="K214" i="25"/>
  <c r="X213" i="25"/>
  <c r="W213" i="25"/>
  <c r="V213" i="25"/>
  <c r="U213" i="25"/>
  <c r="T213" i="25"/>
  <c r="S213" i="25"/>
  <c r="Q213" i="25"/>
  <c r="O213" i="25"/>
  <c r="M213" i="25"/>
  <c r="K213" i="25"/>
  <c r="X212" i="25"/>
  <c r="W212" i="25"/>
  <c r="V212" i="25"/>
  <c r="U212" i="25"/>
  <c r="T212" i="25"/>
  <c r="S212" i="25"/>
  <c r="Q212" i="25"/>
  <c r="O212" i="25"/>
  <c r="M212" i="25"/>
  <c r="K212" i="25"/>
  <c r="X211" i="25"/>
  <c r="W211" i="25"/>
  <c r="V211" i="25"/>
  <c r="U211" i="25"/>
  <c r="T211" i="25"/>
  <c r="S211" i="25"/>
  <c r="Q211" i="25"/>
  <c r="O211" i="25"/>
  <c r="M211" i="25"/>
  <c r="K211" i="25"/>
  <c r="X210" i="25"/>
  <c r="W210" i="25"/>
  <c r="V210" i="25"/>
  <c r="U210" i="25"/>
  <c r="T210" i="25"/>
  <c r="S210" i="25"/>
  <c r="Q210" i="25"/>
  <c r="O210" i="25"/>
  <c r="M210" i="25"/>
  <c r="K210" i="25"/>
  <c r="X209" i="25"/>
  <c r="W209" i="25"/>
  <c r="V209" i="25"/>
  <c r="U209" i="25"/>
  <c r="T209" i="25"/>
  <c r="S209" i="25"/>
  <c r="Q209" i="25"/>
  <c r="O209" i="25"/>
  <c r="M209" i="25"/>
  <c r="K209" i="25"/>
  <c r="X208" i="25"/>
  <c r="W208" i="25"/>
  <c r="V208" i="25"/>
  <c r="U208" i="25"/>
  <c r="T208" i="25"/>
  <c r="S208" i="25"/>
  <c r="Q208" i="25"/>
  <c r="O208" i="25"/>
  <c r="M208" i="25"/>
  <c r="K208" i="25"/>
  <c r="X207" i="25"/>
  <c r="W207" i="25"/>
  <c r="V207" i="25"/>
  <c r="U207" i="25"/>
  <c r="T207" i="25"/>
  <c r="S207" i="25"/>
  <c r="Q207" i="25"/>
  <c r="O207" i="25"/>
  <c r="M207" i="25"/>
  <c r="K207" i="25"/>
  <c r="X206" i="25"/>
  <c r="W206" i="25"/>
  <c r="V206" i="25"/>
  <c r="U206" i="25"/>
  <c r="T206" i="25"/>
  <c r="S206" i="25"/>
  <c r="Q206" i="25"/>
  <c r="O206" i="25"/>
  <c r="M206" i="25"/>
  <c r="K206" i="25"/>
  <c r="X205" i="25"/>
  <c r="W205" i="25"/>
  <c r="V205" i="25"/>
  <c r="U205" i="25"/>
  <c r="T205" i="25"/>
  <c r="S205" i="25"/>
  <c r="Q205" i="25"/>
  <c r="O205" i="25"/>
  <c r="M205" i="25"/>
  <c r="K205" i="25"/>
  <c r="X204" i="25"/>
  <c r="W204" i="25"/>
  <c r="V204" i="25"/>
  <c r="U204" i="25"/>
  <c r="T204" i="25"/>
  <c r="S204" i="25"/>
  <c r="Q204" i="25"/>
  <c r="O204" i="25"/>
  <c r="M204" i="25"/>
  <c r="K204" i="25"/>
  <c r="X203" i="25"/>
  <c r="W203" i="25"/>
  <c r="V203" i="25"/>
  <c r="U203" i="25"/>
  <c r="T203" i="25"/>
  <c r="S203" i="25"/>
  <c r="Q203" i="25"/>
  <c r="O203" i="25"/>
  <c r="M203" i="25"/>
  <c r="K203" i="25"/>
  <c r="X202" i="25"/>
  <c r="W202" i="25"/>
  <c r="V202" i="25"/>
  <c r="U202" i="25"/>
  <c r="T202" i="25"/>
  <c r="S202" i="25"/>
  <c r="Q202" i="25"/>
  <c r="O202" i="25"/>
  <c r="M202" i="25"/>
  <c r="K202" i="25"/>
  <c r="X201" i="25"/>
  <c r="W201" i="25"/>
  <c r="V201" i="25"/>
  <c r="U201" i="25"/>
  <c r="T201" i="25"/>
  <c r="S201" i="25"/>
  <c r="Q201" i="25"/>
  <c r="O201" i="25"/>
  <c r="M201" i="25"/>
  <c r="K201" i="25"/>
  <c r="X200" i="25"/>
  <c r="W200" i="25"/>
  <c r="V200" i="25"/>
  <c r="U200" i="25"/>
  <c r="T200" i="25"/>
  <c r="S200" i="25"/>
  <c r="Q200" i="25"/>
  <c r="O200" i="25"/>
  <c r="M200" i="25"/>
  <c r="K200" i="25"/>
  <c r="X199" i="25"/>
  <c r="W199" i="25"/>
  <c r="V199" i="25"/>
  <c r="U199" i="25"/>
  <c r="T199" i="25"/>
  <c r="S199" i="25"/>
  <c r="Q199" i="25"/>
  <c r="O199" i="25"/>
  <c r="M199" i="25"/>
  <c r="K199" i="25"/>
  <c r="X198" i="25"/>
  <c r="W198" i="25"/>
  <c r="V198" i="25"/>
  <c r="U198" i="25"/>
  <c r="T198" i="25"/>
  <c r="S198" i="25"/>
  <c r="Q198" i="25"/>
  <c r="O198" i="25"/>
  <c r="M198" i="25"/>
  <c r="K198" i="25"/>
  <c r="X197" i="25"/>
  <c r="W197" i="25"/>
  <c r="V197" i="25"/>
  <c r="U197" i="25"/>
  <c r="T197" i="25"/>
  <c r="S197" i="25"/>
  <c r="Q197" i="25"/>
  <c r="O197" i="25"/>
  <c r="M197" i="25"/>
  <c r="K197" i="25"/>
  <c r="X196" i="25"/>
  <c r="W196" i="25"/>
  <c r="V196" i="25"/>
  <c r="U196" i="25"/>
  <c r="T196" i="25"/>
  <c r="S196" i="25"/>
  <c r="Q196" i="25"/>
  <c r="O196" i="25"/>
  <c r="M196" i="25"/>
  <c r="K196" i="25"/>
  <c r="X195" i="25"/>
  <c r="W195" i="25"/>
  <c r="V195" i="25"/>
  <c r="U195" i="25"/>
  <c r="T195" i="25"/>
  <c r="S195" i="25"/>
  <c r="Q195" i="25"/>
  <c r="O195" i="25"/>
  <c r="M195" i="25"/>
  <c r="K195" i="25"/>
  <c r="X194" i="25"/>
  <c r="W194" i="25"/>
  <c r="V194" i="25"/>
  <c r="U194" i="25"/>
  <c r="T194" i="25"/>
  <c r="S194" i="25"/>
  <c r="Q194" i="25"/>
  <c r="O194" i="25"/>
  <c r="M194" i="25"/>
  <c r="K194" i="25"/>
  <c r="X193" i="25"/>
  <c r="W193" i="25"/>
  <c r="V193" i="25"/>
  <c r="U193" i="25"/>
  <c r="T193" i="25"/>
  <c r="S193" i="25"/>
  <c r="Q193" i="25"/>
  <c r="O193" i="25"/>
  <c r="M193" i="25"/>
  <c r="K193" i="25"/>
  <c r="X192" i="25"/>
  <c r="W192" i="25"/>
  <c r="V192" i="25"/>
  <c r="U192" i="25"/>
  <c r="T192" i="25"/>
  <c r="S192" i="25"/>
  <c r="Q192" i="25"/>
  <c r="O192" i="25"/>
  <c r="M192" i="25"/>
  <c r="K192" i="25"/>
  <c r="X191" i="25"/>
  <c r="W191" i="25"/>
  <c r="V191" i="25"/>
  <c r="U191" i="25"/>
  <c r="T191" i="25"/>
  <c r="S191" i="25"/>
  <c r="Q191" i="25"/>
  <c r="O191" i="25"/>
  <c r="M191" i="25"/>
  <c r="K191" i="25"/>
  <c r="X190" i="25"/>
  <c r="W190" i="25"/>
  <c r="V190" i="25"/>
  <c r="U190" i="25"/>
  <c r="T190" i="25"/>
  <c r="S190" i="25"/>
  <c r="Q190" i="25"/>
  <c r="O190" i="25"/>
  <c r="M190" i="25"/>
  <c r="K190" i="25"/>
  <c r="X189" i="25"/>
  <c r="W189" i="25"/>
  <c r="V189" i="25"/>
  <c r="U189" i="25"/>
  <c r="T189" i="25"/>
  <c r="S189" i="25"/>
  <c r="Q189" i="25"/>
  <c r="O189" i="25"/>
  <c r="M189" i="25"/>
  <c r="K189" i="25"/>
  <c r="X188" i="25"/>
  <c r="W188" i="25"/>
  <c r="V188" i="25"/>
  <c r="U188" i="25"/>
  <c r="T188" i="25"/>
  <c r="S188" i="25"/>
  <c r="Q188" i="25"/>
  <c r="O188" i="25"/>
  <c r="M188" i="25"/>
  <c r="K188" i="25"/>
  <c r="X187" i="25"/>
  <c r="W187" i="25"/>
  <c r="V187" i="25"/>
  <c r="U187" i="25"/>
  <c r="T187" i="25"/>
  <c r="S187" i="25"/>
  <c r="Q187" i="25"/>
  <c r="O187" i="25"/>
  <c r="M187" i="25"/>
  <c r="K187" i="25"/>
  <c r="X186" i="25"/>
  <c r="W186" i="25"/>
  <c r="V186" i="25"/>
  <c r="U186" i="25"/>
  <c r="T186" i="25"/>
  <c r="S186" i="25"/>
  <c r="Q186" i="25"/>
  <c r="O186" i="25"/>
  <c r="M186" i="25"/>
  <c r="K186" i="25"/>
  <c r="X185" i="25"/>
  <c r="W185" i="25"/>
  <c r="V185" i="25"/>
  <c r="U185" i="25"/>
  <c r="T185" i="25"/>
  <c r="S185" i="25"/>
  <c r="Q185" i="25"/>
  <c r="O185" i="25"/>
  <c r="M185" i="25"/>
  <c r="K185" i="25"/>
  <c r="X184" i="25"/>
  <c r="W184" i="25"/>
  <c r="V184" i="25"/>
  <c r="U184" i="25"/>
  <c r="T184" i="25"/>
  <c r="S184" i="25"/>
  <c r="Q184" i="25"/>
  <c r="O184" i="25"/>
  <c r="M184" i="25"/>
  <c r="K184" i="25"/>
  <c r="X183" i="25"/>
  <c r="W183" i="25"/>
  <c r="V183" i="25"/>
  <c r="U183" i="25"/>
  <c r="T183" i="25"/>
  <c r="S183" i="25"/>
  <c r="Q183" i="25"/>
  <c r="O183" i="25"/>
  <c r="M183" i="25"/>
  <c r="K183" i="25"/>
  <c r="X182" i="25"/>
  <c r="W182" i="25"/>
  <c r="V182" i="25"/>
  <c r="U182" i="25"/>
  <c r="T182" i="25"/>
  <c r="S182" i="25"/>
  <c r="Q182" i="25"/>
  <c r="O182" i="25"/>
  <c r="M182" i="25"/>
  <c r="K182" i="25"/>
  <c r="X181" i="25"/>
  <c r="W181" i="25"/>
  <c r="V181" i="25"/>
  <c r="U181" i="25"/>
  <c r="T181" i="25"/>
  <c r="S181" i="25"/>
  <c r="Q181" i="25"/>
  <c r="O181" i="25"/>
  <c r="M181" i="25"/>
  <c r="K181" i="25"/>
  <c r="X180" i="25"/>
  <c r="W180" i="25"/>
  <c r="V180" i="25"/>
  <c r="U180" i="25"/>
  <c r="T180" i="25"/>
  <c r="S180" i="25"/>
  <c r="Q180" i="25"/>
  <c r="O180" i="25"/>
  <c r="M180" i="25"/>
  <c r="K180" i="25"/>
  <c r="X179" i="25"/>
  <c r="W179" i="25"/>
  <c r="V179" i="25"/>
  <c r="U179" i="25"/>
  <c r="T179" i="25"/>
  <c r="S179" i="25"/>
  <c r="Q179" i="25"/>
  <c r="O179" i="25"/>
  <c r="M179" i="25"/>
  <c r="K179" i="25"/>
  <c r="X178" i="25"/>
  <c r="W178" i="25"/>
  <c r="V178" i="25"/>
  <c r="U178" i="25"/>
  <c r="T178" i="25"/>
  <c r="S178" i="25"/>
  <c r="Q178" i="25"/>
  <c r="O178" i="25"/>
  <c r="M178" i="25"/>
  <c r="K178" i="25"/>
  <c r="X177" i="25"/>
  <c r="W177" i="25"/>
  <c r="V177" i="25"/>
  <c r="U177" i="25"/>
  <c r="T177" i="25"/>
  <c r="S177" i="25"/>
  <c r="Q177" i="25"/>
  <c r="O177" i="25"/>
  <c r="M177" i="25"/>
  <c r="K177" i="25"/>
  <c r="X176" i="25"/>
  <c r="W176" i="25"/>
  <c r="V176" i="25"/>
  <c r="U176" i="25"/>
  <c r="T176" i="25"/>
  <c r="S176" i="25"/>
  <c r="Q176" i="25"/>
  <c r="O176" i="25"/>
  <c r="M176" i="25"/>
  <c r="K176" i="25"/>
  <c r="X175" i="25"/>
  <c r="W175" i="25"/>
  <c r="V175" i="25"/>
  <c r="U175" i="25"/>
  <c r="T175" i="25"/>
  <c r="S175" i="25"/>
  <c r="Q175" i="25"/>
  <c r="O175" i="25"/>
  <c r="M175" i="25"/>
  <c r="K175" i="25"/>
  <c r="X174" i="25"/>
  <c r="W174" i="25"/>
  <c r="V174" i="25"/>
  <c r="U174" i="25"/>
  <c r="T174" i="25"/>
  <c r="S174" i="25"/>
  <c r="Q174" i="25"/>
  <c r="O174" i="25"/>
  <c r="M174" i="25"/>
  <c r="K174" i="25"/>
  <c r="X173" i="25"/>
  <c r="W173" i="25"/>
  <c r="V173" i="25"/>
  <c r="U173" i="25"/>
  <c r="T173" i="25"/>
  <c r="S173" i="25"/>
  <c r="Q173" i="25"/>
  <c r="O173" i="25"/>
  <c r="M173" i="25"/>
  <c r="K173" i="25"/>
  <c r="X172" i="25"/>
  <c r="W172" i="25"/>
  <c r="V172" i="25"/>
  <c r="U172" i="25"/>
  <c r="T172" i="25"/>
  <c r="S172" i="25"/>
  <c r="Q172" i="25"/>
  <c r="O172" i="25"/>
  <c r="M172" i="25"/>
  <c r="K172" i="25"/>
  <c r="X171" i="25"/>
  <c r="W171" i="25"/>
  <c r="V171" i="25"/>
  <c r="U171" i="25"/>
  <c r="T171" i="25"/>
  <c r="S171" i="25"/>
  <c r="Q171" i="25"/>
  <c r="O171" i="25"/>
  <c r="M171" i="25"/>
  <c r="K171" i="25"/>
  <c r="X170" i="25"/>
  <c r="W170" i="25"/>
  <c r="V170" i="25"/>
  <c r="U170" i="25"/>
  <c r="T170" i="25"/>
  <c r="S170" i="25"/>
  <c r="Q170" i="25"/>
  <c r="O170" i="25"/>
  <c r="M170" i="25"/>
  <c r="K170" i="25"/>
  <c r="X169" i="25"/>
  <c r="W169" i="25"/>
  <c r="V169" i="25"/>
  <c r="U169" i="25"/>
  <c r="T169" i="25"/>
  <c r="S169" i="25"/>
  <c r="Q169" i="25"/>
  <c r="O169" i="25"/>
  <c r="M169" i="25"/>
  <c r="K169" i="25"/>
  <c r="X168" i="25"/>
  <c r="W168" i="25"/>
  <c r="V168" i="25"/>
  <c r="U168" i="25"/>
  <c r="T168" i="25"/>
  <c r="S168" i="25"/>
  <c r="Q168" i="25"/>
  <c r="O168" i="25"/>
  <c r="M168" i="25"/>
  <c r="K168" i="25"/>
  <c r="X167" i="25"/>
  <c r="W167" i="25"/>
  <c r="V167" i="25"/>
  <c r="U167" i="25"/>
  <c r="T167" i="25"/>
  <c r="S167" i="25"/>
  <c r="Q167" i="25"/>
  <c r="O167" i="25"/>
  <c r="M167" i="25"/>
  <c r="K167" i="25"/>
  <c r="X166" i="25"/>
  <c r="W166" i="25"/>
  <c r="V166" i="25"/>
  <c r="U166" i="25"/>
  <c r="T166" i="25"/>
  <c r="S166" i="25"/>
  <c r="Q166" i="25"/>
  <c r="O166" i="25"/>
  <c r="M166" i="25"/>
  <c r="K166" i="25"/>
  <c r="X165" i="25"/>
  <c r="W165" i="25"/>
  <c r="V165" i="25"/>
  <c r="U165" i="25"/>
  <c r="T165" i="25"/>
  <c r="S165" i="25"/>
  <c r="Q165" i="25"/>
  <c r="O165" i="25"/>
  <c r="M165" i="25"/>
  <c r="K165" i="25"/>
  <c r="X164" i="25"/>
  <c r="W164" i="25"/>
  <c r="V164" i="25"/>
  <c r="U164" i="25"/>
  <c r="T164" i="25"/>
  <c r="S164" i="25"/>
  <c r="Q164" i="25"/>
  <c r="O164" i="25"/>
  <c r="M164" i="25"/>
  <c r="K164" i="25"/>
  <c r="X163" i="25"/>
  <c r="W163" i="25"/>
  <c r="V163" i="25"/>
  <c r="U163" i="25"/>
  <c r="T163" i="25"/>
  <c r="S163" i="25"/>
  <c r="Q163" i="25"/>
  <c r="O163" i="25"/>
  <c r="M163" i="25"/>
  <c r="K163" i="25"/>
  <c r="X162" i="25"/>
  <c r="W162" i="25"/>
  <c r="V162" i="25"/>
  <c r="U162" i="25"/>
  <c r="T162" i="25"/>
  <c r="S162" i="25"/>
  <c r="Q162" i="25"/>
  <c r="O162" i="25"/>
  <c r="M162" i="25"/>
  <c r="K162" i="25"/>
  <c r="X161" i="25"/>
  <c r="W161" i="25"/>
  <c r="V161" i="25"/>
  <c r="U161" i="25"/>
  <c r="T161" i="25"/>
  <c r="S161" i="25"/>
  <c r="Q161" i="25"/>
  <c r="O161" i="25"/>
  <c r="M161" i="25"/>
  <c r="K161" i="25"/>
  <c r="X160" i="25"/>
  <c r="W160" i="25"/>
  <c r="V160" i="25"/>
  <c r="U160" i="25"/>
  <c r="T160" i="25"/>
  <c r="S160" i="25"/>
  <c r="Q160" i="25"/>
  <c r="O160" i="25"/>
  <c r="M160" i="25"/>
  <c r="K160" i="25"/>
  <c r="X159" i="25"/>
  <c r="W159" i="25"/>
  <c r="V159" i="25"/>
  <c r="U159" i="25"/>
  <c r="T159" i="25"/>
  <c r="S159" i="25"/>
  <c r="Q159" i="25"/>
  <c r="O159" i="25"/>
  <c r="M159" i="25"/>
  <c r="K159" i="25"/>
  <c r="X158" i="25"/>
  <c r="W158" i="25"/>
  <c r="V158" i="25"/>
  <c r="U158" i="25"/>
  <c r="T158" i="25"/>
  <c r="S158" i="25"/>
  <c r="Q158" i="25"/>
  <c r="O158" i="25"/>
  <c r="M158" i="25"/>
  <c r="K158" i="25"/>
  <c r="X157" i="25"/>
  <c r="W157" i="25"/>
  <c r="V157" i="25"/>
  <c r="U157" i="25"/>
  <c r="T157" i="25"/>
  <c r="S157" i="25"/>
  <c r="Q157" i="25"/>
  <c r="O157" i="25"/>
  <c r="M157" i="25"/>
  <c r="K157" i="25"/>
  <c r="X156" i="25"/>
  <c r="W156" i="25"/>
  <c r="V156" i="25"/>
  <c r="U156" i="25"/>
  <c r="T156" i="25"/>
  <c r="S156" i="25"/>
  <c r="Q156" i="25"/>
  <c r="O156" i="25"/>
  <c r="M156" i="25"/>
  <c r="K156" i="25"/>
  <c r="X155" i="25"/>
  <c r="W155" i="25"/>
  <c r="V155" i="25"/>
  <c r="U155" i="25"/>
  <c r="T155" i="25"/>
  <c r="S155" i="25"/>
  <c r="Q155" i="25"/>
  <c r="O155" i="25"/>
  <c r="M155" i="25"/>
  <c r="K155" i="25"/>
  <c r="X154" i="25"/>
  <c r="W154" i="25"/>
  <c r="V154" i="25"/>
  <c r="U154" i="25"/>
  <c r="T154" i="25"/>
  <c r="S154" i="25"/>
  <c r="Q154" i="25"/>
  <c r="O154" i="25"/>
  <c r="M154" i="25"/>
  <c r="K154" i="25"/>
  <c r="X153" i="25"/>
  <c r="W153" i="25"/>
  <c r="V153" i="25"/>
  <c r="U153" i="25"/>
  <c r="T153" i="25"/>
  <c r="S153" i="25"/>
  <c r="Q153" i="25"/>
  <c r="O153" i="25"/>
  <c r="M153" i="25"/>
  <c r="K153" i="25"/>
  <c r="X152" i="25"/>
  <c r="W152" i="25"/>
  <c r="V152" i="25"/>
  <c r="U152" i="25"/>
  <c r="T152" i="25"/>
  <c r="S152" i="25"/>
  <c r="Q152" i="25"/>
  <c r="O152" i="25"/>
  <c r="M152" i="25"/>
  <c r="K152" i="25"/>
  <c r="X151" i="25"/>
  <c r="W151" i="25"/>
  <c r="V151" i="25"/>
  <c r="U151" i="25"/>
  <c r="T151" i="25"/>
  <c r="S151" i="25"/>
  <c r="Q151" i="25"/>
  <c r="O151" i="25"/>
  <c r="M151" i="25"/>
  <c r="K151" i="25"/>
  <c r="X150" i="25"/>
  <c r="W150" i="25"/>
  <c r="V150" i="25"/>
  <c r="U150" i="25"/>
  <c r="T150" i="25"/>
  <c r="S150" i="25"/>
  <c r="Q150" i="25"/>
  <c r="O150" i="25"/>
  <c r="M150" i="25"/>
  <c r="K150" i="25"/>
  <c r="X149" i="25"/>
  <c r="W149" i="25"/>
  <c r="V149" i="25"/>
  <c r="U149" i="25"/>
  <c r="T149" i="25"/>
  <c r="S149" i="25"/>
  <c r="Q149" i="25"/>
  <c r="O149" i="25"/>
  <c r="M149" i="25"/>
  <c r="K149" i="25"/>
  <c r="X148" i="25"/>
  <c r="W148" i="25"/>
  <c r="V148" i="25"/>
  <c r="U148" i="25"/>
  <c r="T148" i="25"/>
  <c r="S148" i="25"/>
  <c r="Q148" i="25"/>
  <c r="O148" i="25"/>
  <c r="M148" i="25"/>
  <c r="K148" i="25"/>
  <c r="X147" i="25"/>
  <c r="W147" i="25"/>
  <c r="V147" i="25"/>
  <c r="U147" i="25"/>
  <c r="T147" i="25"/>
  <c r="S147" i="25"/>
  <c r="Q147" i="25"/>
  <c r="O147" i="25"/>
  <c r="M147" i="25"/>
  <c r="K147" i="25"/>
  <c r="X146" i="25"/>
  <c r="W146" i="25"/>
  <c r="V146" i="25"/>
  <c r="U146" i="25"/>
  <c r="T146" i="25"/>
  <c r="S146" i="25"/>
  <c r="Q146" i="25"/>
  <c r="O146" i="25"/>
  <c r="M146" i="25"/>
  <c r="K146" i="25"/>
  <c r="X145" i="25"/>
  <c r="W145" i="25"/>
  <c r="V145" i="25"/>
  <c r="U145" i="25"/>
  <c r="T145" i="25"/>
  <c r="S145" i="25"/>
  <c r="Q145" i="25"/>
  <c r="O145" i="25"/>
  <c r="M145" i="25"/>
  <c r="K145" i="25"/>
  <c r="X144" i="25"/>
  <c r="W144" i="25"/>
  <c r="V144" i="25"/>
  <c r="U144" i="25"/>
  <c r="T144" i="25"/>
  <c r="S144" i="25"/>
  <c r="Q144" i="25"/>
  <c r="O144" i="25"/>
  <c r="M144" i="25"/>
  <c r="K144" i="25"/>
  <c r="X143" i="25"/>
  <c r="W143" i="25"/>
  <c r="V143" i="25"/>
  <c r="U143" i="25"/>
  <c r="T143" i="25"/>
  <c r="S143" i="25"/>
  <c r="Q143" i="25"/>
  <c r="O143" i="25"/>
  <c r="M143" i="25"/>
  <c r="K143" i="25"/>
  <c r="X142" i="25"/>
  <c r="W142" i="25"/>
  <c r="V142" i="25"/>
  <c r="U142" i="25"/>
  <c r="T142" i="25"/>
  <c r="S142" i="25"/>
  <c r="Q142" i="25"/>
  <c r="O142" i="25"/>
  <c r="M142" i="25"/>
  <c r="K142" i="25"/>
  <c r="X141" i="25"/>
  <c r="W141" i="25"/>
  <c r="V141" i="25"/>
  <c r="U141" i="25"/>
  <c r="T141" i="25"/>
  <c r="S141" i="25"/>
  <c r="Q141" i="25"/>
  <c r="O141" i="25"/>
  <c r="M141" i="25"/>
  <c r="K141" i="25"/>
  <c r="X140" i="25"/>
  <c r="W140" i="25"/>
  <c r="V140" i="25"/>
  <c r="U140" i="25"/>
  <c r="T140" i="25"/>
  <c r="S140" i="25"/>
  <c r="Q140" i="25"/>
  <c r="O140" i="25"/>
  <c r="M140" i="25"/>
  <c r="K140" i="25"/>
  <c r="X139" i="25"/>
  <c r="W139" i="25"/>
  <c r="V139" i="25"/>
  <c r="U139" i="25"/>
  <c r="T139" i="25"/>
  <c r="S139" i="25"/>
  <c r="Q139" i="25"/>
  <c r="O139" i="25"/>
  <c r="M139" i="25"/>
  <c r="K139" i="25"/>
  <c r="X138" i="25"/>
  <c r="W138" i="25"/>
  <c r="V138" i="25"/>
  <c r="U138" i="25"/>
  <c r="T138" i="25"/>
  <c r="S138" i="25"/>
  <c r="Q138" i="25"/>
  <c r="O138" i="25"/>
  <c r="M138" i="25"/>
  <c r="K138" i="25"/>
  <c r="X137" i="25"/>
  <c r="W137" i="25"/>
  <c r="V137" i="25"/>
  <c r="U137" i="25"/>
  <c r="T137" i="25"/>
  <c r="S137" i="25"/>
  <c r="Q137" i="25"/>
  <c r="O137" i="25"/>
  <c r="M137" i="25"/>
  <c r="K137" i="25"/>
  <c r="X136" i="25"/>
  <c r="W136" i="25"/>
  <c r="V136" i="25"/>
  <c r="U136" i="25"/>
  <c r="T136" i="25"/>
  <c r="S136" i="25"/>
  <c r="Q136" i="25"/>
  <c r="O136" i="25"/>
  <c r="M136" i="25"/>
  <c r="K136" i="25"/>
  <c r="X135" i="25"/>
  <c r="W135" i="25"/>
  <c r="V135" i="25"/>
  <c r="U135" i="25"/>
  <c r="T135" i="25"/>
  <c r="S135" i="25"/>
  <c r="Q135" i="25"/>
  <c r="O135" i="25"/>
  <c r="M135" i="25"/>
  <c r="K135" i="25"/>
  <c r="X134" i="25"/>
  <c r="W134" i="25"/>
  <c r="V134" i="25"/>
  <c r="U134" i="25"/>
  <c r="T134" i="25"/>
  <c r="S134" i="25"/>
  <c r="Q134" i="25"/>
  <c r="O134" i="25"/>
  <c r="M134" i="25"/>
  <c r="K134" i="25"/>
  <c r="X133" i="25"/>
  <c r="W133" i="25"/>
  <c r="V133" i="25"/>
  <c r="U133" i="25"/>
  <c r="T133" i="25"/>
  <c r="S133" i="25"/>
  <c r="Q133" i="25"/>
  <c r="O133" i="25"/>
  <c r="M133" i="25"/>
  <c r="K133" i="25"/>
  <c r="X132" i="25"/>
  <c r="W132" i="25"/>
  <c r="V132" i="25"/>
  <c r="U132" i="25"/>
  <c r="T132" i="25"/>
  <c r="S132" i="25"/>
  <c r="Q132" i="25"/>
  <c r="O132" i="25"/>
  <c r="M132" i="25"/>
  <c r="K132" i="25"/>
  <c r="X131" i="25"/>
  <c r="W131" i="25"/>
  <c r="V131" i="25"/>
  <c r="U131" i="25"/>
  <c r="T131" i="25"/>
  <c r="S131" i="25"/>
  <c r="Q131" i="25"/>
  <c r="O131" i="25"/>
  <c r="M131" i="25"/>
  <c r="K131" i="25"/>
  <c r="X130" i="25"/>
  <c r="W130" i="25"/>
  <c r="V130" i="25"/>
  <c r="U130" i="25"/>
  <c r="T130" i="25"/>
  <c r="S130" i="25"/>
  <c r="Q130" i="25"/>
  <c r="O130" i="25"/>
  <c r="M130" i="25"/>
  <c r="K130" i="25"/>
  <c r="X129" i="25"/>
  <c r="W129" i="25"/>
  <c r="V129" i="25"/>
  <c r="U129" i="25"/>
  <c r="T129" i="25"/>
  <c r="S129" i="25"/>
  <c r="Q129" i="25"/>
  <c r="O129" i="25"/>
  <c r="M129" i="25"/>
  <c r="K129" i="25"/>
  <c r="X128" i="25"/>
  <c r="W128" i="25"/>
  <c r="V128" i="25"/>
  <c r="U128" i="25"/>
  <c r="T128" i="25"/>
  <c r="S128" i="25"/>
  <c r="Q128" i="25"/>
  <c r="O128" i="25"/>
  <c r="M128" i="25"/>
  <c r="K128" i="25"/>
  <c r="X127" i="25"/>
  <c r="W127" i="25"/>
  <c r="V127" i="25"/>
  <c r="U127" i="25"/>
  <c r="T127" i="25"/>
  <c r="S127" i="25"/>
  <c r="Q127" i="25"/>
  <c r="O127" i="25"/>
  <c r="M127" i="25"/>
  <c r="K127" i="25"/>
  <c r="X126" i="25"/>
  <c r="W126" i="25"/>
  <c r="V126" i="25"/>
  <c r="U126" i="25"/>
  <c r="T126" i="25"/>
  <c r="S126" i="25"/>
  <c r="Q126" i="25"/>
  <c r="O126" i="25"/>
  <c r="M126" i="25"/>
  <c r="K126" i="25"/>
  <c r="X125" i="25"/>
  <c r="W125" i="25"/>
  <c r="V125" i="25"/>
  <c r="U125" i="25"/>
  <c r="T125" i="25"/>
  <c r="S125" i="25"/>
  <c r="Q125" i="25"/>
  <c r="O125" i="25"/>
  <c r="M125" i="25"/>
  <c r="K125" i="25"/>
  <c r="X124" i="25"/>
  <c r="W124" i="25"/>
  <c r="V124" i="25"/>
  <c r="U124" i="25"/>
  <c r="T124" i="25"/>
  <c r="S124" i="25"/>
  <c r="Q124" i="25"/>
  <c r="O124" i="25"/>
  <c r="M124" i="25"/>
  <c r="K124" i="25"/>
  <c r="X123" i="25"/>
  <c r="W123" i="25"/>
  <c r="V123" i="25"/>
  <c r="U123" i="25"/>
  <c r="T123" i="25"/>
  <c r="S123" i="25"/>
  <c r="Q123" i="25"/>
  <c r="O123" i="25"/>
  <c r="M123" i="25"/>
  <c r="K123" i="25"/>
  <c r="X122" i="25"/>
  <c r="W122" i="25"/>
  <c r="V122" i="25"/>
  <c r="U122" i="25"/>
  <c r="T122" i="25"/>
  <c r="S122" i="25"/>
  <c r="Q122" i="25"/>
  <c r="O122" i="25"/>
  <c r="M122" i="25"/>
  <c r="K122" i="25"/>
  <c r="X121" i="25"/>
  <c r="W121" i="25"/>
  <c r="V121" i="25"/>
  <c r="U121" i="25"/>
  <c r="T121" i="25"/>
  <c r="S121" i="25"/>
  <c r="Q121" i="25"/>
  <c r="O121" i="25"/>
  <c r="M121" i="25"/>
  <c r="K121" i="25"/>
  <c r="X120" i="25"/>
  <c r="W120" i="25"/>
  <c r="V120" i="25"/>
  <c r="U120" i="25"/>
  <c r="T120" i="25"/>
  <c r="S120" i="25"/>
  <c r="Q120" i="25"/>
  <c r="O120" i="25"/>
  <c r="M120" i="25"/>
  <c r="K120" i="25"/>
  <c r="X119" i="25"/>
  <c r="W119" i="25"/>
  <c r="V119" i="25"/>
  <c r="U119" i="25"/>
  <c r="T119" i="25"/>
  <c r="S119" i="25"/>
  <c r="Q119" i="25"/>
  <c r="O119" i="25"/>
  <c r="M119" i="25"/>
  <c r="K119" i="25"/>
  <c r="X118" i="25"/>
  <c r="W118" i="25"/>
  <c r="V118" i="25"/>
  <c r="U118" i="25"/>
  <c r="T118" i="25"/>
  <c r="S118" i="25"/>
  <c r="Q118" i="25"/>
  <c r="O118" i="25"/>
  <c r="M118" i="25"/>
  <c r="K118" i="25"/>
  <c r="X117" i="25"/>
  <c r="W117" i="25"/>
  <c r="V117" i="25"/>
  <c r="U117" i="25"/>
  <c r="T117" i="25"/>
  <c r="S117" i="25"/>
  <c r="Q117" i="25"/>
  <c r="O117" i="25"/>
  <c r="M117" i="25"/>
  <c r="K117" i="25"/>
  <c r="X116" i="25"/>
  <c r="W116" i="25"/>
  <c r="V116" i="25"/>
  <c r="U116" i="25"/>
  <c r="T116" i="25"/>
  <c r="S116" i="25"/>
  <c r="Q116" i="25"/>
  <c r="O116" i="25"/>
  <c r="M116" i="25"/>
  <c r="K116" i="25"/>
  <c r="X115" i="25"/>
  <c r="W115" i="25"/>
  <c r="V115" i="25"/>
  <c r="U115" i="25"/>
  <c r="T115" i="25"/>
  <c r="S115" i="25"/>
  <c r="Q115" i="25"/>
  <c r="O115" i="25"/>
  <c r="M115" i="25"/>
  <c r="K115" i="25"/>
  <c r="X114" i="25"/>
  <c r="W114" i="25"/>
  <c r="V114" i="25"/>
  <c r="U114" i="25"/>
  <c r="T114" i="25"/>
  <c r="S114" i="25"/>
  <c r="Q114" i="25"/>
  <c r="O114" i="25"/>
  <c r="M114" i="25"/>
  <c r="K114" i="25"/>
  <c r="X113" i="25"/>
  <c r="W113" i="25"/>
  <c r="V113" i="25"/>
  <c r="U113" i="25"/>
  <c r="T113" i="25"/>
  <c r="S113" i="25"/>
  <c r="Q113" i="25"/>
  <c r="O113" i="25"/>
  <c r="M113" i="25"/>
  <c r="K113" i="25"/>
  <c r="X112" i="25"/>
  <c r="W112" i="25"/>
  <c r="V112" i="25"/>
  <c r="U112" i="25"/>
  <c r="T112" i="25"/>
  <c r="S112" i="25"/>
  <c r="Q112" i="25"/>
  <c r="O112" i="25"/>
  <c r="M112" i="25"/>
  <c r="K112" i="25"/>
  <c r="X111" i="25"/>
  <c r="W111" i="25"/>
  <c r="V111" i="25"/>
  <c r="U111" i="25"/>
  <c r="T111" i="25"/>
  <c r="S111" i="25"/>
  <c r="Q111" i="25"/>
  <c r="O111" i="25"/>
  <c r="M111" i="25"/>
  <c r="K111" i="25"/>
  <c r="X110" i="25"/>
  <c r="W110" i="25"/>
  <c r="V110" i="25"/>
  <c r="U110" i="25"/>
  <c r="T110" i="25"/>
  <c r="S110" i="25"/>
  <c r="Q110" i="25"/>
  <c r="O110" i="25"/>
  <c r="M110" i="25"/>
  <c r="K110" i="25"/>
  <c r="X109" i="25"/>
  <c r="W109" i="25"/>
  <c r="V109" i="25"/>
  <c r="U109" i="25"/>
  <c r="T109" i="25"/>
  <c r="S109" i="25"/>
  <c r="Q109" i="25"/>
  <c r="O109" i="25"/>
  <c r="M109" i="25"/>
  <c r="K109" i="25"/>
  <c r="X108" i="25"/>
  <c r="W108" i="25"/>
  <c r="V108" i="25"/>
  <c r="U108" i="25"/>
  <c r="T108" i="25"/>
  <c r="S108" i="25"/>
  <c r="Q108" i="25"/>
  <c r="O108" i="25"/>
  <c r="M108" i="25"/>
  <c r="K108" i="25"/>
  <c r="X107" i="25"/>
  <c r="W107" i="25"/>
  <c r="V107" i="25"/>
  <c r="U107" i="25"/>
  <c r="T107" i="25"/>
  <c r="S107" i="25"/>
  <c r="Q107" i="25"/>
  <c r="O107" i="25"/>
  <c r="M107" i="25"/>
  <c r="K107" i="25"/>
  <c r="X106" i="25"/>
  <c r="W106" i="25"/>
  <c r="V106" i="25"/>
  <c r="U106" i="25"/>
  <c r="T106" i="25"/>
  <c r="S106" i="25"/>
  <c r="Q106" i="25"/>
  <c r="O106" i="25"/>
  <c r="M106" i="25"/>
  <c r="K106" i="25"/>
  <c r="X105" i="25"/>
  <c r="W105" i="25"/>
  <c r="V105" i="25"/>
  <c r="U105" i="25"/>
  <c r="T105" i="25"/>
  <c r="S105" i="25"/>
  <c r="Q105" i="25"/>
  <c r="O105" i="25"/>
  <c r="M105" i="25"/>
  <c r="K105" i="25"/>
  <c r="X104" i="25"/>
  <c r="W104" i="25"/>
  <c r="V104" i="25"/>
  <c r="U104" i="25"/>
  <c r="T104" i="25"/>
  <c r="S104" i="25"/>
  <c r="Q104" i="25"/>
  <c r="O104" i="25"/>
  <c r="M104" i="25"/>
  <c r="K104" i="25"/>
  <c r="X103" i="25"/>
  <c r="W103" i="25"/>
  <c r="V103" i="25"/>
  <c r="U103" i="25"/>
  <c r="T103" i="25"/>
  <c r="S103" i="25"/>
  <c r="Q103" i="25"/>
  <c r="O103" i="25"/>
  <c r="M103" i="25"/>
  <c r="K103" i="25"/>
  <c r="X102" i="25"/>
  <c r="W102" i="25"/>
  <c r="V102" i="25"/>
  <c r="U102" i="25"/>
  <c r="T102" i="25"/>
  <c r="S102" i="25"/>
  <c r="Q102" i="25"/>
  <c r="O102" i="25"/>
  <c r="M102" i="25"/>
  <c r="K102" i="25"/>
  <c r="X101" i="25"/>
  <c r="W101" i="25"/>
  <c r="V101" i="25"/>
  <c r="U101" i="25"/>
  <c r="T101" i="25"/>
  <c r="S101" i="25"/>
  <c r="Q101" i="25"/>
  <c r="O101" i="25"/>
  <c r="M101" i="25"/>
  <c r="K101" i="25"/>
  <c r="X100" i="25"/>
  <c r="W100" i="25"/>
  <c r="V100" i="25"/>
  <c r="U100" i="25"/>
  <c r="T100" i="25"/>
  <c r="S100" i="25"/>
  <c r="Q100" i="25"/>
  <c r="O100" i="25"/>
  <c r="M100" i="25"/>
  <c r="K100" i="25"/>
  <c r="X99" i="25"/>
  <c r="W99" i="25"/>
  <c r="V99" i="25"/>
  <c r="U99" i="25"/>
  <c r="T99" i="25"/>
  <c r="S99" i="25"/>
  <c r="Q99" i="25"/>
  <c r="O99" i="25"/>
  <c r="M99" i="25"/>
  <c r="K99" i="25"/>
  <c r="X98" i="25"/>
  <c r="W98" i="25"/>
  <c r="V98" i="25"/>
  <c r="U98" i="25"/>
  <c r="T98" i="25"/>
  <c r="S98" i="25"/>
  <c r="Q98" i="25"/>
  <c r="O98" i="25"/>
  <c r="M98" i="25"/>
  <c r="K98" i="25"/>
  <c r="X97" i="25"/>
  <c r="W97" i="25"/>
  <c r="V97" i="25"/>
  <c r="U97" i="25"/>
  <c r="T97" i="25"/>
  <c r="S97" i="25"/>
  <c r="Q97" i="25"/>
  <c r="O97" i="25"/>
  <c r="M97" i="25"/>
  <c r="K97" i="25"/>
  <c r="X96" i="25"/>
  <c r="W96" i="25"/>
  <c r="V96" i="25"/>
  <c r="U96" i="25"/>
  <c r="T96" i="25"/>
  <c r="S96" i="25"/>
  <c r="Q96" i="25"/>
  <c r="O96" i="25"/>
  <c r="M96" i="25"/>
  <c r="K96" i="25"/>
  <c r="X95" i="25"/>
  <c r="W95" i="25"/>
  <c r="V95" i="25"/>
  <c r="U95" i="25"/>
  <c r="T95" i="25"/>
  <c r="S95" i="25"/>
  <c r="Q95" i="25"/>
  <c r="O95" i="25"/>
  <c r="M95" i="25"/>
  <c r="K95" i="25"/>
  <c r="X94" i="25"/>
  <c r="W94" i="25"/>
  <c r="V94" i="25"/>
  <c r="U94" i="25"/>
  <c r="T94" i="25"/>
  <c r="S94" i="25"/>
  <c r="Q94" i="25"/>
  <c r="O94" i="25"/>
  <c r="M94" i="25"/>
  <c r="K94" i="25"/>
  <c r="X93" i="25"/>
  <c r="W93" i="25"/>
  <c r="V93" i="25"/>
  <c r="U93" i="25"/>
  <c r="T93" i="25"/>
  <c r="S93" i="25"/>
  <c r="Q93" i="25"/>
  <c r="O93" i="25"/>
  <c r="M93" i="25"/>
  <c r="K93" i="25"/>
  <c r="X92" i="25"/>
  <c r="W92" i="25"/>
  <c r="V92" i="25"/>
  <c r="U92" i="25"/>
  <c r="T92" i="25"/>
  <c r="S92" i="25"/>
  <c r="Q92" i="25"/>
  <c r="O92" i="25"/>
  <c r="M92" i="25"/>
  <c r="K92" i="25"/>
  <c r="X91" i="25"/>
  <c r="W91" i="25"/>
  <c r="V91" i="25"/>
  <c r="U91" i="25"/>
  <c r="T91" i="25"/>
  <c r="S91" i="25"/>
  <c r="Q91" i="25"/>
  <c r="O91" i="25"/>
  <c r="M91" i="25"/>
  <c r="K91" i="25"/>
  <c r="X90" i="25"/>
  <c r="W90" i="25"/>
  <c r="V90" i="25"/>
  <c r="U90" i="25"/>
  <c r="T90" i="25"/>
  <c r="S90" i="25"/>
  <c r="Q90" i="25"/>
  <c r="O90" i="25"/>
  <c r="M90" i="25"/>
  <c r="K90" i="25"/>
  <c r="X89" i="25"/>
  <c r="W89" i="25"/>
  <c r="V89" i="25"/>
  <c r="U89" i="25"/>
  <c r="T89" i="25"/>
  <c r="S89" i="25"/>
  <c r="Q89" i="25"/>
  <c r="O89" i="25"/>
  <c r="M89" i="25"/>
  <c r="K89" i="25"/>
  <c r="X88" i="25"/>
  <c r="W88" i="25"/>
  <c r="V88" i="25"/>
  <c r="U88" i="25"/>
  <c r="T88" i="25"/>
  <c r="S88" i="25"/>
  <c r="Q88" i="25"/>
  <c r="O88" i="25"/>
  <c r="M88" i="25"/>
  <c r="K88" i="25"/>
  <c r="X87" i="25"/>
  <c r="W87" i="25"/>
  <c r="V87" i="25"/>
  <c r="U87" i="25"/>
  <c r="T87" i="25"/>
  <c r="S87" i="25"/>
  <c r="Q87" i="25"/>
  <c r="O87" i="25"/>
  <c r="M87" i="25"/>
  <c r="K87" i="25"/>
  <c r="X86" i="25"/>
  <c r="W86" i="25"/>
  <c r="V86" i="25"/>
  <c r="U86" i="25"/>
  <c r="T86" i="25"/>
  <c r="S86" i="25"/>
  <c r="Q86" i="25"/>
  <c r="O86" i="25"/>
  <c r="M86" i="25"/>
  <c r="K86" i="25"/>
  <c r="X85" i="25"/>
  <c r="W85" i="25"/>
  <c r="V85" i="25"/>
  <c r="U85" i="25"/>
  <c r="T85" i="25"/>
  <c r="S85" i="25"/>
  <c r="Q85" i="25"/>
  <c r="O85" i="25"/>
  <c r="M85" i="25"/>
  <c r="K85" i="25"/>
  <c r="X84" i="25"/>
  <c r="W84" i="25"/>
  <c r="V84" i="25"/>
  <c r="U84" i="25"/>
  <c r="T84" i="25"/>
  <c r="S84" i="25"/>
  <c r="Q84" i="25"/>
  <c r="O84" i="25"/>
  <c r="M84" i="25"/>
  <c r="K84" i="25"/>
  <c r="X83" i="25"/>
  <c r="W83" i="25"/>
  <c r="V83" i="25"/>
  <c r="U83" i="25"/>
  <c r="T83" i="25"/>
  <c r="S83" i="25"/>
  <c r="Q83" i="25"/>
  <c r="O83" i="25"/>
  <c r="M83" i="25"/>
  <c r="K83" i="25"/>
  <c r="X82" i="25"/>
  <c r="W82" i="25"/>
  <c r="V82" i="25"/>
  <c r="U82" i="25"/>
  <c r="T82" i="25"/>
  <c r="S82" i="25"/>
  <c r="Q82" i="25"/>
  <c r="O82" i="25"/>
  <c r="M82" i="25"/>
  <c r="K82" i="25"/>
  <c r="X81" i="25"/>
  <c r="W81" i="25"/>
  <c r="V81" i="25"/>
  <c r="U81" i="25"/>
  <c r="T81" i="25"/>
  <c r="S81" i="25"/>
  <c r="Q81" i="25"/>
  <c r="O81" i="25"/>
  <c r="M81" i="25"/>
  <c r="K81" i="25"/>
  <c r="X80" i="25"/>
  <c r="W80" i="25"/>
  <c r="V80" i="25"/>
  <c r="U80" i="25"/>
  <c r="T80" i="25"/>
  <c r="S80" i="25"/>
  <c r="Q80" i="25"/>
  <c r="O80" i="25"/>
  <c r="M80" i="25"/>
  <c r="K80" i="25"/>
  <c r="X79" i="25"/>
  <c r="W79" i="25"/>
  <c r="V79" i="25"/>
  <c r="U79" i="25"/>
  <c r="T79" i="25"/>
  <c r="S79" i="25"/>
  <c r="Q79" i="25"/>
  <c r="O79" i="25"/>
  <c r="M79" i="25"/>
  <c r="K79" i="25"/>
  <c r="X78" i="25"/>
  <c r="W78" i="25"/>
  <c r="V78" i="25"/>
  <c r="U78" i="25"/>
  <c r="T78" i="25"/>
  <c r="S78" i="25"/>
  <c r="Q78" i="25"/>
  <c r="O78" i="25"/>
  <c r="M78" i="25"/>
  <c r="K78" i="25"/>
  <c r="X77" i="25"/>
  <c r="W77" i="25"/>
  <c r="V77" i="25"/>
  <c r="U77" i="25"/>
  <c r="T77" i="25"/>
  <c r="S77" i="25"/>
  <c r="Q77" i="25"/>
  <c r="O77" i="25"/>
  <c r="M77" i="25"/>
  <c r="K77" i="25"/>
  <c r="X76" i="25"/>
  <c r="W76" i="25"/>
  <c r="V76" i="25"/>
  <c r="U76" i="25"/>
  <c r="T76" i="25"/>
  <c r="S76" i="25"/>
  <c r="Q76" i="25"/>
  <c r="O76" i="25"/>
  <c r="M76" i="25"/>
  <c r="K76" i="25"/>
  <c r="X75" i="25"/>
  <c r="W75" i="25"/>
  <c r="V75" i="25"/>
  <c r="U75" i="25"/>
  <c r="T75" i="25"/>
  <c r="S75" i="25"/>
  <c r="Q75" i="25"/>
  <c r="O75" i="25"/>
  <c r="M75" i="25"/>
  <c r="K75" i="25"/>
  <c r="X74" i="25"/>
  <c r="W74" i="25"/>
  <c r="V74" i="25"/>
  <c r="U74" i="25"/>
  <c r="T74" i="25"/>
  <c r="S74" i="25"/>
  <c r="Q74" i="25"/>
  <c r="O74" i="25"/>
  <c r="M74" i="25"/>
  <c r="K74" i="25"/>
  <c r="X73" i="25"/>
  <c r="W73" i="25"/>
  <c r="V73" i="25"/>
  <c r="U73" i="25"/>
  <c r="T73" i="25"/>
  <c r="S73" i="25"/>
  <c r="Q73" i="25"/>
  <c r="O73" i="25"/>
  <c r="M73" i="25"/>
  <c r="K73" i="25"/>
  <c r="X72" i="25"/>
  <c r="W72" i="25"/>
  <c r="V72" i="25"/>
  <c r="U72" i="25"/>
  <c r="T72" i="25"/>
  <c r="S72" i="25"/>
  <c r="Q72" i="25"/>
  <c r="O72" i="25"/>
  <c r="M72" i="25"/>
  <c r="K72" i="25"/>
  <c r="X71" i="25"/>
  <c r="W71" i="25"/>
  <c r="V71" i="25"/>
  <c r="U71" i="25"/>
  <c r="T71" i="25"/>
  <c r="S71" i="25"/>
  <c r="Q71" i="25"/>
  <c r="O71" i="25"/>
  <c r="M71" i="25"/>
  <c r="K71" i="25"/>
  <c r="X70" i="25"/>
  <c r="W70" i="25"/>
  <c r="V70" i="25"/>
  <c r="U70" i="25"/>
  <c r="T70" i="25"/>
  <c r="S70" i="25"/>
  <c r="Q70" i="25"/>
  <c r="O70" i="25"/>
  <c r="M70" i="25"/>
  <c r="K70" i="25"/>
  <c r="X69" i="25"/>
  <c r="W69" i="25"/>
  <c r="V69" i="25"/>
  <c r="U69" i="25"/>
  <c r="T69" i="25"/>
  <c r="S69" i="25"/>
  <c r="Q69" i="25"/>
  <c r="O69" i="25"/>
  <c r="M69" i="25"/>
  <c r="K69" i="25"/>
  <c r="X68" i="25"/>
  <c r="W68" i="25"/>
  <c r="V68" i="25"/>
  <c r="U68" i="25"/>
  <c r="T68" i="25"/>
  <c r="S68" i="25"/>
  <c r="Q68" i="25"/>
  <c r="O68" i="25"/>
  <c r="M68" i="25"/>
  <c r="K68" i="25"/>
  <c r="X67" i="25"/>
  <c r="W67" i="25"/>
  <c r="V67" i="25"/>
  <c r="U67" i="25"/>
  <c r="T67" i="25"/>
  <c r="S67" i="25"/>
  <c r="Q67" i="25"/>
  <c r="O67" i="25"/>
  <c r="M67" i="25"/>
  <c r="K67" i="25"/>
  <c r="X66" i="25"/>
  <c r="W66" i="25"/>
  <c r="V66" i="25"/>
  <c r="U66" i="25"/>
  <c r="T66" i="25"/>
  <c r="S66" i="25"/>
  <c r="Q66" i="25"/>
  <c r="O66" i="25"/>
  <c r="M66" i="25"/>
  <c r="K66" i="25"/>
  <c r="X65" i="25"/>
  <c r="W65" i="25"/>
  <c r="V65" i="25"/>
  <c r="U65" i="25"/>
  <c r="T65" i="25"/>
  <c r="S65" i="25"/>
  <c r="Q65" i="25"/>
  <c r="O65" i="25"/>
  <c r="M65" i="25"/>
  <c r="K65" i="25"/>
  <c r="X64" i="25"/>
  <c r="W64" i="25"/>
  <c r="V64" i="25"/>
  <c r="U64" i="25"/>
  <c r="T64" i="25"/>
  <c r="S64" i="25"/>
  <c r="Q64" i="25"/>
  <c r="O64" i="25"/>
  <c r="M64" i="25"/>
  <c r="K64" i="25"/>
  <c r="X63" i="25"/>
  <c r="W63" i="25"/>
  <c r="V63" i="25"/>
  <c r="U63" i="25"/>
  <c r="T63" i="25"/>
  <c r="S63" i="25"/>
  <c r="Q63" i="25"/>
  <c r="O63" i="25"/>
  <c r="M63" i="25"/>
  <c r="K63" i="25"/>
  <c r="X62" i="25"/>
  <c r="W62" i="25"/>
  <c r="V62" i="25"/>
  <c r="U62" i="25"/>
  <c r="T62" i="25"/>
  <c r="S62" i="25"/>
  <c r="Q62" i="25"/>
  <c r="O62" i="25"/>
  <c r="M62" i="25"/>
  <c r="K62" i="25"/>
  <c r="X61" i="25"/>
  <c r="W61" i="25"/>
  <c r="V61" i="25"/>
  <c r="U61" i="25"/>
  <c r="T61" i="25"/>
  <c r="S61" i="25"/>
  <c r="Q61" i="25"/>
  <c r="O61" i="25"/>
  <c r="M61" i="25"/>
  <c r="K61" i="25"/>
  <c r="X60" i="25"/>
  <c r="W60" i="25"/>
  <c r="V60" i="25"/>
  <c r="U60" i="25"/>
  <c r="T60" i="25"/>
  <c r="S60" i="25"/>
  <c r="Q60" i="25"/>
  <c r="O60" i="25"/>
  <c r="M60" i="25"/>
  <c r="K60" i="25"/>
  <c r="X59" i="25"/>
  <c r="W59" i="25"/>
  <c r="V59" i="25"/>
  <c r="U59" i="25"/>
  <c r="T59" i="25"/>
  <c r="S59" i="25"/>
  <c r="Q59" i="25"/>
  <c r="O59" i="25"/>
  <c r="M59" i="25"/>
  <c r="K59" i="25"/>
  <c r="X58" i="25"/>
  <c r="W58" i="25"/>
  <c r="V58" i="25"/>
  <c r="U58" i="25"/>
  <c r="T58" i="25"/>
  <c r="S58" i="25"/>
  <c r="Q58" i="25"/>
  <c r="O58" i="25"/>
  <c r="M58" i="25"/>
  <c r="K58" i="25"/>
  <c r="X57" i="25"/>
  <c r="W57" i="25"/>
  <c r="V57" i="25"/>
  <c r="U57" i="25"/>
  <c r="T57" i="25"/>
  <c r="S57" i="25"/>
  <c r="Q57" i="25"/>
  <c r="O57" i="25"/>
  <c r="M57" i="25"/>
  <c r="K57" i="25"/>
  <c r="X56" i="25"/>
  <c r="W56" i="25"/>
  <c r="V56" i="25"/>
  <c r="U56" i="25"/>
  <c r="T56" i="25"/>
  <c r="S56" i="25"/>
  <c r="Q56" i="25"/>
  <c r="O56" i="25"/>
  <c r="M56" i="25"/>
  <c r="K56" i="25"/>
  <c r="X55" i="25"/>
  <c r="W55" i="25"/>
  <c r="V55" i="25"/>
  <c r="U55" i="25"/>
  <c r="T55" i="25"/>
  <c r="S55" i="25"/>
  <c r="Q55" i="25"/>
  <c r="O55" i="25"/>
  <c r="M55" i="25"/>
  <c r="K55" i="25"/>
  <c r="X54" i="25"/>
  <c r="W54" i="25"/>
  <c r="V54" i="25"/>
  <c r="U54" i="25"/>
  <c r="T54" i="25"/>
  <c r="S54" i="25"/>
  <c r="Q54" i="25"/>
  <c r="O54" i="25"/>
  <c r="M54" i="25"/>
  <c r="K54" i="25"/>
  <c r="X53" i="25"/>
  <c r="W53" i="25"/>
  <c r="V53" i="25"/>
  <c r="U53" i="25"/>
  <c r="T53" i="25"/>
  <c r="S53" i="25"/>
  <c r="Q53" i="25"/>
  <c r="O53" i="25"/>
  <c r="M53" i="25"/>
  <c r="K53" i="25"/>
  <c r="X52" i="25"/>
  <c r="W52" i="25"/>
  <c r="V52" i="25"/>
  <c r="U52" i="25"/>
  <c r="T52" i="25"/>
  <c r="S52" i="25"/>
  <c r="Q52" i="25"/>
  <c r="O52" i="25"/>
  <c r="M52" i="25"/>
  <c r="K52" i="25"/>
  <c r="X51" i="25"/>
  <c r="W51" i="25"/>
  <c r="V51" i="25"/>
  <c r="U51" i="25"/>
  <c r="T51" i="25"/>
  <c r="S51" i="25"/>
  <c r="Q51" i="25"/>
  <c r="O51" i="25"/>
  <c r="M51" i="25"/>
  <c r="K51" i="25"/>
  <c r="X50" i="25"/>
  <c r="W50" i="25"/>
  <c r="V50" i="25"/>
  <c r="U50" i="25"/>
  <c r="T50" i="25"/>
  <c r="S50" i="25"/>
  <c r="Q50" i="25"/>
  <c r="O50" i="25"/>
  <c r="M50" i="25"/>
  <c r="K50" i="25"/>
  <c r="X49" i="25"/>
  <c r="W49" i="25"/>
  <c r="V49" i="25"/>
  <c r="U49" i="25"/>
  <c r="T49" i="25"/>
  <c r="S49" i="25"/>
  <c r="Q49" i="25"/>
  <c r="O49" i="25"/>
  <c r="M49" i="25"/>
  <c r="K49" i="25"/>
  <c r="X48" i="25"/>
  <c r="W48" i="25"/>
  <c r="V48" i="25"/>
  <c r="U48" i="25"/>
  <c r="T48" i="25"/>
  <c r="S48" i="25"/>
  <c r="Q48" i="25"/>
  <c r="O48" i="25"/>
  <c r="M48" i="25"/>
  <c r="K48" i="25"/>
  <c r="X47" i="25"/>
  <c r="W47" i="25"/>
  <c r="V47" i="25"/>
  <c r="U47" i="25"/>
  <c r="T47" i="25"/>
  <c r="S47" i="25"/>
  <c r="Q47" i="25"/>
  <c r="O47" i="25"/>
  <c r="M47" i="25"/>
  <c r="K47" i="25"/>
  <c r="X46" i="25"/>
  <c r="W46" i="25"/>
  <c r="V46" i="25"/>
  <c r="U46" i="25"/>
  <c r="T46" i="25"/>
  <c r="S46" i="25"/>
  <c r="Q46" i="25"/>
  <c r="O46" i="25"/>
  <c r="M46" i="25"/>
  <c r="K46" i="25"/>
  <c r="X45" i="25"/>
  <c r="W45" i="25"/>
  <c r="V45" i="25"/>
  <c r="U45" i="25"/>
  <c r="T45" i="25"/>
  <c r="S45" i="25"/>
  <c r="Q45" i="25"/>
  <c r="O45" i="25"/>
  <c r="M45" i="25"/>
  <c r="K45" i="25"/>
  <c r="X44" i="25"/>
  <c r="W44" i="25"/>
  <c r="V44" i="25"/>
  <c r="U44" i="25"/>
  <c r="T44" i="25"/>
  <c r="S44" i="25"/>
  <c r="Q44" i="25"/>
  <c r="O44" i="25"/>
  <c r="M44" i="25"/>
  <c r="K44" i="25"/>
  <c r="X43" i="25"/>
  <c r="W43" i="25"/>
  <c r="V43" i="25"/>
  <c r="U43" i="25"/>
  <c r="T43" i="25"/>
  <c r="S43" i="25"/>
  <c r="Q43" i="25"/>
  <c r="O43" i="25"/>
  <c r="M43" i="25"/>
  <c r="K43" i="25"/>
  <c r="X42" i="25"/>
  <c r="W42" i="25"/>
  <c r="V42" i="25"/>
  <c r="U42" i="25"/>
  <c r="T42" i="25"/>
  <c r="S42" i="25"/>
  <c r="Q42" i="25"/>
  <c r="O42" i="25"/>
  <c r="M42" i="25"/>
  <c r="K42" i="25"/>
  <c r="X41" i="25"/>
  <c r="W41" i="25"/>
  <c r="V41" i="25"/>
  <c r="U41" i="25"/>
  <c r="T41" i="25"/>
  <c r="S41" i="25"/>
  <c r="Q41" i="25"/>
  <c r="O41" i="25"/>
  <c r="M41" i="25"/>
  <c r="K41" i="25"/>
  <c r="X40" i="25"/>
  <c r="W40" i="25"/>
  <c r="V40" i="25"/>
  <c r="U40" i="25"/>
  <c r="T40" i="25"/>
  <c r="S40" i="25"/>
  <c r="Q40" i="25"/>
  <c r="O40" i="25"/>
  <c r="M40" i="25"/>
  <c r="K40" i="25"/>
  <c r="X39" i="25"/>
  <c r="W39" i="25"/>
  <c r="V39" i="25"/>
  <c r="U39" i="25"/>
  <c r="T39" i="25"/>
  <c r="S39" i="25"/>
  <c r="Q39" i="25"/>
  <c r="O39" i="25"/>
  <c r="M39" i="25"/>
  <c r="K39" i="25"/>
  <c r="X38" i="25"/>
  <c r="W38" i="25"/>
  <c r="V38" i="25"/>
  <c r="U38" i="25"/>
  <c r="T38" i="25"/>
  <c r="S38" i="25"/>
  <c r="Q38" i="25"/>
  <c r="O38" i="25"/>
  <c r="M38" i="25"/>
  <c r="K38" i="25"/>
  <c r="X37" i="25"/>
  <c r="W37" i="25"/>
  <c r="V37" i="25"/>
  <c r="U37" i="25"/>
  <c r="T37" i="25"/>
  <c r="S37" i="25"/>
  <c r="Q37" i="25"/>
  <c r="O37" i="25"/>
  <c r="M37" i="25"/>
  <c r="K37" i="25"/>
  <c r="X36" i="25"/>
  <c r="W36" i="25"/>
  <c r="V36" i="25"/>
  <c r="U36" i="25"/>
  <c r="T36" i="25"/>
  <c r="S36" i="25"/>
  <c r="Q36" i="25"/>
  <c r="O36" i="25"/>
  <c r="M36" i="25"/>
  <c r="K36" i="25"/>
  <c r="X35" i="25"/>
  <c r="W35" i="25"/>
  <c r="V35" i="25"/>
  <c r="U35" i="25"/>
  <c r="T35" i="25"/>
  <c r="S35" i="25"/>
  <c r="Q35" i="25"/>
  <c r="O35" i="25"/>
  <c r="M35" i="25"/>
  <c r="K35" i="25"/>
  <c r="X34" i="25"/>
  <c r="W34" i="25"/>
  <c r="V34" i="25"/>
  <c r="U34" i="25"/>
  <c r="T34" i="25"/>
  <c r="S34" i="25"/>
  <c r="Q34" i="25"/>
  <c r="O34" i="25"/>
  <c r="M34" i="25"/>
  <c r="K34" i="25"/>
  <c r="X33" i="25"/>
  <c r="W33" i="25"/>
  <c r="V33" i="25"/>
  <c r="U33" i="25"/>
  <c r="T33" i="25"/>
  <c r="S33" i="25"/>
  <c r="Q33" i="25"/>
  <c r="O33" i="25"/>
  <c r="M33" i="25"/>
  <c r="K33" i="25"/>
  <c r="X32" i="25"/>
  <c r="W32" i="25"/>
  <c r="V32" i="25"/>
  <c r="U32" i="25"/>
  <c r="T32" i="25"/>
  <c r="S32" i="25"/>
  <c r="Q32" i="25"/>
  <c r="O32" i="25"/>
  <c r="M32" i="25"/>
  <c r="K32" i="25"/>
  <c r="X31" i="25"/>
  <c r="W31" i="25"/>
  <c r="V31" i="25"/>
  <c r="U31" i="25"/>
  <c r="T31" i="25"/>
  <c r="S31" i="25"/>
  <c r="Q31" i="25"/>
  <c r="O31" i="25"/>
  <c r="M31" i="25"/>
  <c r="K31" i="25"/>
  <c r="X30" i="25"/>
  <c r="W30" i="25"/>
  <c r="V30" i="25"/>
  <c r="U30" i="25"/>
  <c r="T30" i="25"/>
  <c r="S30" i="25"/>
  <c r="Q30" i="25"/>
  <c r="O30" i="25"/>
  <c r="M30" i="25"/>
  <c r="K30" i="25"/>
  <c r="X29" i="25"/>
  <c r="W29" i="25"/>
  <c r="V29" i="25"/>
  <c r="U29" i="25"/>
  <c r="T29" i="25"/>
  <c r="S29" i="25"/>
  <c r="Q29" i="25"/>
  <c r="O29" i="25"/>
  <c r="M29" i="25"/>
  <c r="K29" i="25"/>
  <c r="X28" i="25"/>
  <c r="W28" i="25"/>
  <c r="V28" i="25"/>
  <c r="U28" i="25"/>
  <c r="T28" i="25"/>
  <c r="S28" i="25"/>
  <c r="Q28" i="25"/>
  <c r="O28" i="25"/>
  <c r="M28" i="25"/>
  <c r="K28" i="25"/>
  <c r="X27" i="25"/>
  <c r="W27" i="25"/>
  <c r="V27" i="25"/>
  <c r="U27" i="25"/>
  <c r="T27" i="25"/>
  <c r="S27" i="25"/>
  <c r="Q27" i="25"/>
  <c r="O27" i="25"/>
  <c r="M27" i="25"/>
  <c r="K27" i="25"/>
  <c r="X26" i="25"/>
  <c r="W26" i="25"/>
  <c r="V26" i="25"/>
  <c r="U26" i="25"/>
  <c r="T26" i="25"/>
  <c r="S26" i="25"/>
  <c r="Q26" i="25"/>
  <c r="O26" i="25"/>
  <c r="M26" i="25"/>
  <c r="K26" i="25"/>
  <c r="X25" i="25"/>
  <c r="W25" i="25"/>
  <c r="V25" i="25"/>
  <c r="U25" i="25"/>
  <c r="T25" i="25"/>
  <c r="S25" i="25"/>
  <c r="Q25" i="25"/>
  <c r="O25" i="25"/>
  <c r="M25" i="25"/>
  <c r="K25" i="25"/>
  <c r="X24" i="25"/>
  <c r="W24" i="25"/>
  <c r="V24" i="25"/>
  <c r="U24" i="25"/>
  <c r="T24" i="25"/>
  <c r="S24" i="25"/>
  <c r="Q24" i="25"/>
  <c r="O24" i="25"/>
  <c r="M24" i="25"/>
  <c r="K24" i="25"/>
  <c r="X23" i="25"/>
  <c r="W23" i="25"/>
  <c r="V23" i="25"/>
  <c r="U23" i="25"/>
  <c r="T23" i="25"/>
  <c r="S23" i="25"/>
  <c r="Q23" i="25"/>
  <c r="O23" i="25"/>
  <c r="M23" i="25"/>
  <c r="K23" i="25"/>
  <c r="X22" i="25"/>
  <c r="W22" i="25"/>
  <c r="V22" i="25"/>
  <c r="U22" i="25"/>
  <c r="T22" i="25"/>
  <c r="S22" i="25"/>
  <c r="Q22" i="25"/>
  <c r="O22" i="25"/>
  <c r="M22" i="25"/>
  <c r="K22" i="25"/>
  <c r="X21" i="25"/>
  <c r="W21" i="25"/>
  <c r="V21" i="25"/>
  <c r="U21" i="25"/>
  <c r="T21" i="25"/>
  <c r="S21" i="25"/>
  <c r="Q21" i="25"/>
  <c r="O21" i="25"/>
  <c r="M21" i="25"/>
  <c r="K21" i="25"/>
  <c r="X20" i="25"/>
  <c r="W20" i="25"/>
  <c r="V20" i="25"/>
  <c r="U20" i="25"/>
  <c r="T20" i="25"/>
  <c r="S20" i="25"/>
  <c r="Q20" i="25"/>
  <c r="O20" i="25"/>
  <c r="M20" i="25"/>
  <c r="K20" i="25"/>
  <c r="X19" i="25"/>
  <c r="W19" i="25"/>
  <c r="V19" i="25"/>
  <c r="U19" i="25"/>
  <c r="T19" i="25"/>
  <c r="S19" i="25"/>
  <c r="Q19" i="25"/>
  <c r="O19" i="25"/>
  <c r="M19" i="25"/>
  <c r="K19" i="25"/>
  <c r="X18" i="25"/>
  <c r="W18" i="25"/>
  <c r="V18" i="25"/>
  <c r="U18" i="25"/>
  <c r="T18" i="25"/>
  <c r="S18" i="25"/>
  <c r="Q18" i="25"/>
  <c r="O18" i="25"/>
  <c r="M18" i="25"/>
  <c r="K18" i="25"/>
  <c r="X17" i="25"/>
  <c r="W17" i="25"/>
  <c r="V17" i="25"/>
  <c r="U17" i="25"/>
  <c r="T17" i="25"/>
  <c r="S17" i="25"/>
  <c r="Q17" i="25"/>
  <c r="O17" i="25"/>
  <c r="M17" i="25"/>
  <c r="K17" i="25"/>
  <c r="X16" i="25"/>
  <c r="W16" i="25"/>
  <c r="V16" i="25"/>
  <c r="U16" i="25"/>
  <c r="T16" i="25"/>
  <c r="S16" i="25"/>
  <c r="Q16" i="25"/>
  <c r="O16" i="25"/>
  <c r="M16" i="25"/>
  <c r="K16" i="25"/>
  <c r="X15" i="25"/>
  <c r="W15" i="25"/>
  <c r="V15" i="25"/>
  <c r="U15" i="25"/>
  <c r="T15" i="25"/>
  <c r="S15" i="25"/>
  <c r="Q15" i="25"/>
  <c r="O15" i="25"/>
  <c r="M15" i="25"/>
  <c r="K15" i="25"/>
  <c r="X14" i="25"/>
  <c r="W14" i="25"/>
  <c r="V14" i="25"/>
  <c r="U14" i="25"/>
  <c r="T14" i="25"/>
  <c r="S14" i="25"/>
  <c r="Q14" i="25"/>
  <c r="O14" i="25"/>
  <c r="M14" i="25"/>
  <c r="K14" i="25"/>
  <c r="X13" i="25"/>
  <c r="W13" i="25"/>
  <c r="V13" i="25"/>
  <c r="U13" i="25"/>
  <c r="T13" i="25"/>
  <c r="S13" i="25"/>
  <c r="Q13" i="25"/>
  <c r="O13" i="25"/>
  <c r="M13" i="25"/>
  <c r="K13" i="25"/>
  <c r="X12" i="25"/>
  <c r="W12" i="25"/>
  <c r="V12" i="25"/>
  <c r="U12" i="25"/>
  <c r="T12" i="25"/>
  <c r="S12" i="25"/>
  <c r="Q12" i="25"/>
  <c r="O12" i="25"/>
  <c r="M12" i="25"/>
  <c r="K12" i="25"/>
  <c r="X11" i="25"/>
  <c r="W11" i="25"/>
  <c r="V11" i="25"/>
  <c r="U11" i="25"/>
  <c r="T11" i="25"/>
  <c r="S11" i="25"/>
  <c r="Q11" i="25"/>
  <c r="O11" i="25"/>
  <c r="M11" i="25"/>
  <c r="K11" i="25"/>
  <c r="X10" i="25"/>
  <c r="W10" i="25"/>
  <c r="V10" i="25"/>
  <c r="U10" i="25"/>
  <c r="T10" i="25"/>
  <c r="S10" i="25"/>
  <c r="Q10" i="25"/>
  <c r="O10" i="25"/>
  <c r="M10" i="25"/>
  <c r="K10" i="25"/>
  <c r="X9" i="25"/>
  <c r="W9" i="25"/>
  <c r="V9" i="25"/>
  <c r="U9" i="25"/>
  <c r="T9" i="25"/>
  <c r="S9" i="25"/>
  <c r="Q9" i="25"/>
  <c r="O9" i="25"/>
  <c r="M9" i="25"/>
  <c r="K9" i="25"/>
  <c r="X8" i="25"/>
  <c r="W8" i="25"/>
  <c r="V8" i="25"/>
  <c r="U8" i="25"/>
  <c r="T8" i="25"/>
  <c r="S8" i="25"/>
  <c r="Q8" i="25"/>
  <c r="O8" i="25"/>
  <c r="M8" i="25"/>
  <c r="K8" i="25"/>
  <c r="X7" i="25"/>
  <c r="W7" i="25"/>
  <c r="V7" i="25"/>
  <c r="U7" i="25"/>
  <c r="T7" i="25"/>
  <c r="S7" i="25"/>
  <c r="Q7" i="25"/>
  <c r="O7" i="25"/>
  <c r="M7" i="25"/>
  <c r="K7" i="25"/>
  <c r="X314" i="24"/>
  <c r="W314" i="24"/>
  <c r="V314" i="24"/>
  <c r="U314" i="24"/>
  <c r="T314" i="24"/>
  <c r="S314" i="24"/>
  <c r="Q314" i="24"/>
  <c r="O314" i="24"/>
  <c r="M314" i="24"/>
  <c r="K314" i="24"/>
  <c r="X313" i="24"/>
  <c r="W313" i="24"/>
  <c r="V313" i="24"/>
  <c r="U313" i="24"/>
  <c r="T313" i="24"/>
  <c r="S313" i="24"/>
  <c r="Q313" i="24"/>
  <c r="O313" i="24"/>
  <c r="M313" i="24"/>
  <c r="K313" i="24"/>
  <c r="X312" i="24"/>
  <c r="W312" i="24"/>
  <c r="V312" i="24"/>
  <c r="U312" i="24"/>
  <c r="T312" i="24"/>
  <c r="S312" i="24"/>
  <c r="Q312" i="24"/>
  <c r="O312" i="24"/>
  <c r="M312" i="24"/>
  <c r="K312" i="24"/>
  <c r="X311" i="24"/>
  <c r="W311" i="24"/>
  <c r="V311" i="24"/>
  <c r="U311" i="24"/>
  <c r="T311" i="24"/>
  <c r="S311" i="24"/>
  <c r="Q311" i="24"/>
  <c r="O311" i="24"/>
  <c r="M311" i="24"/>
  <c r="K311" i="24"/>
  <c r="X310" i="24"/>
  <c r="W310" i="24"/>
  <c r="V310" i="24"/>
  <c r="U310" i="24"/>
  <c r="T310" i="24"/>
  <c r="S310" i="24"/>
  <c r="Q310" i="24"/>
  <c r="O310" i="24"/>
  <c r="M310" i="24"/>
  <c r="K310" i="24"/>
  <c r="X309" i="24"/>
  <c r="W309" i="24"/>
  <c r="V309" i="24"/>
  <c r="U309" i="24"/>
  <c r="T309" i="24"/>
  <c r="S309" i="24"/>
  <c r="Q309" i="24"/>
  <c r="O309" i="24"/>
  <c r="M309" i="24"/>
  <c r="K309" i="24"/>
  <c r="X308" i="24"/>
  <c r="W308" i="24"/>
  <c r="V308" i="24"/>
  <c r="U308" i="24"/>
  <c r="T308" i="24"/>
  <c r="S308" i="24"/>
  <c r="Q308" i="24"/>
  <c r="O308" i="24"/>
  <c r="M308" i="24"/>
  <c r="K308" i="24"/>
  <c r="X307" i="24"/>
  <c r="W307" i="24"/>
  <c r="V307" i="24"/>
  <c r="U307" i="24"/>
  <c r="T307" i="24"/>
  <c r="S307" i="24"/>
  <c r="Q307" i="24"/>
  <c r="O307" i="24"/>
  <c r="M307" i="24"/>
  <c r="K307" i="24"/>
  <c r="X306" i="24"/>
  <c r="W306" i="24"/>
  <c r="V306" i="24"/>
  <c r="U306" i="24"/>
  <c r="T306" i="24"/>
  <c r="S306" i="24"/>
  <c r="Q306" i="24"/>
  <c r="O306" i="24"/>
  <c r="M306" i="24"/>
  <c r="K306" i="24"/>
  <c r="X305" i="24"/>
  <c r="W305" i="24"/>
  <c r="V305" i="24"/>
  <c r="U305" i="24"/>
  <c r="T305" i="24"/>
  <c r="S305" i="24"/>
  <c r="Q305" i="24"/>
  <c r="O305" i="24"/>
  <c r="M305" i="24"/>
  <c r="K305" i="24"/>
  <c r="X304" i="24"/>
  <c r="W304" i="24"/>
  <c r="V304" i="24"/>
  <c r="U304" i="24"/>
  <c r="T304" i="24"/>
  <c r="S304" i="24"/>
  <c r="Q304" i="24"/>
  <c r="O304" i="24"/>
  <c r="M304" i="24"/>
  <c r="K304" i="24"/>
  <c r="X303" i="24"/>
  <c r="W303" i="24"/>
  <c r="V303" i="24"/>
  <c r="U303" i="24"/>
  <c r="T303" i="24"/>
  <c r="S303" i="24"/>
  <c r="Q303" i="24"/>
  <c r="O303" i="24"/>
  <c r="M303" i="24"/>
  <c r="K303" i="24"/>
  <c r="X302" i="24"/>
  <c r="W302" i="24"/>
  <c r="V302" i="24"/>
  <c r="U302" i="24"/>
  <c r="T302" i="24"/>
  <c r="S302" i="24"/>
  <c r="Q302" i="24"/>
  <c r="O302" i="24"/>
  <c r="M302" i="24"/>
  <c r="K302" i="24"/>
  <c r="X301" i="24"/>
  <c r="W301" i="24"/>
  <c r="V301" i="24"/>
  <c r="U301" i="24"/>
  <c r="T301" i="24"/>
  <c r="S301" i="24"/>
  <c r="Q301" i="24"/>
  <c r="O301" i="24"/>
  <c r="M301" i="24"/>
  <c r="K301" i="24"/>
  <c r="X300" i="24"/>
  <c r="W300" i="24"/>
  <c r="V300" i="24"/>
  <c r="U300" i="24"/>
  <c r="T300" i="24"/>
  <c r="S300" i="24"/>
  <c r="Q300" i="24"/>
  <c r="O300" i="24"/>
  <c r="M300" i="24"/>
  <c r="K300" i="24"/>
  <c r="X299" i="24"/>
  <c r="W299" i="24"/>
  <c r="V299" i="24"/>
  <c r="U299" i="24"/>
  <c r="T299" i="24"/>
  <c r="S299" i="24"/>
  <c r="Q299" i="24"/>
  <c r="O299" i="24"/>
  <c r="M299" i="24"/>
  <c r="K299" i="24"/>
  <c r="X298" i="24"/>
  <c r="W298" i="24"/>
  <c r="V298" i="24"/>
  <c r="U298" i="24"/>
  <c r="T298" i="24"/>
  <c r="S298" i="24"/>
  <c r="Q298" i="24"/>
  <c r="O298" i="24"/>
  <c r="M298" i="24"/>
  <c r="K298" i="24"/>
  <c r="X297" i="24"/>
  <c r="W297" i="24"/>
  <c r="V297" i="24"/>
  <c r="U297" i="24"/>
  <c r="T297" i="24"/>
  <c r="S297" i="24"/>
  <c r="Q297" i="24"/>
  <c r="O297" i="24"/>
  <c r="M297" i="24"/>
  <c r="K297" i="24"/>
  <c r="X296" i="24"/>
  <c r="W296" i="24"/>
  <c r="V296" i="24"/>
  <c r="U296" i="24"/>
  <c r="T296" i="24"/>
  <c r="S296" i="24"/>
  <c r="Q296" i="24"/>
  <c r="O296" i="24"/>
  <c r="M296" i="24"/>
  <c r="K296" i="24"/>
  <c r="X295" i="24"/>
  <c r="W295" i="24"/>
  <c r="V295" i="24"/>
  <c r="U295" i="24"/>
  <c r="T295" i="24"/>
  <c r="S295" i="24"/>
  <c r="Q295" i="24"/>
  <c r="O295" i="24"/>
  <c r="M295" i="24"/>
  <c r="K295" i="24"/>
  <c r="X294" i="24"/>
  <c r="W294" i="24"/>
  <c r="V294" i="24"/>
  <c r="U294" i="24"/>
  <c r="T294" i="24"/>
  <c r="S294" i="24"/>
  <c r="Q294" i="24"/>
  <c r="O294" i="24"/>
  <c r="M294" i="24"/>
  <c r="K294" i="24"/>
  <c r="X293" i="24"/>
  <c r="W293" i="24"/>
  <c r="V293" i="24"/>
  <c r="U293" i="24"/>
  <c r="T293" i="24"/>
  <c r="S293" i="24"/>
  <c r="Q293" i="24"/>
  <c r="O293" i="24"/>
  <c r="M293" i="24"/>
  <c r="K293" i="24"/>
  <c r="X292" i="24"/>
  <c r="W292" i="24"/>
  <c r="V292" i="24"/>
  <c r="U292" i="24"/>
  <c r="T292" i="24"/>
  <c r="S292" i="24"/>
  <c r="Q292" i="24"/>
  <c r="O292" i="24"/>
  <c r="M292" i="24"/>
  <c r="K292" i="24"/>
  <c r="X291" i="24"/>
  <c r="W291" i="24"/>
  <c r="V291" i="24"/>
  <c r="U291" i="24"/>
  <c r="T291" i="24"/>
  <c r="S291" i="24"/>
  <c r="Q291" i="24"/>
  <c r="O291" i="24"/>
  <c r="M291" i="24"/>
  <c r="K291" i="24"/>
  <c r="X290" i="24"/>
  <c r="W290" i="24"/>
  <c r="V290" i="24"/>
  <c r="U290" i="24"/>
  <c r="T290" i="24"/>
  <c r="S290" i="24"/>
  <c r="Q290" i="24"/>
  <c r="O290" i="24"/>
  <c r="M290" i="24"/>
  <c r="K290" i="24"/>
  <c r="X289" i="24"/>
  <c r="W289" i="24"/>
  <c r="V289" i="24"/>
  <c r="U289" i="24"/>
  <c r="T289" i="24"/>
  <c r="S289" i="24"/>
  <c r="Q289" i="24"/>
  <c r="O289" i="24"/>
  <c r="M289" i="24"/>
  <c r="K289" i="24"/>
  <c r="X288" i="24"/>
  <c r="W288" i="24"/>
  <c r="V288" i="24"/>
  <c r="U288" i="24"/>
  <c r="T288" i="24"/>
  <c r="S288" i="24"/>
  <c r="Q288" i="24"/>
  <c r="O288" i="24"/>
  <c r="M288" i="24"/>
  <c r="K288" i="24"/>
  <c r="X287" i="24"/>
  <c r="W287" i="24"/>
  <c r="V287" i="24"/>
  <c r="U287" i="24"/>
  <c r="T287" i="24"/>
  <c r="S287" i="24"/>
  <c r="Q287" i="24"/>
  <c r="O287" i="24"/>
  <c r="M287" i="24"/>
  <c r="K287" i="24"/>
  <c r="X286" i="24"/>
  <c r="W286" i="24"/>
  <c r="V286" i="24"/>
  <c r="U286" i="24"/>
  <c r="T286" i="24"/>
  <c r="S286" i="24"/>
  <c r="Q286" i="24"/>
  <c r="O286" i="24"/>
  <c r="M286" i="24"/>
  <c r="K286" i="24"/>
  <c r="X285" i="24"/>
  <c r="W285" i="24"/>
  <c r="V285" i="24"/>
  <c r="U285" i="24"/>
  <c r="T285" i="24"/>
  <c r="S285" i="24"/>
  <c r="Q285" i="24"/>
  <c r="O285" i="24"/>
  <c r="M285" i="24"/>
  <c r="K285" i="24"/>
  <c r="X284" i="24"/>
  <c r="W284" i="24"/>
  <c r="V284" i="24"/>
  <c r="U284" i="24"/>
  <c r="T284" i="24"/>
  <c r="S284" i="24"/>
  <c r="Q284" i="24"/>
  <c r="O284" i="24"/>
  <c r="M284" i="24"/>
  <c r="K284" i="24"/>
  <c r="X283" i="24"/>
  <c r="W283" i="24"/>
  <c r="V283" i="24"/>
  <c r="U283" i="24"/>
  <c r="T283" i="24"/>
  <c r="S283" i="24"/>
  <c r="Q283" i="24"/>
  <c r="O283" i="24"/>
  <c r="M283" i="24"/>
  <c r="K283" i="24"/>
  <c r="X282" i="24"/>
  <c r="W282" i="24"/>
  <c r="V282" i="24"/>
  <c r="U282" i="24"/>
  <c r="T282" i="24"/>
  <c r="S282" i="24"/>
  <c r="Q282" i="24"/>
  <c r="O282" i="24"/>
  <c r="M282" i="24"/>
  <c r="K282" i="24"/>
  <c r="X281" i="24"/>
  <c r="W281" i="24"/>
  <c r="V281" i="24"/>
  <c r="U281" i="24"/>
  <c r="T281" i="24"/>
  <c r="S281" i="24"/>
  <c r="Q281" i="24"/>
  <c r="O281" i="24"/>
  <c r="M281" i="24"/>
  <c r="K281" i="24"/>
  <c r="X280" i="24"/>
  <c r="W280" i="24"/>
  <c r="V280" i="24"/>
  <c r="U280" i="24"/>
  <c r="T280" i="24"/>
  <c r="S280" i="24"/>
  <c r="Q280" i="24"/>
  <c r="O280" i="24"/>
  <c r="M280" i="24"/>
  <c r="K280" i="24"/>
  <c r="X279" i="24"/>
  <c r="W279" i="24"/>
  <c r="V279" i="24"/>
  <c r="U279" i="24"/>
  <c r="T279" i="24"/>
  <c r="S279" i="24"/>
  <c r="Q279" i="24"/>
  <c r="O279" i="24"/>
  <c r="M279" i="24"/>
  <c r="K279" i="24"/>
  <c r="X278" i="24"/>
  <c r="W278" i="24"/>
  <c r="V278" i="24"/>
  <c r="U278" i="24"/>
  <c r="T278" i="24"/>
  <c r="S278" i="24"/>
  <c r="Q278" i="24"/>
  <c r="O278" i="24"/>
  <c r="M278" i="24"/>
  <c r="K278" i="24"/>
  <c r="X277" i="24"/>
  <c r="W277" i="24"/>
  <c r="V277" i="24"/>
  <c r="U277" i="24"/>
  <c r="T277" i="24"/>
  <c r="S277" i="24"/>
  <c r="Q277" i="24"/>
  <c r="O277" i="24"/>
  <c r="M277" i="24"/>
  <c r="K277" i="24"/>
  <c r="X276" i="24"/>
  <c r="W276" i="24"/>
  <c r="V276" i="24"/>
  <c r="U276" i="24"/>
  <c r="T276" i="24"/>
  <c r="S276" i="24"/>
  <c r="Q276" i="24"/>
  <c r="O276" i="24"/>
  <c r="M276" i="24"/>
  <c r="K276" i="24"/>
  <c r="X275" i="24"/>
  <c r="W275" i="24"/>
  <c r="V275" i="24"/>
  <c r="U275" i="24"/>
  <c r="T275" i="24"/>
  <c r="S275" i="24"/>
  <c r="Q275" i="24"/>
  <c r="O275" i="24"/>
  <c r="M275" i="24"/>
  <c r="K275" i="24"/>
  <c r="X274" i="24"/>
  <c r="W274" i="24"/>
  <c r="V274" i="24"/>
  <c r="U274" i="24"/>
  <c r="T274" i="24"/>
  <c r="S274" i="24"/>
  <c r="Q274" i="24"/>
  <c r="O274" i="24"/>
  <c r="M274" i="24"/>
  <c r="K274" i="24"/>
  <c r="X273" i="24"/>
  <c r="W273" i="24"/>
  <c r="V273" i="24"/>
  <c r="U273" i="24"/>
  <c r="T273" i="24"/>
  <c r="S273" i="24"/>
  <c r="Q273" i="24"/>
  <c r="O273" i="24"/>
  <c r="M273" i="24"/>
  <c r="K273" i="24"/>
  <c r="X272" i="24"/>
  <c r="W272" i="24"/>
  <c r="V272" i="24"/>
  <c r="U272" i="24"/>
  <c r="T272" i="24"/>
  <c r="S272" i="24"/>
  <c r="Q272" i="24"/>
  <c r="O272" i="24"/>
  <c r="M272" i="24"/>
  <c r="K272" i="24"/>
  <c r="X271" i="24"/>
  <c r="W271" i="24"/>
  <c r="V271" i="24"/>
  <c r="U271" i="24"/>
  <c r="T271" i="24"/>
  <c r="S271" i="24"/>
  <c r="Q271" i="24"/>
  <c r="O271" i="24"/>
  <c r="M271" i="24"/>
  <c r="K271" i="24"/>
  <c r="X270" i="24"/>
  <c r="W270" i="24"/>
  <c r="V270" i="24"/>
  <c r="U270" i="24"/>
  <c r="T270" i="24"/>
  <c r="S270" i="24"/>
  <c r="Q270" i="24"/>
  <c r="O270" i="24"/>
  <c r="M270" i="24"/>
  <c r="K270" i="24"/>
  <c r="X269" i="24"/>
  <c r="W269" i="24"/>
  <c r="V269" i="24"/>
  <c r="U269" i="24"/>
  <c r="T269" i="24"/>
  <c r="S269" i="24"/>
  <c r="Q269" i="24"/>
  <c r="O269" i="24"/>
  <c r="M269" i="24"/>
  <c r="K269" i="24"/>
  <c r="X268" i="24"/>
  <c r="W268" i="24"/>
  <c r="V268" i="24"/>
  <c r="U268" i="24"/>
  <c r="T268" i="24"/>
  <c r="S268" i="24"/>
  <c r="Q268" i="24"/>
  <c r="O268" i="24"/>
  <c r="M268" i="24"/>
  <c r="K268" i="24"/>
  <c r="X267" i="24"/>
  <c r="W267" i="24"/>
  <c r="V267" i="24"/>
  <c r="U267" i="24"/>
  <c r="T267" i="24"/>
  <c r="S267" i="24"/>
  <c r="Q267" i="24"/>
  <c r="O267" i="24"/>
  <c r="M267" i="24"/>
  <c r="K267" i="24"/>
  <c r="X266" i="24"/>
  <c r="W266" i="24"/>
  <c r="V266" i="24"/>
  <c r="U266" i="24"/>
  <c r="T266" i="24"/>
  <c r="S266" i="24"/>
  <c r="Q266" i="24"/>
  <c r="O266" i="24"/>
  <c r="M266" i="24"/>
  <c r="K266" i="24"/>
  <c r="X265" i="24"/>
  <c r="W265" i="24"/>
  <c r="V265" i="24"/>
  <c r="U265" i="24"/>
  <c r="T265" i="24"/>
  <c r="S265" i="24"/>
  <c r="Q265" i="24"/>
  <c r="O265" i="24"/>
  <c r="M265" i="24"/>
  <c r="K265" i="24"/>
  <c r="X264" i="24"/>
  <c r="W264" i="24"/>
  <c r="V264" i="24"/>
  <c r="U264" i="24"/>
  <c r="T264" i="24"/>
  <c r="S264" i="24"/>
  <c r="Q264" i="24"/>
  <c r="O264" i="24"/>
  <c r="M264" i="24"/>
  <c r="K264" i="24"/>
  <c r="X263" i="24"/>
  <c r="W263" i="24"/>
  <c r="V263" i="24"/>
  <c r="U263" i="24"/>
  <c r="T263" i="24"/>
  <c r="S263" i="24"/>
  <c r="Q263" i="24"/>
  <c r="O263" i="24"/>
  <c r="M263" i="24"/>
  <c r="K263" i="24"/>
  <c r="X262" i="24"/>
  <c r="W262" i="24"/>
  <c r="V262" i="24"/>
  <c r="U262" i="24"/>
  <c r="T262" i="24"/>
  <c r="S262" i="24"/>
  <c r="Q262" i="24"/>
  <c r="O262" i="24"/>
  <c r="M262" i="24"/>
  <c r="K262" i="24"/>
  <c r="X261" i="24"/>
  <c r="W261" i="24"/>
  <c r="V261" i="24"/>
  <c r="U261" i="24"/>
  <c r="T261" i="24"/>
  <c r="S261" i="24"/>
  <c r="Q261" i="24"/>
  <c r="O261" i="24"/>
  <c r="M261" i="24"/>
  <c r="K261" i="24"/>
  <c r="X260" i="24"/>
  <c r="W260" i="24"/>
  <c r="V260" i="24"/>
  <c r="U260" i="24"/>
  <c r="T260" i="24"/>
  <c r="S260" i="24"/>
  <c r="Q260" i="24"/>
  <c r="O260" i="24"/>
  <c r="M260" i="24"/>
  <c r="K260" i="24"/>
  <c r="X259" i="24"/>
  <c r="W259" i="24"/>
  <c r="V259" i="24"/>
  <c r="U259" i="24"/>
  <c r="T259" i="24"/>
  <c r="S259" i="24"/>
  <c r="Q259" i="24"/>
  <c r="O259" i="24"/>
  <c r="M259" i="24"/>
  <c r="K259" i="24"/>
  <c r="X258" i="24"/>
  <c r="W258" i="24"/>
  <c r="V258" i="24"/>
  <c r="U258" i="24"/>
  <c r="T258" i="24"/>
  <c r="S258" i="24"/>
  <c r="Q258" i="24"/>
  <c r="O258" i="24"/>
  <c r="M258" i="24"/>
  <c r="K258" i="24"/>
  <c r="X257" i="24"/>
  <c r="W257" i="24"/>
  <c r="V257" i="24"/>
  <c r="U257" i="24"/>
  <c r="T257" i="24"/>
  <c r="S257" i="24"/>
  <c r="Q257" i="24"/>
  <c r="O257" i="24"/>
  <c r="M257" i="24"/>
  <c r="K257" i="24"/>
  <c r="X256" i="24"/>
  <c r="W256" i="24"/>
  <c r="V256" i="24"/>
  <c r="U256" i="24"/>
  <c r="T256" i="24"/>
  <c r="S256" i="24"/>
  <c r="Q256" i="24"/>
  <c r="O256" i="24"/>
  <c r="M256" i="24"/>
  <c r="K256" i="24"/>
  <c r="X255" i="24"/>
  <c r="W255" i="24"/>
  <c r="V255" i="24"/>
  <c r="U255" i="24"/>
  <c r="T255" i="24"/>
  <c r="S255" i="24"/>
  <c r="Q255" i="24"/>
  <c r="O255" i="24"/>
  <c r="M255" i="24"/>
  <c r="K255" i="24"/>
  <c r="X254" i="24"/>
  <c r="W254" i="24"/>
  <c r="V254" i="24"/>
  <c r="U254" i="24"/>
  <c r="T254" i="24"/>
  <c r="S254" i="24"/>
  <c r="Q254" i="24"/>
  <c r="O254" i="24"/>
  <c r="M254" i="24"/>
  <c r="K254" i="24"/>
  <c r="X253" i="24"/>
  <c r="W253" i="24"/>
  <c r="V253" i="24"/>
  <c r="U253" i="24"/>
  <c r="T253" i="24"/>
  <c r="S253" i="24"/>
  <c r="Q253" i="24"/>
  <c r="O253" i="24"/>
  <c r="M253" i="24"/>
  <c r="K253" i="24"/>
  <c r="X252" i="24"/>
  <c r="W252" i="24"/>
  <c r="V252" i="24"/>
  <c r="U252" i="24"/>
  <c r="T252" i="24"/>
  <c r="S252" i="24"/>
  <c r="Q252" i="24"/>
  <c r="O252" i="24"/>
  <c r="M252" i="24"/>
  <c r="K252" i="24"/>
  <c r="X251" i="24"/>
  <c r="W251" i="24"/>
  <c r="V251" i="24"/>
  <c r="U251" i="24"/>
  <c r="T251" i="24"/>
  <c r="S251" i="24"/>
  <c r="Q251" i="24"/>
  <c r="O251" i="24"/>
  <c r="M251" i="24"/>
  <c r="K251" i="24"/>
  <c r="X250" i="24"/>
  <c r="W250" i="24"/>
  <c r="V250" i="24"/>
  <c r="U250" i="24"/>
  <c r="T250" i="24"/>
  <c r="S250" i="24"/>
  <c r="Q250" i="24"/>
  <c r="O250" i="24"/>
  <c r="M250" i="24"/>
  <c r="K250" i="24"/>
  <c r="X249" i="24"/>
  <c r="W249" i="24"/>
  <c r="V249" i="24"/>
  <c r="U249" i="24"/>
  <c r="T249" i="24"/>
  <c r="S249" i="24"/>
  <c r="Q249" i="24"/>
  <c r="O249" i="24"/>
  <c r="M249" i="24"/>
  <c r="K249" i="24"/>
  <c r="X248" i="24"/>
  <c r="W248" i="24"/>
  <c r="V248" i="24"/>
  <c r="U248" i="24"/>
  <c r="T248" i="24"/>
  <c r="S248" i="24"/>
  <c r="Q248" i="24"/>
  <c r="O248" i="24"/>
  <c r="M248" i="24"/>
  <c r="K248" i="24"/>
  <c r="X247" i="24"/>
  <c r="W247" i="24"/>
  <c r="V247" i="24"/>
  <c r="U247" i="24"/>
  <c r="T247" i="24"/>
  <c r="S247" i="24"/>
  <c r="Q247" i="24"/>
  <c r="O247" i="24"/>
  <c r="M247" i="24"/>
  <c r="K247" i="24"/>
  <c r="X246" i="24"/>
  <c r="W246" i="24"/>
  <c r="V246" i="24"/>
  <c r="U246" i="24"/>
  <c r="T246" i="24"/>
  <c r="S246" i="24"/>
  <c r="Q246" i="24"/>
  <c r="O246" i="24"/>
  <c r="M246" i="24"/>
  <c r="K246" i="24"/>
  <c r="X245" i="24"/>
  <c r="W245" i="24"/>
  <c r="V245" i="24"/>
  <c r="U245" i="24"/>
  <c r="T245" i="24"/>
  <c r="S245" i="24"/>
  <c r="Q245" i="24"/>
  <c r="O245" i="24"/>
  <c r="M245" i="24"/>
  <c r="K245" i="24"/>
  <c r="X244" i="24"/>
  <c r="W244" i="24"/>
  <c r="V244" i="24"/>
  <c r="U244" i="24"/>
  <c r="T244" i="24"/>
  <c r="S244" i="24"/>
  <c r="Q244" i="24"/>
  <c r="O244" i="24"/>
  <c r="M244" i="24"/>
  <c r="K244" i="24"/>
  <c r="X243" i="24"/>
  <c r="W243" i="24"/>
  <c r="V243" i="24"/>
  <c r="U243" i="24"/>
  <c r="T243" i="24"/>
  <c r="S243" i="24"/>
  <c r="Q243" i="24"/>
  <c r="O243" i="24"/>
  <c r="M243" i="24"/>
  <c r="K243" i="24"/>
  <c r="X242" i="24"/>
  <c r="W242" i="24"/>
  <c r="V242" i="24"/>
  <c r="U242" i="24"/>
  <c r="T242" i="24"/>
  <c r="S242" i="24"/>
  <c r="Q242" i="24"/>
  <c r="O242" i="24"/>
  <c r="M242" i="24"/>
  <c r="K242" i="24"/>
  <c r="X241" i="24"/>
  <c r="W241" i="24"/>
  <c r="V241" i="24"/>
  <c r="U241" i="24"/>
  <c r="T241" i="24"/>
  <c r="S241" i="24"/>
  <c r="Q241" i="24"/>
  <c r="O241" i="24"/>
  <c r="M241" i="24"/>
  <c r="K241" i="24"/>
  <c r="X240" i="24"/>
  <c r="W240" i="24"/>
  <c r="V240" i="24"/>
  <c r="U240" i="24"/>
  <c r="T240" i="24"/>
  <c r="S240" i="24"/>
  <c r="Q240" i="24"/>
  <c r="O240" i="24"/>
  <c r="M240" i="24"/>
  <c r="K240" i="24"/>
  <c r="X239" i="24"/>
  <c r="W239" i="24"/>
  <c r="V239" i="24"/>
  <c r="U239" i="24"/>
  <c r="T239" i="24"/>
  <c r="S239" i="24"/>
  <c r="Q239" i="24"/>
  <c r="O239" i="24"/>
  <c r="M239" i="24"/>
  <c r="K239" i="24"/>
  <c r="X238" i="24"/>
  <c r="W238" i="24"/>
  <c r="V238" i="24"/>
  <c r="U238" i="24"/>
  <c r="T238" i="24"/>
  <c r="S238" i="24"/>
  <c r="Q238" i="24"/>
  <c r="O238" i="24"/>
  <c r="M238" i="24"/>
  <c r="K238" i="24"/>
  <c r="X237" i="24"/>
  <c r="W237" i="24"/>
  <c r="V237" i="24"/>
  <c r="U237" i="24"/>
  <c r="T237" i="24"/>
  <c r="S237" i="24"/>
  <c r="Q237" i="24"/>
  <c r="O237" i="24"/>
  <c r="M237" i="24"/>
  <c r="K237" i="24"/>
  <c r="X236" i="24"/>
  <c r="W236" i="24"/>
  <c r="V236" i="24"/>
  <c r="U236" i="24"/>
  <c r="T236" i="24"/>
  <c r="S236" i="24"/>
  <c r="Q236" i="24"/>
  <c r="O236" i="24"/>
  <c r="M236" i="24"/>
  <c r="K236" i="24"/>
  <c r="X235" i="24"/>
  <c r="W235" i="24"/>
  <c r="V235" i="24"/>
  <c r="U235" i="24"/>
  <c r="T235" i="24"/>
  <c r="S235" i="24"/>
  <c r="Q235" i="24"/>
  <c r="O235" i="24"/>
  <c r="M235" i="24"/>
  <c r="K235" i="24"/>
  <c r="X234" i="24"/>
  <c r="W234" i="24"/>
  <c r="V234" i="24"/>
  <c r="U234" i="24"/>
  <c r="T234" i="24"/>
  <c r="S234" i="24"/>
  <c r="Q234" i="24"/>
  <c r="O234" i="24"/>
  <c r="M234" i="24"/>
  <c r="K234" i="24"/>
  <c r="X233" i="24"/>
  <c r="W233" i="24"/>
  <c r="V233" i="24"/>
  <c r="U233" i="24"/>
  <c r="T233" i="24"/>
  <c r="S233" i="24"/>
  <c r="Q233" i="24"/>
  <c r="O233" i="24"/>
  <c r="M233" i="24"/>
  <c r="K233" i="24"/>
  <c r="X232" i="24"/>
  <c r="W232" i="24"/>
  <c r="V232" i="24"/>
  <c r="U232" i="24"/>
  <c r="T232" i="24"/>
  <c r="S232" i="24"/>
  <c r="Q232" i="24"/>
  <c r="O232" i="24"/>
  <c r="M232" i="24"/>
  <c r="K232" i="24"/>
  <c r="X231" i="24"/>
  <c r="W231" i="24"/>
  <c r="V231" i="24"/>
  <c r="U231" i="24"/>
  <c r="T231" i="24"/>
  <c r="S231" i="24"/>
  <c r="Q231" i="24"/>
  <c r="O231" i="24"/>
  <c r="M231" i="24"/>
  <c r="K231" i="24"/>
  <c r="X230" i="24"/>
  <c r="W230" i="24"/>
  <c r="V230" i="24"/>
  <c r="U230" i="24"/>
  <c r="T230" i="24"/>
  <c r="S230" i="24"/>
  <c r="Q230" i="24"/>
  <c r="O230" i="24"/>
  <c r="M230" i="24"/>
  <c r="K230" i="24"/>
  <c r="X229" i="24"/>
  <c r="W229" i="24"/>
  <c r="V229" i="24"/>
  <c r="U229" i="24"/>
  <c r="T229" i="24"/>
  <c r="S229" i="24"/>
  <c r="Q229" i="24"/>
  <c r="O229" i="24"/>
  <c r="M229" i="24"/>
  <c r="K229" i="24"/>
  <c r="X228" i="24"/>
  <c r="W228" i="24"/>
  <c r="V228" i="24"/>
  <c r="U228" i="24"/>
  <c r="T228" i="24"/>
  <c r="S228" i="24"/>
  <c r="Q228" i="24"/>
  <c r="O228" i="24"/>
  <c r="M228" i="24"/>
  <c r="K228" i="24"/>
  <c r="X227" i="24"/>
  <c r="W227" i="24"/>
  <c r="V227" i="24"/>
  <c r="U227" i="24"/>
  <c r="T227" i="24"/>
  <c r="S227" i="24"/>
  <c r="Q227" i="24"/>
  <c r="O227" i="24"/>
  <c r="M227" i="24"/>
  <c r="K227" i="24"/>
  <c r="X226" i="24"/>
  <c r="W226" i="24"/>
  <c r="V226" i="24"/>
  <c r="U226" i="24"/>
  <c r="T226" i="24"/>
  <c r="S226" i="24"/>
  <c r="Q226" i="24"/>
  <c r="O226" i="24"/>
  <c r="M226" i="24"/>
  <c r="K226" i="24"/>
  <c r="X225" i="24"/>
  <c r="W225" i="24"/>
  <c r="V225" i="24"/>
  <c r="U225" i="24"/>
  <c r="T225" i="24"/>
  <c r="S225" i="24"/>
  <c r="Q225" i="24"/>
  <c r="O225" i="24"/>
  <c r="M225" i="24"/>
  <c r="K225" i="24"/>
  <c r="X224" i="24"/>
  <c r="W224" i="24"/>
  <c r="V224" i="24"/>
  <c r="U224" i="24"/>
  <c r="T224" i="24"/>
  <c r="S224" i="24"/>
  <c r="Q224" i="24"/>
  <c r="O224" i="24"/>
  <c r="M224" i="24"/>
  <c r="K224" i="24"/>
  <c r="X223" i="24"/>
  <c r="W223" i="24"/>
  <c r="V223" i="24"/>
  <c r="U223" i="24"/>
  <c r="T223" i="24"/>
  <c r="S223" i="24"/>
  <c r="Q223" i="24"/>
  <c r="O223" i="24"/>
  <c r="M223" i="24"/>
  <c r="K223" i="24"/>
  <c r="X222" i="24"/>
  <c r="W222" i="24"/>
  <c r="V222" i="24"/>
  <c r="U222" i="24"/>
  <c r="T222" i="24"/>
  <c r="S222" i="24"/>
  <c r="Q222" i="24"/>
  <c r="O222" i="24"/>
  <c r="M222" i="24"/>
  <c r="K222" i="24"/>
  <c r="X221" i="24"/>
  <c r="W221" i="24"/>
  <c r="V221" i="24"/>
  <c r="U221" i="24"/>
  <c r="T221" i="24"/>
  <c r="S221" i="24"/>
  <c r="Q221" i="24"/>
  <c r="O221" i="24"/>
  <c r="M221" i="24"/>
  <c r="K221" i="24"/>
  <c r="X220" i="24"/>
  <c r="W220" i="24"/>
  <c r="V220" i="24"/>
  <c r="U220" i="24"/>
  <c r="T220" i="24"/>
  <c r="S220" i="24"/>
  <c r="Q220" i="24"/>
  <c r="O220" i="24"/>
  <c r="M220" i="24"/>
  <c r="K220" i="24"/>
  <c r="X219" i="24"/>
  <c r="W219" i="24"/>
  <c r="V219" i="24"/>
  <c r="U219" i="24"/>
  <c r="T219" i="24"/>
  <c r="S219" i="24"/>
  <c r="Q219" i="24"/>
  <c r="O219" i="24"/>
  <c r="M219" i="24"/>
  <c r="K219" i="24"/>
  <c r="X218" i="24"/>
  <c r="W218" i="24"/>
  <c r="V218" i="24"/>
  <c r="U218" i="24"/>
  <c r="T218" i="24"/>
  <c r="S218" i="24"/>
  <c r="Q218" i="24"/>
  <c r="O218" i="24"/>
  <c r="M218" i="24"/>
  <c r="K218" i="24"/>
  <c r="X217" i="24"/>
  <c r="W217" i="24"/>
  <c r="V217" i="24"/>
  <c r="U217" i="24"/>
  <c r="T217" i="24"/>
  <c r="S217" i="24"/>
  <c r="Q217" i="24"/>
  <c r="O217" i="24"/>
  <c r="M217" i="24"/>
  <c r="K217" i="24"/>
  <c r="X216" i="24"/>
  <c r="W216" i="24"/>
  <c r="V216" i="24"/>
  <c r="U216" i="24"/>
  <c r="T216" i="24"/>
  <c r="S216" i="24"/>
  <c r="Q216" i="24"/>
  <c r="O216" i="24"/>
  <c r="M216" i="24"/>
  <c r="K216" i="24"/>
  <c r="X215" i="24"/>
  <c r="W215" i="24"/>
  <c r="V215" i="24"/>
  <c r="U215" i="24"/>
  <c r="T215" i="24"/>
  <c r="S215" i="24"/>
  <c r="Q215" i="24"/>
  <c r="O215" i="24"/>
  <c r="M215" i="24"/>
  <c r="K215" i="24"/>
  <c r="X214" i="24"/>
  <c r="W214" i="24"/>
  <c r="V214" i="24"/>
  <c r="U214" i="24"/>
  <c r="T214" i="24"/>
  <c r="S214" i="24"/>
  <c r="Q214" i="24"/>
  <c r="O214" i="24"/>
  <c r="M214" i="24"/>
  <c r="K214" i="24"/>
  <c r="X213" i="24"/>
  <c r="W213" i="24"/>
  <c r="V213" i="24"/>
  <c r="U213" i="24"/>
  <c r="T213" i="24"/>
  <c r="S213" i="24"/>
  <c r="Q213" i="24"/>
  <c r="O213" i="24"/>
  <c r="M213" i="24"/>
  <c r="K213" i="24"/>
  <c r="X212" i="24"/>
  <c r="W212" i="24"/>
  <c r="V212" i="24"/>
  <c r="U212" i="24"/>
  <c r="T212" i="24"/>
  <c r="S212" i="24"/>
  <c r="Q212" i="24"/>
  <c r="O212" i="24"/>
  <c r="M212" i="24"/>
  <c r="K212" i="24"/>
  <c r="X211" i="24"/>
  <c r="W211" i="24"/>
  <c r="V211" i="24"/>
  <c r="U211" i="24"/>
  <c r="T211" i="24"/>
  <c r="S211" i="24"/>
  <c r="Q211" i="24"/>
  <c r="O211" i="24"/>
  <c r="M211" i="24"/>
  <c r="K211" i="24"/>
  <c r="X210" i="24"/>
  <c r="W210" i="24"/>
  <c r="V210" i="24"/>
  <c r="U210" i="24"/>
  <c r="T210" i="24"/>
  <c r="S210" i="24"/>
  <c r="Q210" i="24"/>
  <c r="O210" i="24"/>
  <c r="M210" i="24"/>
  <c r="K210" i="24"/>
  <c r="X209" i="24"/>
  <c r="W209" i="24"/>
  <c r="V209" i="24"/>
  <c r="U209" i="24"/>
  <c r="T209" i="24"/>
  <c r="S209" i="24"/>
  <c r="Q209" i="24"/>
  <c r="O209" i="24"/>
  <c r="M209" i="24"/>
  <c r="K209" i="24"/>
  <c r="X208" i="24"/>
  <c r="W208" i="24"/>
  <c r="V208" i="24"/>
  <c r="U208" i="24"/>
  <c r="T208" i="24"/>
  <c r="S208" i="24"/>
  <c r="Q208" i="24"/>
  <c r="O208" i="24"/>
  <c r="M208" i="24"/>
  <c r="K208" i="24"/>
  <c r="X207" i="24"/>
  <c r="W207" i="24"/>
  <c r="V207" i="24"/>
  <c r="U207" i="24"/>
  <c r="T207" i="24"/>
  <c r="S207" i="24"/>
  <c r="Q207" i="24"/>
  <c r="O207" i="24"/>
  <c r="M207" i="24"/>
  <c r="K207" i="24"/>
  <c r="X206" i="24"/>
  <c r="W206" i="24"/>
  <c r="V206" i="24"/>
  <c r="U206" i="24"/>
  <c r="T206" i="24"/>
  <c r="S206" i="24"/>
  <c r="Q206" i="24"/>
  <c r="O206" i="24"/>
  <c r="M206" i="24"/>
  <c r="K206" i="24"/>
  <c r="X205" i="24"/>
  <c r="W205" i="24"/>
  <c r="V205" i="24"/>
  <c r="U205" i="24"/>
  <c r="T205" i="24"/>
  <c r="S205" i="24"/>
  <c r="Q205" i="24"/>
  <c r="O205" i="24"/>
  <c r="M205" i="24"/>
  <c r="K205" i="24"/>
  <c r="X204" i="24"/>
  <c r="W204" i="24"/>
  <c r="V204" i="24"/>
  <c r="U204" i="24"/>
  <c r="T204" i="24"/>
  <c r="S204" i="24"/>
  <c r="Q204" i="24"/>
  <c r="O204" i="24"/>
  <c r="M204" i="24"/>
  <c r="K204" i="24"/>
  <c r="X203" i="24"/>
  <c r="W203" i="24"/>
  <c r="V203" i="24"/>
  <c r="U203" i="24"/>
  <c r="T203" i="24"/>
  <c r="S203" i="24"/>
  <c r="Q203" i="24"/>
  <c r="O203" i="24"/>
  <c r="M203" i="24"/>
  <c r="K203" i="24"/>
  <c r="X202" i="24"/>
  <c r="W202" i="24"/>
  <c r="V202" i="24"/>
  <c r="U202" i="24"/>
  <c r="T202" i="24"/>
  <c r="S202" i="24"/>
  <c r="Q202" i="24"/>
  <c r="O202" i="24"/>
  <c r="M202" i="24"/>
  <c r="K202" i="24"/>
  <c r="X201" i="24"/>
  <c r="W201" i="24"/>
  <c r="V201" i="24"/>
  <c r="U201" i="24"/>
  <c r="T201" i="24"/>
  <c r="S201" i="24"/>
  <c r="Q201" i="24"/>
  <c r="O201" i="24"/>
  <c r="M201" i="24"/>
  <c r="K201" i="24"/>
  <c r="X200" i="24"/>
  <c r="W200" i="24"/>
  <c r="V200" i="24"/>
  <c r="U200" i="24"/>
  <c r="T200" i="24"/>
  <c r="S200" i="24"/>
  <c r="Q200" i="24"/>
  <c r="O200" i="24"/>
  <c r="M200" i="24"/>
  <c r="K200" i="24"/>
  <c r="X199" i="24"/>
  <c r="W199" i="24"/>
  <c r="V199" i="24"/>
  <c r="U199" i="24"/>
  <c r="T199" i="24"/>
  <c r="S199" i="24"/>
  <c r="Q199" i="24"/>
  <c r="O199" i="24"/>
  <c r="M199" i="24"/>
  <c r="K199" i="24"/>
  <c r="X198" i="24"/>
  <c r="W198" i="24"/>
  <c r="V198" i="24"/>
  <c r="U198" i="24"/>
  <c r="T198" i="24"/>
  <c r="S198" i="24"/>
  <c r="Q198" i="24"/>
  <c r="O198" i="24"/>
  <c r="M198" i="24"/>
  <c r="K198" i="24"/>
  <c r="X197" i="24"/>
  <c r="W197" i="24"/>
  <c r="V197" i="24"/>
  <c r="U197" i="24"/>
  <c r="T197" i="24"/>
  <c r="S197" i="24"/>
  <c r="Q197" i="24"/>
  <c r="O197" i="24"/>
  <c r="M197" i="24"/>
  <c r="K197" i="24"/>
  <c r="X196" i="24"/>
  <c r="W196" i="24"/>
  <c r="V196" i="24"/>
  <c r="U196" i="24"/>
  <c r="T196" i="24"/>
  <c r="S196" i="24"/>
  <c r="Q196" i="24"/>
  <c r="O196" i="24"/>
  <c r="M196" i="24"/>
  <c r="K196" i="24"/>
  <c r="X195" i="24"/>
  <c r="W195" i="24"/>
  <c r="V195" i="24"/>
  <c r="U195" i="24"/>
  <c r="T195" i="24"/>
  <c r="S195" i="24"/>
  <c r="Q195" i="24"/>
  <c r="O195" i="24"/>
  <c r="M195" i="24"/>
  <c r="K195" i="24"/>
  <c r="X194" i="24"/>
  <c r="W194" i="24"/>
  <c r="V194" i="24"/>
  <c r="U194" i="24"/>
  <c r="T194" i="24"/>
  <c r="S194" i="24"/>
  <c r="Q194" i="24"/>
  <c r="O194" i="24"/>
  <c r="M194" i="24"/>
  <c r="K194" i="24"/>
  <c r="X193" i="24"/>
  <c r="W193" i="24"/>
  <c r="V193" i="24"/>
  <c r="U193" i="24"/>
  <c r="T193" i="24"/>
  <c r="S193" i="24"/>
  <c r="Q193" i="24"/>
  <c r="O193" i="24"/>
  <c r="M193" i="24"/>
  <c r="K193" i="24"/>
  <c r="X192" i="24"/>
  <c r="W192" i="24"/>
  <c r="V192" i="24"/>
  <c r="U192" i="24"/>
  <c r="T192" i="24"/>
  <c r="S192" i="24"/>
  <c r="Q192" i="24"/>
  <c r="O192" i="24"/>
  <c r="M192" i="24"/>
  <c r="K192" i="24"/>
  <c r="X191" i="24"/>
  <c r="W191" i="24"/>
  <c r="V191" i="24"/>
  <c r="U191" i="24"/>
  <c r="T191" i="24"/>
  <c r="S191" i="24"/>
  <c r="Q191" i="24"/>
  <c r="O191" i="24"/>
  <c r="M191" i="24"/>
  <c r="K191" i="24"/>
  <c r="X190" i="24"/>
  <c r="W190" i="24"/>
  <c r="V190" i="24"/>
  <c r="U190" i="24"/>
  <c r="T190" i="24"/>
  <c r="S190" i="24"/>
  <c r="Q190" i="24"/>
  <c r="O190" i="24"/>
  <c r="M190" i="24"/>
  <c r="K190" i="24"/>
  <c r="X189" i="24"/>
  <c r="W189" i="24"/>
  <c r="V189" i="24"/>
  <c r="U189" i="24"/>
  <c r="T189" i="24"/>
  <c r="S189" i="24"/>
  <c r="Q189" i="24"/>
  <c r="O189" i="24"/>
  <c r="M189" i="24"/>
  <c r="K189" i="24"/>
  <c r="X188" i="24"/>
  <c r="W188" i="24"/>
  <c r="V188" i="24"/>
  <c r="U188" i="24"/>
  <c r="T188" i="24"/>
  <c r="S188" i="24"/>
  <c r="Q188" i="24"/>
  <c r="O188" i="24"/>
  <c r="M188" i="24"/>
  <c r="K188" i="24"/>
  <c r="X187" i="24"/>
  <c r="W187" i="24"/>
  <c r="V187" i="24"/>
  <c r="U187" i="24"/>
  <c r="T187" i="24"/>
  <c r="S187" i="24"/>
  <c r="Q187" i="24"/>
  <c r="O187" i="24"/>
  <c r="M187" i="24"/>
  <c r="K187" i="24"/>
  <c r="X186" i="24"/>
  <c r="W186" i="24"/>
  <c r="V186" i="24"/>
  <c r="U186" i="24"/>
  <c r="T186" i="24"/>
  <c r="S186" i="24"/>
  <c r="Q186" i="24"/>
  <c r="O186" i="24"/>
  <c r="M186" i="24"/>
  <c r="K186" i="24"/>
  <c r="X185" i="24"/>
  <c r="W185" i="24"/>
  <c r="V185" i="24"/>
  <c r="U185" i="24"/>
  <c r="T185" i="24"/>
  <c r="S185" i="24"/>
  <c r="Q185" i="24"/>
  <c r="O185" i="24"/>
  <c r="M185" i="24"/>
  <c r="K185" i="24"/>
  <c r="X184" i="24"/>
  <c r="W184" i="24"/>
  <c r="V184" i="24"/>
  <c r="U184" i="24"/>
  <c r="T184" i="24"/>
  <c r="S184" i="24"/>
  <c r="Q184" i="24"/>
  <c r="O184" i="24"/>
  <c r="M184" i="24"/>
  <c r="K184" i="24"/>
  <c r="X183" i="24"/>
  <c r="W183" i="24"/>
  <c r="V183" i="24"/>
  <c r="U183" i="24"/>
  <c r="T183" i="24"/>
  <c r="S183" i="24"/>
  <c r="Q183" i="24"/>
  <c r="O183" i="24"/>
  <c r="M183" i="24"/>
  <c r="K183" i="24"/>
  <c r="X182" i="24"/>
  <c r="W182" i="24"/>
  <c r="V182" i="24"/>
  <c r="U182" i="24"/>
  <c r="T182" i="24"/>
  <c r="S182" i="24"/>
  <c r="Q182" i="24"/>
  <c r="O182" i="24"/>
  <c r="M182" i="24"/>
  <c r="K182" i="24"/>
  <c r="X181" i="24"/>
  <c r="W181" i="24"/>
  <c r="V181" i="24"/>
  <c r="U181" i="24"/>
  <c r="T181" i="24"/>
  <c r="S181" i="24"/>
  <c r="Q181" i="24"/>
  <c r="O181" i="24"/>
  <c r="M181" i="24"/>
  <c r="K181" i="24"/>
  <c r="X180" i="24"/>
  <c r="W180" i="24"/>
  <c r="V180" i="24"/>
  <c r="U180" i="24"/>
  <c r="T180" i="24"/>
  <c r="S180" i="24"/>
  <c r="Q180" i="24"/>
  <c r="O180" i="24"/>
  <c r="M180" i="24"/>
  <c r="K180" i="24"/>
  <c r="X179" i="24"/>
  <c r="W179" i="24"/>
  <c r="V179" i="24"/>
  <c r="U179" i="24"/>
  <c r="T179" i="24"/>
  <c r="S179" i="24"/>
  <c r="Q179" i="24"/>
  <c r="O179" i="24"/>
  <c r="M179" i="24"/>
  <c r="K179" i="24"/>
  <c r="X178" i="24"/>
  <c r="W178" i="24"/>
  <c r="V178" i="24"/>
  <c r="U178" i="24"/>
  <c r="T178" i="24"/>
  <c r="S178" i="24"/>
  <c r="Q178" i="24"/>
  <c r="O178" i="24"/>
  <c r="M178" i="24"/>
  <c r="K178" i="24"/>
  <c r="X177" i="24"/>
  <c r="W177" i="24"/>
  <c r="V177" i="24"/>
  <c r="U177" i="24"/>
  <c r="T177" i="24"/>
  <c r="S177" i="24"/>
  <c r="Q177" i="24"/>
  <c r="O177" i="24"/>
  <c r="M177" i="24"/>
  <c r="K177" i="24"/>
  <c r="X176" i="24"/>
  <c r="W176" i="24"/>
  <c r="V176" i="24"/>
  <c r="U176" i="24"/>
  <c r="T176" i="24"/>
  <c r="S176" i="24"/>
  <c r="Q176" i="24"/>
  <c r="O176" i="24"/>
  <c r="M176" i="24"/>
  <c r="K176" i="24"/>
  <c r="X175" i="24"/>
  <c r="W175" i="24"/>
  <c r="V175" i="24"/>
  <c r="U175" i="24"/>
  <c r="T175" i="24"/>
  <c r="S175" i="24"/>
  <c r="Q175" i="24"/>
  <c r="O175" i="24"/>
  <c r="M175" i="24"/>
  <c r="K175" i="24"/>
  <c r="X174" i="24"/>
  <c r="W174" i="24"/>
  <c r="V174" i="24"/>
  <c r="U174" i="24"/>
  <c r="T174" i="24"/>
  <c r="S174" i="24"/>
  <c r="Q174" i="24"/>
  <c r="O174" i="24"/>
  <c r="M174" i="24"/>
  <c r="K174" i="24"/>
  <c r="X173" i="24"/>
  <c r="W173" i="24"/>
  <c r="V173" i="24"/>
  <c r="U173" i="24"/>
  <c r="T173" i="24"/>
  <c r="S173" i="24"/>
  <c r="Q173" i="24"/>
  <c r="O173" i="24"/>
  <c r="M173" i="24"/>
  <c r="K173" i="24"/>
  <c r="X172" i="24"/>
  <c r="W172" i="24"/>
  <c r="V172" i="24"/>
  <c r="U172" i="24"/>
  <c r="T172" i="24"/>
  <c r="S172" i="24"/>
  <c r="Q172" i="24"/>
  <c r="O172" i="24"/>
  <c r="M172" i="24"/>
  <c r="K172" i="24"/>
  <c r="X171" i="24"/>
  <c r="W171" i="24"/>
  <c r="V171" i="24"/>
  <c r="U171" i="24"/>
  <c r="T171" i="24"/>
  <c r="S171" i="24"/>
  <c r="Q171" i="24"/>
  <c r="O171" i="24"/>
  <c r="M171" i="24"/>
  <c r="K171" i="24"/>
  <c r="X170" i="24"/>
  <c r="W170" i="24"/>
  <c r="V170" i="24"/>
  <c r="U170" i="24"/>
  <c r="T170" i="24"/>
  <c r="S170" i="24"/>
  <c r="Q170" i="24"/>
  <c r="O170" i="24"/>
  <c r="M170" i="24"/>
  <c r="K170" i="24"/>
  <c r="X169" i="24"/>
  <c r="W169" i="24"/>
  <c r="V169" i="24"/>
  <c r="U169" i="24"/>
  <c r="T169" i="24"/>
  <c r="S169" i="24"/>
  <c r="Q169" i="24"/>
  <c r="O169" i="24"/>
  <c r="M169" i="24"/>
  <c r="K169" i="24"/>
  <c r="X168" i="24"/>
  <c r="W168" i="24"/>
  <c r="V168" i="24"/>
  <c r="U168" i="24"/>
  <c r="T168" i="24"/>
  <c r="S168" i="24"/>
  <c r="Q168" i="24"/>
  <c r="O168" i="24"/>
  <c r="M168" i="24"/>
  <c r="K168" i="24"/>
  <c r="X167" i="24"/>
  <c r="W167" i="24"/>
  <c r="V167" i="24"/>
  <c r="U167" i="24"/>
  <c r="T167" i="24"/>
  <c r="S167" i="24"/>
  <c r="Q167" i="24"/>
  <c r="O167" i="24"/>
  <c r="M167" i="24"/>
  <c r="K167" i="24"/>
  <c r="X166" i="24"/>
  <c r="W166" i="24"/>
  <c r="V166" i="24"/>
  <c r="U166" i="24"/>
  <c r="T166" i="24"/>
  <c r="S166" i="24"/>
  <c r="Q166" i="24"/>
  <c r="O166" i="24"/>
  <c r="M166" i="24"/>
  <c r="K166" i="24"/>
  <c r="X165" i="24"/>
  <c r="W165" i="24"/>
  <c r="V165" i="24"/>
  <c r="U165" i="24"/>
  <c r="T165" i="24"/>
  <c r="S165" i="24"/>
  <c r="Q165" i="24"/>
  <c r="O165" i="24"/>
  <c r="M165" i="24"/>
  <c r="K165" i="24"/>
  <c r="X164" i="24"/>
  <c r="W164" i="24"/>
  <c r="V164" i="24"/>
  <c r="U164" i="24"/>
  <c r="T164" i="24"/>
  <c r="S164" i="24"/>
  <c r="Q164" i="24"/>
  <c r="O164" i="24"/>
  <c r="M164" i="24"/>
  <c r="K164" i="24"/>
  <c r="X163" i="24"/>
  <c r="W163" i="24"/>
  <c r="V163" i="24"/>
  <c r="U163" i="24"/>
  <c r="T163" i="24"/>
  <c r="S163" i="24"/>
  <c r="Q163" i="24"/>
  <c r="O163" i="24"/>
  <c r="M163" i="24"/>
  <c r="K163" i="24"/>
  <c r="X162" i="24"/>
  <c r="W162" i="24"/>
  <c r="V162" i="24"/>
  <c r="U162" i="24"/>
  <c r="T162" i="24"/>
  <c r="S162" i="24"/>
  <c r="Q162" i="24"/>
  <c r="O162" i="24"/>
  <c r="M162" i="24"/>
  <c r="K162" i="24"/>
  <c r="X161" i="24"/>
  <c r="W161" i="24"/>
  <c r="V161" i="24"/>
  <c r="U161" i="24"/>
  <c r="T161" i="24"/>
  <c r="S161" i="24"/>
  <c r="Q161" i="24"/>
  <c r="O161" i="24"/>
  <c r="M161" i="24"/>
  <c r="K161" i="24"/>
  <c r="X160" i="24"/>
  <c r="W160" i="24"/>
  <c r="V160" i="24"/>
  <c r="U160" i="24"/>
  <c r="T160" i="24"/>
  <c r="S160" i="24"/>
  <c r="Q160" i="24"/>
  <c r="O160" i="24"/>
  <c r="M160" i="24"/>
  <c r="K160" i="24"/>
  <c r="X159" i="24"/>
  <c r="W159" i="24"/>
  <c r="V159" i="24"/>
  <c r="U159" i="24"/>
  <c r="T159" i="24"/>
  <c r="S159" i="24"/>
  <c r="Q159" i="24"/>
  <c r="O159" i="24"/>
  <c r="M159" i="24"/>
  <c r="K159" i="24"/>
  <c r="X158" i="24"/>
  <c r="W158" i="24"/>
  <c r="V158" i="24"/>
  <c r="U158" i="24"/>
  <c r="T158" i="24"/>
  <c r="S158" i="24"/>
  <c r="Q158" i="24"/>
  <c r="O158" i="24"/>
  <c r="M158" i="24"/>
  <c r="K158" i="24"/>
  <c r="X157" i="24"/>
  <c r="W157" i="24"/>
  <c r="V157" i="24"/>
  <c r="U157" i="24"/>
  <c r="T157" i="24"/>
  <c r="S157" i="24"/>
  <c r="Q157" i="24"/>
  <c r="O157" i="24"/>
  <c r="M157" i="24"/>
  <c r="K157" i="24"/>
  <c r="X156" i="24"/>
  <c r="W156" i="24"/>
  <c r="V156" i="24"/>
  <c r="U156" i="24"/>
  <c r="T156" i="24"/>
  <c r="S156" i="24"/>
  <c r="Q156" i="24"/>
  <c r="O156" i="24"/>
  <c r="M156" i="24"/>
  <c r="K156" i="24"/>
  <c r="X155" i="24"/>
  <c r="W155" i="24"/>
  <c r="V155" i="24"/>
  <c r="U155" i="24"/>
  <c r="T155" i="24"/>
  <c r="S155" i="24"/>
  <c r="Q155" i="24"/>
  <c r="O155" i="24"/>
  <c r="M155" i="24"/>
  <c r="K155" i="24"/>
  <c r="X154" i="24"/>
  <c r="W154" i="24"/>
  <c r="V154" i="24"/>
  <c r="U154" i="24"/>
  <c r="T154" i="24"/>
  <c r="S154" i="24"/>
  <c r="Q154" i="24"/>
  <c r="O154" i="24"/>
  <c r="M154" i="24"/>
  <c r="K154" i="24"/>
  <c r="X153" i="24"/>
  <c r="W153" i="24"/>
  <c r="V153" i="24"/>
  <c r="U153" i="24"/>
  <c r="T153" i="24"/>
  <c r="S153" i="24"/>
  <c r="Q153" i="24"/>
  <c r="O153" i="24"/>
  <c r="M153" i="24"/>
  <c r="K153" i="24"/>
  <c r="X152" i="24"/>
  <c r="W152" i="24"/>
  <c r="V152" i="24"/>
  <c r="U152" i="24"/>
  <c r="T152" i="24"/>
  <c r="S152" i="24"/>
  <c r="Q152" i="24"/>
  <c r="O152" i="24"/>
  <c r="M152" i="24"/>
  <c r="K152" i="24"/>
  <c r="X151" i="24"/>
  <c r="W151" i="24"/>
  <c r="V151" i="24"/>
  <c r="U151" i="24"/>
  <c r="T151" i="24"/>
  <c r="S151" i="24"/>
  <c r="Q151" i="24"/>
  <c r="O151" i="24"/>
  <c r="M151" i="24"/>
  <c r="K151" i="24"/>
  <c r="X150" i="24"/>
  <c r="W150" i="24"/>
  <c r="V150" i="24"/>
  <c r="U150" i="24"/>
  <c r="T150" i="24"/>
  <c r="S150" i="24"/>
  <c r="Q150" i="24"/>
  <c r="O150" i="24"/>
  <c r="M150" i="24"/>
  <c r="K150" i="24"/>
  <c r="X149" i="24"/>
  <c r="W149" i="24"/>
  <c r="V149" i="24"/>
  <c r="U149" i="24"/>
  <c r="T149" i="24"/>
  <c r="S149" i="24"/>
  <c r="Q149" i="24"/>
  <c r="O149" i="24"/>
  <c r="M149" i="24"/>
  <c r="K149" i="24"/>
  <c r="X148" i="24"/>
  <c r="W148" i="24"/>
  <c r="V148" i="24"/>
  <c r="U148" i="24"/>
  <c r="T148" i="24"/>
  <c r="S148" i="24"/>
  <c r="Q148" i="24"/>
  <c r="O148" i="24"/>
  <c r="M148" i="24"/>
  <c r="K148" i="24"/>
  <c r="X147" i="24"/>
  <c r="W147" i="24"/>
  <c r="V147" i="24"/>
  <c r="U147" i="24"/>
  <c r="T147" i="24"/>
  <c r="S147" i="24"/>
  <c r="Q147" i="24"/>
  <c r="O147" i="24"/>
  <c r="M147" i="24"/>
  <c r="K147" i="24"/>
  <c r="X146" i="24"/>
  <c r="W146" i="24"/>
  <c r="V146" i="24"/>
  <c r="U146" i="24"/>
  <c r="T146" i="24"/>
  <c r="S146" i="24"/>
  <c r="Q146" i="24"/>
  <c r="O146" i="24"/>
  <c r="M146" i="24"/>
  <c r="K146" i="24"/>
  <c r="X145" i="24"/>
  <c r="W145" i="24"/>
  <c r="V145" i="24"/>
  <c r="U145" i="24"/>
  <c r="T145" i="24"/>
  <c r="S145" i="24"/>
  <c r="Q145" i="24"/>
  <c r="O145" i="24"/>
  <c r="M145" i="24"/>
  <c r="K145" i="24"/>
  <c r="X144" i="24"/>
  <c r="W144" i="24"/>
  <c r="V144" i="24"/>
  <c r="U144" i="24"/>
  <c r="T144" i="24"/>
  <c r="S144" i="24"/>
  <c r="Q144" i="24"/>
  <c r="O144" i="24"/>
  <c r="M144" i="24"/>
  <c r="K144" i="24"/>
  <c r="X143" i="24"/>
  <c r="W143" i="24"/>
  <c r="V143" i="24"/>
  <c r="U143" i="24"/>
  <c r="T143" i="24"/>
  <c r="S143" i="24"/>
  <c r="Q143" i="24"/>
  <c r="O143" i="24"/>
  <c r="M143" i="24"/>
  <c r="K143" i="24"/>
  <c r="X142" i="24"/>
  <c r="W142" i="24"/>
  <c r="V142" i="24"/>
  <c r="U142" i="24"/>
  <c r="T142" i="24"/>
  <c r="S142" i="24"/>
  <c r="Q142" i="24"/>
  <c r="O142" i="24"/>
  <c r="M142" i="24"/>
  <c r="K142" i="24"/>
  <c r="X141" i="24"/>
  <c r="W141" i="24"/>
  <c r="V141" i="24"/>
  <c r="U141" i="24"/>
  <c r="T141" i="24"/>
  <c r="S141" i="24"/>
  <c r="Q141" i="24"/>
  <c r="O141" i="24"/>
  <c r="M141" i="24"/>
  <c r="K141" i="24"/>
  <c r="X140" i="24"/>
  <c r="W140" i="24"/>
  <c r="V140" i="24"/>
  <c r="U140" i="24"/>
  <c r="T140" i="24"/>
  <c r="S140" i="24"/>
  <c r="Q140" i="24"/>
  <c r="O140" i="24"/>
  <c r="M140" i="24"/>
  <c r="K140" i="24"/>
  <c r="X139" i="24"/>
  <c r="W139" i="24"/>
  <c r="V139" i="24"/>
  <c r="U139" i="24"/>
  <c r="T139" i="24"/>
  <c r="S139" i="24"/>
  <c r="Q139" i="24"/>
  <c r="O139" i="24"/>
  <c r="M139" i="24"/>
  <c r="K139" i="24"/>
  <c r="X138" i="24"/>
  <c r="W138" i="24"/>
  <c r="V138" i="24"/>
  <c r="U138" i="24"/>
  <c r="T138" i="24"/>
  <c r="S138" i="24"/>
  <c r="Q138" i="24"/>
  <c r="O138" i="24"/>
  <c r="M138" i="24"/>
  <c r="K138" i="24"/>
  <c r="X137" i="24"/>
  <c r="W137" i="24"/>
  <c r="V137" i="24"/>
  <c r="U137" i="24"/>
  <c r="T137" i="24"/>
  <c r="S137" i="24"/>
  <c r="Q137" i="24"/>
  <c r="O137" i="24"/>
  <c r="M137" i="24"/>
  <c r="K137" i="24"/>
  <c r="X136" i="24"/>
  <c r="W136" i="24"/>
  <c r="V136" i="24"/>
  <c r="U136" i="24"/>
  <c r="T136" i="24"/>
  <c r="S136" i="24"/>
  <c r="Q136" i="24"/>
  <c r="O136" i="24"/>
  <c r="M136" i="24"/>
  <c r="K136" i="24"/>
  <c r="X135" i="24"/>
  <c r="W135" i="24"/>
  <c r="V135" i="24"/>
  <c r="U135" i="24"/>
  <c r="T135" i="24"/>
  <c r="S135" i="24"/>
  <c r="Q135" i="24"/>
  <c r="O135" i="24"/>
  <c r="M135" i="24"/>
  <c r="K135" i="24"/>
  <c r="X134" i="24"/>
  <c r="W134" i="24"/>
  <c r="V134" i="24"/>
  <c r="U134" i="24"/>
  <c r="T134" i="24"/>
  <c r="S134" i="24"/>
  <c r="Q134" i="24"/>
  <c r="O134" i="24"/>
  <c r="M134" i="24"/>
  <c r="K134" i="24"/>
  <c r="X133" i="24"/>
  <c r="W133" i="24"/>
  <c r="V133" i="24"/>
  <c r="U133" i="24"/>
  <c r="T133" i="24"/>
  <c r="S133" i="24"/>
  <c r="Q133" i="24"/>
  <c r="O133" i="24"/>
  <c r="M133" i="24"/>
  <c r="K133" i="24"/>
  <c r="X132" i="24"/>
  <c r="W132" i="24"/>
  <c r="V132" i="24"/>
  <c r="U132" i="24"/>
  <c r="T132" i="24"/>
  <c r="S132" i="24"/>
  <c r="Q132" i="24"/>
  <c r="O132" i="24"/>
  <c r="M132" i="24"/>
  <c r="K132" i="24"/>
  <c r="X131" i="24"/>
  <c r="W131" i="24"/>
  <c r="V131" i="24"/>
  <c r="U131" i="24"/>
  <c r="T131" i="24"/>
  <c r="S131" i="24"/>
  <c r="Q131" i="24"/>
  <c r="O131" i="24"/>
  <c r="M131" i="24"/>
  <c r="K131" i="24"/>
  <c r="X130" i="24"/>
  <c r="W130" i="24"/>
  <c r="V130" i="24"/>
  <c r="U130" i="24"/>
  <c r="T130" i="24"/>
  <c r="S130" i="24"/>
  <c r="Q130" i="24"/>
  <c r="O130" i="24"/>
  <c r="M130" i="24"/>
  <c r="K130" i="24"/>
  <c r="X129" i="24"/>
  <c r="W129" i="24"/>
  <c r="V129" i="24"/>
  <c r="U129" i="24"/>
  <c r="T129" i="24"/>
  <c r="S129" i="24"/>
  <c r="Q129" i="24"/>
  <c r="O129" i="24"/>
  <c r="M129" i="24"/>
  <c r="K129" i="24"/>
  <c r="X128" i="24"/>
  <c r="W128" i="24"/>
  <c r="V128" i="24"/>
  <c r="U128" i="24"/>
  <c r="T128" i="24"/>
  <c r="S128" i="24"/>
  <c r="Q128" i="24"/>
  <c r="O128" i="24"/>
  <c r="M128" i="24"/>
  <c r="K128" i="24"/>
  <c r="X127" i="24"/>
  <c r="W127" i="24"/>
  <c r="V127" i="24"/>
  <c r="U127" i="24"/>
  <c r="T127" i="24"/>
  <c r="S127" i="24"/>
  <c r="Q127" i="24"/>
  <c r="O127" i="24"/>
  <c r="M127" i="24"/>
  <c r="K127" i="24"/>
  <c r="X126" i="24"/>
  <c r="W126" i="24"/>
  <c r="V126" i="24"/>
  <c r="U126" i="24"/>
  <c r="T126" i="24"/>
  <c r="S126" i="24"/>
  <c r="Q126" i="24"/>
  <c r="O126" i="24"/>
  <c r="M126" i="24"/>
  <c r="K126" i="24"/>
  <c r="X125" i="24"/>
  <c r="W125" i="24"/>
  <c r="V125" i="24"/>
  <c r="U125" i="24"/>
  <c r="T125" i="24"/>
  <c r="S125" i="24"/>
  <c r="Q125" i="24"/>
  <c r="O125" i="24"/>
  <c r="M125" i="24"/>
  <c r="K125" i="24"/>
  <c r="X124" i="24"/>
  <c r="W124" i="24"/>
  <c r="V124" i="24"/>
  <c r="U124" i="24"/>
  <c r="T124" i="24"/>
  <c r="S124" i="24"/>
  <c r="Q124" i="24"/>
  <c r="O124" i="24"/>
  <c r="M124" i="24"/>
  <c r="K124" i="24"/>
  <c r="X123" i="24"/>
  <c r="W123" i="24"/>
  <c r="V123" i="24"/>
  <c r="U123" i="24"/>
  <c r="T123" i="24"/>
  <c r="S123" i="24"/>
  <c r="Q123" i="24"/>
  <c r="O123" i="24"/>
  <c r="M123" i="24"/>
  <c r="K123" i="24"/>
  <c r="X122" i="24"/>
  <c r="W122" i="24"/>
  <c r="V122" i="24"/>
  <c r="U122" i="24"/>
  <c r="T122" i="24"/>
  <c r="S122" i="24"/>
  <c r="Q122" i="24"/>
  <c r="O122" i="24"/>
  <c r="M122" i="24"/>
  <c r="K122" i="24"/>
  <c r="X121" i="24"/>
  <c r="W121" i="24"/>
  <c r="V121" i="24"/>
  <c r="U121" i="24"/>
  <c r="T121" i="24"/>
  <c r="S121" i="24"/>
  <c r="Q121" i="24"/>
  <c r="O121" i="24"/>
  <c r="M121" i="24"/>
  <c r="K121" i="24"/>
  <c r="X120" i="24"/>
  <c r="W120" i="24"/>
  <c r="V120" i="24"/>
  <c r="U120" i="24"/>
  <c r="T120" i="24"/>
  <c r="S120" i="24"/>
  <c r="Q120" i="24"/>
  <c r="O120" i="24"/>
  <c r="M120" i="24"/>
  <c r="K120" i="24"/>
  <c r="X119" i="24"/>
  <c r="W119" i="24"/>
  <c r="V119" i="24"/>
  <c r="U119" i="24"/>
  <c r="T119" i="24"/>
  <c r="S119" i="24"/>
  <c r="Q119" i="24"/>
  <c r="O119" i="24"/>
  <c r="M119" i="24"/>
  <c r="K119" i="24"/>
  <c r="X118" i="24"/>
  <c r="W118" i="24"/>
  <c r="V118" i="24"/>
  <c r="U118" i="24"/>
  <c r="T118" i="24"/>
  <c r="S118" i="24"/>
  <c r="Q118" i="24"/>
  <c r="O118" i="24"/>
  <c r="M118" i="24"/>
  <c r="K118" i="24"/>
  <c r="X117" i="24"/>
  <c r="W117" i="24"/>
  <c r="V117" i="24"/>
  <c r="U117" i="24"/>
  <c r="T117" i="24"/>
  <c r="S117" i="24"/>
  <c r="Q117" i="24"/>
  <c r="O117" i="24"/>
  <c r="M117" i="24"/>
  <c r="K117" i="24"/>
  <c r="X116" i="24"/>
  <c r="W116" i="24"/>
  <c r="V116" i="24"/>
  <c r="U116" i="24"/>
  <c r="T116" i="24"/>
  <c r="S116" i="24"/>
  <c r="Q116" i="24"/>
  <c r="O116" i="24"/>
  <c r="M116" i="24"/>
  <c r="K116" i="24"/>
  <c r="X115" i="24"/>
  <c r="W115" i="24"/>
  <c r="V115" i="24"/>
  <c r="U115" i="24"/>
  <c r="T115" i="24"/>
  <c r="S115" i="24"/>
  <c r="Q115" i="24"/>
  <c r="O115" i="24"/>
  <c r="M115" i="24"/>
  <c r="K115" i="24"/>
  <c r="X114" i="24"/>
  <c r="W114" i="24"/>
  <c r="V114" i="24"/>
  <c r="U114" i="24"/>
  <c r="T114" i="24"/>
  <c r="S114" i="24"/>
  <c r="Q114" i="24"/>
  <c r="O114" i="24"/>
  <c r="M114" i="24"/>
  <c r="K114" i="24"/>
  <c r="X113" i="24"/>
  <c r="W113" i="24"/>
  <c r="V113" i="24"/>
  <c r="U113" i="24"/>
  <c r="T113" i="24"/>
  <c r="S113" i="24"/>
  <c r="Q113" i="24"/>
  <c r="O113" i="24"/>
  <c r="M113" i="24"/>
  <c r="K113" i="24"/>
  <c r="X112" i="24"/>
  <c r="W112" i="24"/>
  <c r="V112" i="24"/>
  <c r="U112" i="24"/>
  <c r="T112" i="24"/>
  <c r="S112" i="24"/>
  <c r="Q112" i="24"/>
  <c r="O112" i="24"/>
  <c r="M112" i="24"/>
  <c r="K112" i="24"/>
  <c r="X111" i="24"/>
  <c r="W111" i="24"/>
  <c r="V111" i="24"/>
  <c r="U111" i="24"/>
  <c r="T111" i="24"/>
  <c r="S111" i="24"/>
  <c r="Q111" i="24"/>
  <c r="O111" i="24"/>
  <c r="M111" i="24"/>
  <c r="K111" i="24"/>
  <c r="X110" i="24"/>
  <c r="W110" i="24"/>
  <c r="V110" i="24"/>
  <c r="U110" i="24"/>
  <c r="T110" i="24"/>
  <c r="S110" i="24"/>
  <c r="Q110" i="24"/>
  <c r="O110" i="24"/>
  <c r="M110" i="24"/>
  <c r="K110" i="24"/>
  <c r="X109" i="24"/>
  <c r="W109" i="24"/>
  <c r="V109" i="24"/>
  <c r="U109" i="24"/>
  <c r="T109" i="24"/>
  <c r="S109" i="24"/>
  <c r="Q109" i="24"/>
  <c r="O109" i="24"/>
  <c r="M109" i="24"/>
  <c r="K109" i="24"/>
  <c r="X108" i="24"/>
  <c r="W108" i="24"/>
  <c r="V108" i="24"/>
  <c r="U108" i="24"/>
  <c r="T108" i="24"/>
  <c r="S108" i="24"/>
  <c r="Q108" i="24"/>
  <c r="O108" i="24"/>
  <c r="M108" i="24"/>
  <c r="K108" i="24"/>
  <c r="X107" i="24"/>
  <c r="W107" i="24"/>
  <c r="V107" i="24"/>
  <c r="U107" i="24"/>
  <c r="T107" i="24"/>
  <c r="S107" i="24"/>
  <c r="Q107" i="24"/>
  <c r="O107" i="24"/>
  <c r="M107" i="24"/>
  <c r="K107" i="24"/>
  <c r="X106" i="24"/>
  <c r="W106" i="24"/>
  <c r="V106" i="24"/>
  <c r="U106" i="24"/>
  <c r="T106" i="24"/>
  <c r="S106" i="24"/>
  <c r="Q106" i="24"/>
  <c r="O106" i="24"/>
  <c r="M106" i="24"/>
  <c r="K106" i="24"/>
  <c r="X105" i="24"/>
  <c r="W105" i="24"/>
  <c r="V105" i="24"/>
  <c r="U105" i="24"/>
  <c r="T105" i="24"/>
  <c r="S105" i="24"/>
  <c r="Q105" i="24"/>
  <c r="O105" i="24"/>
  <c r="M105" i="24"/>
  <c r="K105" i="24"/>
  <c r="X104" i="24"/>
  <c r="W104" i="24"/>
  <c r="V104" i="24"/>
  <c r="U104" i="24"/>
  <c r="T104" i="24"/>
  <c r="S104" i="24"/>
  <c r="Q104" i="24"/>
  <c r="O104" i="24"/>
  <c r="M104" i="24"/>
  <c r="K104" i="24"/>
  <c r="X103" i="24"/>
  <c r="W103" i="24"/>
  <c r="V103" i="24"/>
  <c r="U103" i="24"/>
  <c r="T103" i="24"/>
  <c r="S103" i="24"/>
  <c r="Q103" i="24"/>
  <c r="O103" i="24"/>
  <c r="M103" i="24"/>
  <c r="K103" i="24"/>
  <c r="X102" i="24"/>
  <c r="W102" i="24"/>
  <c r="V102" i="24"/>
  <c r="U102" i="24"/>
  <c r="T102" i="24"/>
  <c r="S102" i="24"/>
  <c r="Q102" i="24"/>
  <c r="O102" i="24"/>
  <c r="M102" i="24"/>
  <c r="K102" i="24"/>
  <c r="X101" i="24"/>
  <c r="W101" i="24"/>
  <c r="V101" i="24"/>
  <c r="U101" i="24"/>
  <c r="T101" i="24"/>
  <c r="S101" i="24"/>
  <c r="Q101" i="24"/>
  <c r="O101" i="24"/>
  <c r="M101" i="24"/>
  <c r="K101" i="24"/>
  <c r="X100" i="24"/>
  <c r="W100" i="24"/>
  <c r="V100" i="24"/>
  <c r="U100" i="24"/>
  <c r="T100" i="24"/>
  <c r="S100" i="24"/>
  <c r="Q100" i="24"/>
  <c r="O100" i="24"/>
  <c r="M100" i="24"/>
  <c r="K100" i="24"/>
  <c r="X99" i="24"/>
  <c r="W99" i="24"/>
  <c r="V99" i="24"/>
  <c r="U99" i="24"/>
  <c r="T99" i="24"/>
  <c r="S99" i="24"/>
  <c r="Q99" i="24"/>
  <c r="O99" i="24"/>
  <c r="M99" i="24"/>
  <c r="K99" i="24"/>
  <c r="X98" i="24"/>
  <c r="W98" i="24"/>
  <c r="V98" i="24"/>
  <c r="U98" i="24"/>
  <c r="T98" i="24"/>
  <c r="S98" i="24"/>
  <c r="Q98" i="24"/>
  <c r="O98" i="24"/>
  <c r="M98" i="24"/>
  <c r="K98" i="24"/>
  <c r="X97" i="24"/>
  <c r="W97" i="24"/>
  <c r="V97" i="24"/>
  <c r="U97" i="24"/>
  <c r="T97" i="24"/>
  <c r="S97" i="24"/>
  <c r="Q97" i="24"/>
  <c r="O97" i="24"/>
  <c r="M97" i="24"/>
  <c r="K97" i="24"/>
  <c r="X96" i="24"/>
  <c r="W96" i="24"/>
  <c r="V96" i="24"/>
  <c r="U96" i="24"/>
  <c r="T96" i="24"/>
  <c r="S96" i="24"/>
  <c r="Q96" i="24"/>
  <c r="O96" i="24"/>
  <c r="M96" i="24"/>
  <c r="K96" i="24"/>
  <c r="X95" i="24"/>
  <c r="W95" i="24"/>
  <c r="V95" i="24"/>
  <c r="U95" i="24"/>
  <c r="T95" i="24"/>
  <c r="S95" i="24"/>
  <c r="Q95" i="24"/>
  <c r="O95" i="24"/>
  <c r="M95" i="24"/>
  <c r="K95" i="24"/>
  <c r="X94" i="24"/>
  <c r="W94" i="24"/>
  <c r="V94" i="24"/>
  <c r="U94" i="24"/>
  <c r="T94" i="24"/>
  <c r="S94" i="24"/>
  <c r="Q94" i="24"/>
  <c r="O94" i="24"/>
  <c r="M94" i="24"/>
  <c r="K94" i="24"/>
  <c r="X93" i="24"/>
  <c r="W93" i="24"/>
  <c r="V93" i="24"/>
  <c r="U93" i="24"/>
  <c r="T93" i="24"/>
  <c r="S93" i="24"/>
  <c r="Q93" i="24"/>
  <c r="O93" i="24"/>
  <c r="M93" i="24"/>
  <c r="K93" i="24"/>
  <c r="X92" i="24"/>
  <c r="W92" i="24"/>
  <c r="V92" i="24"/>
  <c r="U92" i="24"/>
  <c r="T92" i="24"/>
  <c r="S92" i="24"/>
  <c r="Q92" i="24"/>
  <c r="O92" i="24"/>
  <c r="M92" i="24"/>
  <c r="K92" i="24"/>
  <c r="X91" i="24"/>
  <c r="W91" i="24"/>
  <c r="V91" i="24"/>
  <c r="U91" i="24"/>
  <c r="T91" i="24"/>
  <c r="S91" i="24"/>
  <c r="Q91" i="24"/>
  <c r="O91" i="24"/>
  <c r="M91" i="24"/>
  <c r="K91" i="24"/>
  <c r="X90" i="24"/>
  <c r="W90" i="24"/>
  <c r="V90" i="24"/>
  <c r="U90" i="24"/>
  <c r="T90" i="24"/>
  <c r="S90" i="24"/>
  <c r="Q90" i="24"/>
  <c r="O90" i="24"/>
  <c r="M90" i="24"/>
  <c r="K90" i="24"/>
  <c r="X89" i="24"/>
  <c r="W89" i="24"/>
  <c r="V89" i="24"/>
  <c r="U89" i="24"/>
  <c r="T89" i="24"/>
  <c r="S89" i="24"/>
  <c r="Q89" i="24"/>
  <c r="O89" i="24"/>
  <c r="M89" i="24"/>
  <c r="K89" i="24"/>
  <c r="X88" i="24"/>
  <c r="W88" i="24"/>
  <c r="V88" i="24"/>
  <c r="U88" i="24"/>
  <c r="T88" i="24"/>
  <c r="S88" i="24"/>
  <c r="Q88" i="24"/>
  <c r="O88" i="24"/>
  <c r="M88" i="24"/>
  <c r="K88" i="24"/>
  <c r="X87" i="24"/>
  <c r="W87" i="24"/>
  <c r="V87" i="24"/>
  <c r="U87" i="24"/>
  <c r="T87" i="24"/>
  <c r="S87" i="24"/>
  <c r="Q87" i="24"/>
  <c r="O87" i="24"/>
  <c r="M87" i="24"/>
  <c r="K87" i="24"/>
  <c r="X86" i="24"/>
  <c r="W86" i="24"/>
  <c r="V86" i="24"/>
  <c r="U86" i="24"/>
  <c r="T86" i="24"/>
  <c r="S86" i="24"/>
  <c r="Q86" i="24"/>
  <c r="O86" i="24"/>
  <c r="M86" i="24"/>
  <c r="K86" i="24"/>
  <c r="X85" i="24"/>
  <c r="W85" i="24"/>
  <c r="V85" i="24"/>
  <c r="U85" i="24"/>
  <c r="T85" i="24"/>
  <c r="S85" i="24"/>
  <c r="Q85" i="24"/>
  <c r="O85" i="24"/>
  <c r="M85" i="24"/>
  <c r="K85" i="24"/>
  <c r="X84" i="24"/>
  <c r="W84" i="24"/>
  <c r="V84" i="24"/>
  <c r="U84" i="24"/>
  <c r="T84" i="24"/>
  <c r="S84" i="24"/>
  <c r="Q84" i="24"/>
  <c r="O84" i="24"/>
  <c r="M84" i="24"/>
  <c r="K84" i="24"/>
  <c r="X83" i="24"/>
  <c r="W83" i="24"/>
  <c r="V83" i="24"/>
  <c r="U83" i="24"/>
  <c r="T83" i="24"/>
  <c r="S83" i="24"/>
  <c r="Q83" i="24"/>
  <c r="O83" i="24"/>
  <c r="M83" i="24"/>
  <c r="K83" i="24"/>
  <c r="X82" i="24"/>
  <c r="W82" i="24"/>
  <c r="V82" i="24"/>
  <c r="U82" i="24"/>
  <c r="T82" i="24"/>
  <c r="S82" i="24"/>
  <c r="Q82" i="24"/>
  <c r="O82" i="24"/>
  <c r="M82" i="24"/>
  <c r="K82" i="24"/>
  <c r="X81" i="24"/>
  <c r="W81" i="24"/>
  <c r="V81" i="24"/>
  <c r="U81" i="24"/>
  <c r="T81" i="24"/>
  <c r="S81" i="24"/>
  <c r="Q81" i="24"/>
  <c r="O81" i="24"/>
  <c r="M81" i="24"/>
  <c r="K81" i="24"/>
  <c r="X80" i="24"/>
  <c r="W80" i="24"/>
  <c r="V80" i="24"/>
  <c r="U80" i="24"/>
  <c r="T80" i="24"/>
  <c r="S80" i="24"/>
  <c r="Q80" i="24"/>
  <c r="O80" i="24"/>
  <c r="M80" i="24"/>
  <c r="K80" i="24"/>
  <c r="X79" i="24"/>
  <c r="W79" i="24"/>
  <c r="V79" i="24"/>
  <c r="U79" i="24"/>
  <c r="T79" i="24"/>
  <c r="S79" i="24"/>
  <c r="Q79" i="24"/>
  <c r="O79" i="24"/>
  <c r="M79" i="24"/>
  <c r="K79" i="24"/>
  <c r="X78" i="24"/>
  <c r="W78" i="24"/>
  <c r="V78" i="24"/>
  <c r="U78" i="24"/>
  <c r="T78" i="24"/>
  <c r="S78" i="24"/>
  <c r="Q78" i="24"/>
  <c r="O78" i="24"/>
  <c r="M78" i="24"/>
  <c r="K78" i="24"/>
  <c r="X77" i="24"/>
  <c r="W77" i="24"/>
  <c r="V77" i="24"/>
  <c r="U77" i="24"/>
  <c r="T77" i="24"/>
  <c r="S77" i="24"/>
  <c r="Q77" i="24"/>
  <c r="O77" i="24"/>
  <c r="M77" i="24"/>
  <c r="K77" i="24"/>
  <c r="X76" i="24"/>
  <c r="W76" i="24"/>
  <c r="V76" i="24"/>
  <c r="U76" i="24"/>
  <c r="T76" i="24"/>
  <c r="S76" i="24"/>
  <c r="Q76" i="24"/>
  <c r="O76" i="24"/>
  <c r="M76" i="24"/>
  <c r="K76" i="24"/>
  <c r="X75" i="24"/>
  <c r="W75" i="24"/>
  <c r="V75" i="24"/>
  <c r="U75" i="24"/>
  <c r="T75" i="24"/>
  <c r="S75" i="24"/>
  <c r="Q75" i="24"/>
  <c r="O75" i="24"/>
  <c r="M75" i="24"/>
  <c r="K75" i="24"/>
  <c r="X74" i="24"/>
  <c r="W74" i="24"/>
  <c r="V74" i="24"/>
  <c r="U74" i="24"/>
  <c r="T74" i="24"/>
  <c r="S74" i="24"/>
  <c r="Q74" i="24"/>
  <c r="O74" i="24"/>
  <c r="M74" i="24"/>
  <c r="K74" i="24"/>
  <c r="X73" i="24"/>
  <c r="W73" i="24"/>
  <c r="V73" i="24"/>
  <c r="U73" i="24"/>
  <c r="T73" i="24"/>
  <c r="S73" i="24"/>
  <c r="Q73" i="24"/>
  <c r="O73" i="24"/>
  <c r="M73" i="24"/>
  <c r="K73" i="24"/>
  <c r="X72" i="24"/>
  <c r="W72" i="24"/>
  <c r="V72" i="24"/>
  <c r="U72" i="24"/>
  <c r="T72" i="24"/>
  <c r="S72" i="24"/>
  <c r="Q72" i="24"/>
  <c r="O72" i="24"/>
  <c r="M72" i="24"/>
  <c r="K72" i="24"/>
  <c r="X71" i="24"/>
  <c r="W71" i="24"/>
  <c r="V71" i="24"/>
  <c r="U71" i="24"/>
  <c r="T71" i="24"/>
  <c r="S71" i="24"/>
  <c r="Q71" i="24"/>
  <c r="O71" i="24"/>
  <c r="M71" i="24"/>
  <c r="K71" i="24"/>
  <c r="X70" i="24"/>
  <c r="W70" i="24"/>
  <c r="V70" i="24"/>
  <c r="U70" i="24"/>
  <c r="T70" i="24"/>
  <c r="S70" i="24"/>
  <c r="Q70" i="24"/>
  <c r="O70" i="24"/>
  <c r="M70" i="24"/>
  <c r="K70" i="24"/>
  <c r="X69" i="24"/>
  <c r="W69" i="24"/>
  <c r="V69" i="24"/>
  <c r="U69" i="24"/>
  <c r="T69" i="24"/>
  <c r="S69" i="24"/>
  <c r="Q69" i="24"/>
  <c r="O69" i="24"/>
  <c r="M69" i="24"/>
  <c r="K69" i="24"/>
  <c r="X68" i="24"/>
  <c r="W68" i="24"/>
  <c r="V68" i="24"/>
  <c r="U68" i="24"/>
  <c r="T68" i="24"/>
  <c r="S68" i="24"/>
  <c r="Q68" i="24"/>
  <c r="O68" i="24"/>
  <c r="M68" i="24"/>
  <c r="K68" i="24"/>
  <c r="X67" i="24"/>
  <c r="W67" i="24"/>
  <c r="V67" i="24"/>
  <c r="U67" i="24"/>
  <c r="T67" i="24"/>
  <c r="S67" i="24"/>
  <c r="Q67" i="24"/>
  <c r="O67" i="24"/>
  <c r="M67" i="24"/>
  <c r="K67" i="24"/>
  <c r="X66" i="24"/>
  <c r="W66" i="24"/>
  <c r="V66" i="24"/>
  <c r="U66" i="24"/>
  <c r="T66" i="24"/>
  <c r="S66" i="24"/>
  <c r="Q66" i="24"/>
  <c r="O66" i="24"/>
  <c r="M66" i="24"/>
  <c r="K66" i="24"/>
  <c r="X65" i="24"/>
  <c r="W65" i="24"/>
  <c r="V65" i="24"/>
  <c r="U65" i="24"/>
  <c r="T65" i="24"/>
  <c r="S65" i="24"/>
  <c r="Q65" i="24"/>
  <c r="O65" i="24"/>
  <c r="M65" i="24"/>
  <c r="K65" i="24"/>
  <c r="X64" i="24"/>
  <c r="W64" i="24"/>
  <c r="V64" i="24"/>
  <c r="U64" i="24"/>
  <c r="T64" i="24"/>
  <c r="S64" i="24"/>
  <c r="Q64" i="24"/>
  <c r="O64" i="24"/>
  <c r="M64" i="24"/>
  <c r="K64" i="24"/>
  <c r="X63" i="24"/>
  <c r="W63" i="24"/>
  <c r="V63" i="24"/>
  <c r="U63" i="24"/>
  <c r="T63" i="24"/>
  <c r="S63" i="24"/>
  <c r="Q63" i="24"/>
  <c r="O63" i="24"/>
  <c r="M63" i="24"/>
  <c r="K63" i="24"/>
  <c r="X62" i="24"/>
  <c r="W62" i="24"/>
  <c r="V62" i="24"/>
  <c r="U62" i="24"/>
  <c r="T62" i="24"/>
  <c r="S62" i="24"/>
  <c r="Q62" i="24"/>
  <c r="O62" i="24"/>
  <c r="M62" i="24"/>
  <c r="K62" i="24"/>
  <c r="X61" i="24"/>
  <c r="W61" i="24"/>
  <c r="V61" i="24"/>
  <c r="U61" i="24"/>
  <c r="T61" i="24"/>
  <c r="S61" i="24"/>
  <c r="Q61" i="24"/>
  <c r="O61" i="24"/>
  <c r="M61" i="24"/>
  <c r="K61" i="24"/>
  <c r="X60" i="24"/>
  <c r="W60" i="24"/>
  <c r="V60" i="24"/>
  <c r="U60" i="24"/>
  <c r="T60" i="24"/>
  <c r="S60" i="24"/>
  <c r="Q60" i="24"/>
  <c r="O60" i="24"/>
  <c r="M60" i="24"/>
  <c r="K60" i="24"/>
  <c r="X59" i="24"/>
  <c r="W59" i="24"/>
  <c r="V59" i="24"/>
  <c r="U59" i="24"/>
  <c r="T59" i="24"/>
  <c r="S59" i="24"/>
  <c r="Q59" i="24"/>
  <c r="O59" i="24"/>
  <c r="M59" i="24"/>
  <c r="K59" i="24"/>
  <c r="X58" i="24"/>
  <c r="W58" i="24"/>
  <c r="V58" i="24"/>
  <c r="U58" i="24"/>
  <c r="T58" i="24"/>
  <c r="S58" i="24"/>
  <c r="Q58" i="24"/>
  <c r="O58" i="24"/>
  <c r="M58" i="24"/>
  <c r="K58" i="24"/>
  <c r="X57" i="24"/>
  <c r="W57" i="24"/>
  <c r="V57" i="24"/>
  <c r="U57" i="24"/>
  <c r="T57" i="24"/>
  <c r="S57" i="24"/>
  <c r="Q57" i="24"/>
  <c r="O57" i="24"/>
  <c r="M57" i="24"/>
  <c r="K57" i="24"/>
  <c r="X56" i="24"/>
  <c r="W56" i="24"/>
  <c r="V56" i="24"/>
  <c r="U56" i="24"/>
  <c r="T56" i="24"/>
  <c r="S56" i="24"/>
  <c r="Q56" i="24"/>
  <c r="O56" i="24"/>
  <c r="M56" i="24"/>
  <c r="K56" i="24"/>
  <c r="X55" i="24"/>
  <c r="W55" i="24"/>
  <c r="V55" i="24"/>
  <c r="U55" i="24"/>
  <c r="T55" i="24"/>
  <c r="S55" i="24"/>
  <c r="Q55" i="24"/>
  <c r="O55" i="24"/>
  <c r="M55" i="24"/>
  <c r="K55" i="24"/>
  <c r="X54" i="24"/>
  <c r="W54" i="24"/>
  <c r="V54" i="24"/>
  <c r="U54" i="24"/>
  <c r="T54" i="24"/>
  <c r="S54" i="24"/>
  <c r="Q54" i="24"/>
  <c r="O54" i="24"/>
  <c r="M54" i="24"/>
  <c r="K54" i="24"/>
  <c r="X53" i="24"/>
  <c r="W53" i="24"/>
  <c r="V53" i="24"/>
  <c r="U53" i="24"/>
  <c r="T53" i="24"/>
  <c r="S53" i="24"/>
  <c r="Q53" i="24"/>
  <c r="O53" i="24"/>
  <c r="M53" i="24"/>
  <c r="K53" i="24"/>
  <c r="X52" i="24"/>
  <c r="W52" i="24"/>
  <c r="V52" i="24"/>
  <c r="U52" i="24"/>
  <c r="T52" i="24"/>
  <c r="S52" i="24"/>
  <c r="Q52" i="24"/>
  <c r="O52" i="24"/>
  <c r="M52" i="24"/>
  <c r="K52" i="24"/>
  <c r="X51" i="24"/>
  <c r="W51" i="24"/>
  <c r="V51" i="24"/>
  <c r="U51" i="24"/>
  <c r="T51" i="24"/>
  <c r="S51" i="24"/>
  <c r="Q51" i="24"/>
  <c r="O51" i="24"/>
  <c r="M51" i="24"/>
  <c r="K51" i="24"/>
  <c r="X50" i="24"/>
  <c r="W50" i="24"/>
  <c r="V50" i="24"/>
  <c r="U50" i="24"/>
  <c r="T50" i="24"/>
  <c r="S50" i="24"/>
  <c r="Q50" i="24"/>
  <c r="O50" i="24"/>
  <c r="M50" i="24"/>
  <c r="K50" i="24"/>
  <c r="X49" i="24"/>
  <c r="W49" i="24"/>
  <c r="V49" i="24"/>
  <c r="U49" i="24"/>
  <c r="T49" i="24"/>
  <c r="S49" i="24"/>
  <c r="Q49" i="24"/>
  <c r="O49" i="24"/>
  <c r="M49" i="24"/>
  <c r="K49" i="24"/>
  <c r="X48" i="24"/>
  <c r="W48" i="24"/>
  <c r="V48" i="24"/>
  <c r="U48" i="24"/>
  <c r="T48" i="24"/>
  <c r="S48" i="24"/>
  <c r="Q48" i="24"/>
  <c r="O48" i="24"/>
  <c r="M48" i="24"/>
  <c r="K48" i="24"/>
  <c r="X47" i="24"/>
  <c r="W47" i="24"/>
  <c r="V47" i="24"/>
  <c r="U47" i="24"/>
  <c r="T47" i="24"/>
  <c r="S47" i="24"/>
  <c r="Q47" i="24"/>
  <c r="O47" i="24"/>
  <c r="M47" i="24"/>
  <c r="K47" i="24"/>
  <c r="X46" i="24"/>
  <c r="W46" i="24"/>
  <c r="V46" i="24"/>
  <c r="U46" i="24"/>
  <c r="T46" i="24"/>
  <c r="S46" i="24"/>
  <c r="Q46" i="24"/>
  <c r="O46" i="24"/>
  <c r="M46" i="24"/>
  <c r="K46" i="24"/>
  <c r="X45" i="24"/>
  <c r="W45" i="24"/>
  <c r="V45" i="24"/>
  <c r="U45" i="24"/>
  <c r="T45" i="24"/>
  <c r="S45" i="24"/>
  <c r="Q45" i="24"/>
  <c r="O45" i="24"/>
  <c r="M45" i="24"/>
  <c r="K45" i="24"/>
  <c r="X44" i="24"/>
  <c r="W44" i="24"/>
  <c r="V44" i="24"/>
  <c r="U44" i="24"/>
  <c r="T44" i="24"/>
  <c r="S44" i="24"/>
  <c r="Q44" i="24"/>
  <c r="O44" i="24"/>
  <c r="M44" i="24"/>
  <c r="K44" i="24"/>
  <c r="X43" i="24"/>
  <c r="W43" i="24"/>
  <c r="V43" i="24"/>
  <c r="U43" i="24"/>
  <c r="T43" i="24"/>
  <c r="S43" i="24"/>
  <c r="Q43" i="24"/>
  <c r="O43" i="24"/>
  <c r="M43" i="24"/>
  <c r="K43" i="24"/>
  <c r="X42" i="24"/>
  <c r="W42" i="24"/>
  <c r="V42" i="24"/>
  <c r="U42" i="24"/>
  <c r="T42" i="24"/>
  <c r="S42" i="24"/>
  <c r="Q42" i="24"/>
  <c r="O42" i="24"/>
  <c r="M42" i="24"/>
  <c r="K42" i="24"/>
  <c r="X41" i="24"/>
  <c r="W41" i="24"/>
  <c r="V41" i="24"/>
  <c r="U41" i="24"/>
  <c r="T41" i="24"/>
  <c r="S41" i="24"/>
  <c r="Q41" i="24"/>
  <c r="O41" i="24"/>
  <c r="M41" i="24"/>
  <c r="K41" i="24"/>
  <c r="X40" i="24"/>
  <c r="W40" i="24"/>
  <c r="V40" i="24"/>
  <c r="U40" i="24"/>
  <c r="T40" i="24"/>
  <c r="S40" i="24"/>
  <c r="Q40" i="24"/>
  <c r="O40" i="24"/>
  <c r="M40" i="24"/>
  <c r="K40" i="24"/>
  <c r="X39" i="24"/>
  <c r="W39" i="24"/>
  <c r="V39" i="24"/>
  <c r="U39" i="24"/>
  <c r="T39" i="24"/>
  <c r="S39" i="24"/>
  <c r="Q39" i="24"/>
  <c r="O39" i="24"/>
  <c r="M39" i="24"/>
  <c r="K39" i="24"/>
  <c r="X38" i="24"/>
  <c r="W38" i="24"/>
  <c r="V38" i="24"/>
  <c r="U38" i="24"/>
  <c r="T38" i="24"/>
  <c r="S38" i="24"/>
  <c r="Q38" i="24"/>
  <c r="O38" i="24"/>
  <c r="M38" i="24"/>
  <c r="K38" i="24"/>
  <c r="X37" i="24"/>
  <c r="W37" i="24"/>
  <c r="V37" i="24"/>
  <c r="U37" i="24"/>
  <c r="T37" i="24"/>
  <c r="S37" i="24"/>
  <c r="Q37" i="24"/>
  <c r="O37" i="24"/>
  <c r="M37" i="24"/>
  <c r="K37" i="24"/>
  <c r="X36" i="24"/>
  <c r="W36" i="24"/>
  <c r="V36" i="24"/>
  <c r="U36" i="24"/>
  <c r="T36" i="24"/>
  <c r="S36" i="24"/>
  <c r="Q36" i="24"/>
  <c r="O36" i="24"/>
  <c r="M36" i="24"/>
  <c r="K36" i="24"/>
  <c r="X35" i="24"/>
  <c r="W35" i="24"/>
  <c r="V35" i="24"/>
  <c r="U35" i="24"/>
  <c r="T35" i="24"/>
  <c r="S35" i="24"/>
  <c r="Q35" i="24"/>
  <c r="O35" i="24"/>
  <c r="M35" i="24"/>
  <c r="K35" i="24"/>
  <c r="X34" i="24"/>
  <c r="W34" i="24"/>
  <c r="V34" i="24"/>
  <c r="U34" i="24"/>
  <c r="T34" i="24"/>
  <c r="S34" i="24"/>
  <c r="Q34" i="24"/>
  <c r="O34" i="24"/>
  <c r="M34" i="24"/>
  <c r="K34" i="24"/>
  <c r="X33" i="24"/>
  <c r="W33" i="24"/>
  <c r="V33" i="24"/>
  <c r="U33" i="24"/>
  <c r="T33" i="24"/>
  <c r="S33" i="24"/>
  <c r="Q33" i="24"/>
  <c r="O33" i="24"/>
  <c r="M33" i="24"/>
  <c r="K33" i="24"/>
  <c r="X32" i="24"/>
  <c r="W32" i="24"/>
  <c r="V32" i="24"/>
  <c r="U32" i="24"/>
  <c r="T32" i="24"/>
  <c r="S32" i="24"/>
  <c r="Q32" i="24"/>
  <c r="O32" i="24"/>
  <c r="M32" i="24"/>
  <c r="K32" i="24"/>
  <c r="X31" i="24"/>
  <c r="W31" i="24"/>
  <c r="V31" i="24"/>
  <c r="U31" i="24"/>
  <c r="T31" i="24"/>
  <c r="S31" i="24"/>
  <c r="Q31" i="24"/>
  <c r="O31" i="24"/>
  <c r="M31" i="24"/>
  <c r="K31" i="24"/>
  <c r="X30" i="24"/>
  <c r="W30" i="24"/>
  <c r="V30" i="24"/>
  <c r="U30" i="24"/>
  <c r="T30" i="24"/>
  <c r="S30" i="24"/>
  <c r="Q30" i="24"/>
  <c r="O30" i="24"/>
  <c r="M30" i="24"/>
  <c r="K30" i="24"/>
  <c r="X29" i="24"/>
  <c r="W29" i="24"/>
  <c r="V29" i="24"/>
  <c r="U29" i="24"/>
  <c r="T29" i="24"/>
  <c r="S29" i="24"/>
  <c r="Q29" i="24"/>
  <c r="O29" i="24"/>
  <c r="M29" i="24"/>
  <c r="K29" i="24"/>
  <c r="X28" i="24"/>
  <c r="W28" i="24"/>
  <c r="V28" i="24"/>
  <c r="U28" i="24"/>
  <c r="T28" i="24"/>
  <c r="S28" i="24"/>
  <c r="Q28" i="24"/>
  <c r="O28" i="24"/>
  <c r="M28" i="24"/>
  <c r="K28" i="24"/>
  <c r="X27" i="24"/>
  <c r="W27" i="24"/>
  <c r="V27" i="24"/>
  <c r="U27" i="24"/>
  <c r="T27" i="24"/>
  <c r="S27" i="24"/>
  <c r="Q27" i="24"/>
  <c r="O27" i="24"/>
  <c r="M27" i="24"/>
  <c r="K27" i="24"/>
  <c r="X26" i="24"/>
  <c r="W26" i="24"/>
  <c r="V26" i="24"/>
  <c r="U26" i="24"/>
  <c r="T26" i="24"/>
  <c r="S26" i="24"/>
  <c r="Q26" i="24"/>
  <c r="O26" i="24"/>
  <c r="M26" i="24"/>
  <c r="K26" i="24"/>
  <c r="X25" i="24"/>
  <c r="W25" i="24"/>
  <c r="V25" i="24"/>
  <c r="U25" i="24"/>
  <c r="T25" i="24"/>
  <c r="S25" i="24"/>
  <c r="Q25" i="24"/>
  <c r="O25" i="24"/>
  <c r="M25" i="24"/>
  <c r="K25" i="24"/>
  <c r="X24" i="24"/>
  <c r="W24" i="24"/>
  <c r="V24" i="24"/>
  <c r="U24" i="24"/>
  <c r="T24" i="24"/>
  <c r="S24" i="24"/>
  <c r="Q24" i="24"/>
  <c r="O24" i="24"/>
  <c r="M24" i="24"/>
  <c r="K24" i="24"/>
  <c r="X23" i="24"/>
  <c r="W23" i="24"/>
  <c r="V23" i="24"/>
  <c r="U23" i="24"/>
  <c r="T23" i="24"/>
  <c r="S23" i="24"/>
  <c r="Q23" i="24"/>
  <c r="O23" i="24"/>
  <c r="M23" i="24"/>
  <c r="K23" i="24"/>
  <c r="X22" i="24"/>
  <c r="W22" i="24"/>
  <c r="V22" i="24"/>
  <c r="U22" i="24"/>
  <c r="T22" i="24"/>
  <c r="S22" i="24"/>
  <c r="Q22" i="24"/>
  <c r="O22" i="24"/>
  <c r="M22" i="24"/>
  <c r="K22" i="24"/>
  <c r="X21" i="24"/>
  <c r="W21" i="24"/>
  <c r="V21" i="24"/>
  <c r="U21" i="24"/>
  <c r="T21" i="24"/>
  <c r="S21" i="24"/>
  <c r="Q21" i="24"/>
  <c r="O21" i="24"/>
  <c r="M21" i="24"/>
  <c r="K21" i="24"/>
  <c r="X20" i="24"/>
  <c r="W20" i="24"/>
  <c r="V20" i="24"/>
  <c r="U20" i="24"/>
  <c r="T20" i="24"/>
  <c r="S20" i="24"/>
  <c r="Q20" i="24"/>
  <c r="O20" i="24"/>
  <c r="M20" i="24"/>
  <c r="K20" i="24"/>
  <c r="X19" i="24"/>
  <c r="W19" i="24"/>
  <c r="V19" i="24"/>
  <c r="U19" i="24"/>
  <c r="T19" i="24"/>
  <c r="S19" i="24"/>
  <c r="Q19" i="24"/>
  <c r="O19" i="24"/>
  <c r="M19" i="24"/>
  <c r="K19" i="24"/>
  <c r="X18" i="24"/>
  <c r="W18" i="24"/>
  <c r="V18" i="24"/>
  <c r="U18" i="24"/>
  <c r="T18" i="24"/>
  <c r="S18" i="24"/>
  <c r="Q18" i="24"/>
  <c r="O18" i="24"/>
  <c r="M18" i="24"/>
  <c r="K18" i="24"/>
  <c r="X17" i="24"/>
  <c r="W17" i="24"/>
  <c r="V17" i="24"/>
  <c r="U17" i="24"/>
  <c r="T17" i="24"/>
  <c r="S17" i="24"/>
  <c r="Q17" i="24"/>
  <c r="O17" i="24"/>
  <c r="M17" i="24"/>
  <c r="K17" i="24"/>
  <c r="X16" i="24"/>
  <c r="W16" i="24"/>
  <c r="V16" i="24"/>
  <c r="U16" i="24"/>
  <c r="T16" i="24"/>
  <c r="S16" i="24"/>
  <c r="Q16" i="24"/>
  <c r="O16" i="24"/>
  <c r="M16" i="24"/>
  <c r="K16" i="24"/>
  <c r="X15" i="24"/>
  <c r="W15" i="24"/>
  <c r="V15" i="24"/>
  <c r="U15" i="24"/>
  <c r="T15" i="24"/>
  <c r="S15" i="24"/>
  <c r="Q15" i="24"/>
  <c r="O15" i="24"/>
  <c r="M15" i="24"/>
  <c r="K15" i="24"/>
  <c r="X14" i="24"/>
  <c r="W14" i="24"/>
  <c r="V14" i="24"/>
  <c r="U14" i="24"/>
  <c r="T14" i="24"/>
  <c r="S14" i="24"/>
  <c r="Q14" i="24"/>
  <c r="O14" i="24"/>
  <c r="M14" i="24"/>
  <c r="K14" i="24"/>
  <c r="X13" i="24"/>
  <c r="W13" i="24"/>
  <c r="V13" i="24"/>
  <c r="U13" i="24"/>
  <c r="T13" i="24"/>
  <c r="S13" i="24"/>
  <c r="Q13" i="24"/>
  <c r="O13" i="24"/>
  <c r="M13" i="24"/>
  <c r="K13" i="24"/>
  <c r="X12" i="24"/>
  <c r="W12" i="24"/>
  <c r="V12" i="24"/>
  <c r="U12" i="24"/>
  <c r="T12" i="24"/>
  <c r="S12" i="24"/>
  <c r="Q12" i="24"/>
  <c r="O12" i="24"/>
  <c r="M12" i="24"/>
  <c r="K12" i="24"/>
  <c r="X11" i="24"/>
  <c r="W11" i="24"/>
  <c r="V11" i="24"/>
  <c r="U11" i="24"/>
  <c r="T11" i="24"/>
  <c r="S11" i="24"/>
  <c r="Q11" i="24"/>
  <c r="O11" i="24"/>
  <c r="M11" i="24"/>
  <c r="K11" i="24"/>
  <c r="X10" i="24"/>
  <c r="W10" i="24"/>
  <c r="V10" i="24"/>
  <c r="U10" i="24"/>
  <c r="T10" i="24"/>
  <c r="S10" i="24"/>
  <c r="Q10" i="24"/>
  <c r="O10" i="24"/>
  <c r="M10" i="24"/>
  <c r="K10" i="24"/>
  <c r="X9" i="24"/>
  <c r="W9" i="24"/>
  <c r="V9" i="24"/>
  <c r="U9" i="24"/>
  <c r="T9" i="24"/>
  <c r="S9" i="24"/>
  <c r="Q9" i="24"/>
  <c r="O9" i="24"/>
  <c r="M9" i="24"/>
  <c r="K9" i="24"/>
  <c r="X8" i="24"/>
  <c r="W8" i="24"/>
  <c r="V8" i="24"/>
  <c r="U8" i="24"/>
  <c r="T8" i="24"/>
  <c r="S8" i="24"/>
  <c r="Q8" i="24"/>
  <c r="O8" i="24"/>
  <c r="M8" i="24"/>
  <c r="K8" i="24"/>
  <c r="X7" i="24"/>
  <c r="W7" i="24"/>
  <c r="V7" i="24"/>
  <c r="U7" i="24"/>
  <c r="T7" i="24"/>
  <c r="S7" i="24"/>
  <c r="Q7" i="24"/>
  <c r="O7" i="24"/>
  <c r="M7" i="24"/>
  <c r="K7" i="24"/>
</calcChain>
</file>

<file path=xl/sharedStrings.xml><?xml version="1.0" encoding="utf-8"?>
<sst xmlns="http://schemas.openxmlformats.org/spreadsheetml/2006/main" count="46772" uniqueCount="1240">
  <si>
    <t>(注) 1.信用：制度信用銘柄                  　　　　　　　　　　 (Notes) 1."信用"：Issues eligible for Standardized margin transactions.
     2.貸借：制度信用銘柄及び貸借銘柄                                   2."貸借"：Issues eligible for Standardized margin transactions and loan transactions.
     3.審　：監理銘柄（審査中）　確　：監理銘柄（確認中）               3."審""確""監"：Securities Under Supervision(Examination/Confirmation).
       監　：監理銘柄（審査中・確認中）                                   "整"　　　　：Securities to be Delisted.
       整　：整理銘柄</t>
    <phoneticPr fontId="3"/>
  </si>
  <si>
    <t>E　T　F　相　場　表</t>
    <rPh sb="6" eb="7">
      <t>ソウ</t>
    </rPh>
    <rPh sb="8" eb="9">
      <t>バ</t>
    </rPh>
    <rPh sb="10" eb="11">
      <t>ヒョウ</t>
    </rPh>
    <phoneticPr fontId="3"/>
  </si>
  <si>
    <t>Exchange-Traded Fund Quotations</t>
    <phoneticPr fontId="3"/>
  </si>
  <si>
    <t>年月</t>
    <phoneticPr fontId="8"/>
  </si>
  <si>
    <t>銘柄コード</t>
    <rPh sb="0" eb="2">
      <t>メイガラ</t>
    </rPh>
    <phoneticPr fontId="3"/>
  </si>
  <si>
    <t>日付</t>
    <rPh sb="0" eb="2">
      <t>ヒヅケ</t>
    </rPh>
    <phoneticPr fontId="3"/>
  </si>
  <si>
    <t>区分</t>
    <phoneticPr fontId="8"/>
  </si>
  <si>
    <t>信用・貸借</t>
    <rPh sb="0" eb="2">
      <t>シンヨウ</t>
    </rPh>
    <rPh sb="3" eb="5">
      <t>タイシャク</t>
    </rPh>
    <phoneticPr fontId="3"/>
  </si>
  <si>
    <t>売買単位</t>
    <rPh sb="0" eb="2">
      <t>バイバイ</t>
    </rPh>
    <rPh sb="2" eb="4">
      <t>タンイ</t>
    </rPh>
    <phoneticPr fontId="3"/>
  </si>
  <si>
    <t>始値</t>
    <rPh sb="0" eb="2">
      <t>ハジメネ</t>
    </rPh>
    <phoneticPr fontId="3"/>
  </si>
  <si>
    <t>高値</t>
    <rPh sb="0" eb="1">
      <t>タカ</t>
    </rPh>
    <rPh sb="1" eb="2">
      <t>ネ</t>
    </rPh>
    <phoneticPr fontId="3"/>
  </si>
  <si>
    <t>安値</t>
    <rPh sb="0" eb="2">
      <t>ヤスネ</t>
    </rPh>
    <phoneticPr fontId="3"/>
  </si>
  <si>
    <t>終値</t>
    <rPh sb="0" eb="2">
      <t>オワリネ</t>
    </rPh>
    <phoneticPr fontId="3"/>
  </si>
  <si>
    <t>終値平均</t>
    <rPh sb="0" eb="2">
      <t>オワリネ</t>
    </rPh>
    <rPh sb="2" eb="4">
      <t>ヘイキン</t>
    </rPh>
    <phoneticPr fontId="3"/>
  </si>
  <si>
    <t>売買高</t>
    <rPh sb="0" eb="3">
      <t>バイバイダカ</t>
    </rPh>
    <phoneticPr fontId="3"/>
  </si>
  <si>
    <t>うちToSTNeT売買高</t>
  </si>
  <si>
    <t>売買代金</t>
    <rPh sb="0" eb="2">
      <t>バイバイ</t>
    </rPh>
    <rPh sb="2" eb="4">
      <t>ダイキン</t>
    </rPh>
    <phoneticPr fontId="3"/>
  </si>
  <si>
    <t>うちToSTNeT売買代金</t>
  </si>
  <si>
    <t>値付日数</t>
    <rPh sb="0" eb="2">
      <t>ネツ</t>
    </rPh>
    <rPh sb="2" eb="4">
      <t>ニッスウ</t>
    </rPh>
    <phoneticPr fontId="3"/>
  </si>
  <si>
    <t>Year/Month</t>
    <phoneticPr fontId="8"/>
  </si>
  <si>
    <t>Code</t>
    <phoneticPr fontId="8"/>
  </si>
  <si>
    <t>銘柄名称</t>
    <phoneticPr fontId="8"/>
  </si>
  <si>
    <t>Issues</t>
  </si>
  <si>
    <t>銘柄属性</t>
    <rPh sb="0" eb="2">
      <t>メイガラ</t>
    </rPh>
    <rPh sb="2" eb="4">
      <t>ゾクセイ</t>
    </rPh>
    <phoneticPr fontId="8"/>
  </si>
  <si>
    <t>Attribute</t>
    <phoneticPr fontId="8"/>
  </si>
  <si>
    <t>Date</t>
    <phoneticPr fontId="3"/>
  </si>
  <si>
    <t>Sector</t>
    <phoneticPr fontId="8"/>
  </si>
  <si>
    <t>margin/loan</t>
    <phoneticPr fontId="8"/>
  </si>
  <si>
    <t>Trading Unit</t>
    <phoneticPr fontId="3"/>
  </si>
  <si>
    <t>Open</t>
  </si>
  <si>
    <t>High</t>
    <phoneticPr fontId="3"/>
  </si>
  <si>
    <t>Low</t>
  </si>
  <si>
    <t>Close</t>
  </si>
  <si>
    <t>Average Closing Price</t>
    <phoneticPr fontId="8"/>
  </si>
  <si>
    <t>Trading Volume</t>
  </si>
  <si>
    <t>Trading Volume(ToSTNeT)</t>
    <phoneticPr fontId="8"/>
  </si>
  <si>
    <t>Trading Value</t>
  </si>
  <si>
    <t>Trading Value(ToSTNeT)</t>
    <phoneticPr fontId="8"/>
  </si>
  <si>
    <t>Days Traded</t>
    <phoneticPr fontId="3"/>
  </si>
  <si>
    <t>口(units）</t>
    <phoneticPr fontId="8"/>
  </si>
  <si>
    <t>円(￥)</t>
    <phoneticPr fontId="8"/>
  </si>
  <si>
    <t>口(units）</t>
  </si>
  <si>
    <t>1305</t>
  </si>
  <si>
    <t>ダイワ上場投信－トピックス　受益証券</t>
  </si>
  <si>
    <t>Daiwa ETF-TOPIX</t>
  </si>
  <si>
    <t/>
  </si>
  <si>
    <t>貸借</t>
  </si>
  <si>
    <t>1306</t>
  </si>
  <si>
    <t>ＮＥＸＴ　ＦＵＮＤＳ　ＴＯＰＩＸ連動型上場投信　受益証券</t>
  </si>
  <si>
    <t>NEXT FUNDS TOPIX Exchange Traded Fund</t>
  </si>
  <si>
    <t>1308</t>
  </si>
  <si>
    <t>上場インデックスファンドＴＯＰＩＸ　受益証券</t>
  </si>
  <si>
    <t>Nikko Exchange Traded Index Fund TOPIX</t>
  </si>
  <si>
    <t>1309</t>
  </si>
  <si>
    <t>ＮＥＸＴ　ＦＵＮＤＳ　ＣｈｉｎａＡＭＣ・中国株式・上証５０連動型上場投信　受益証券</t>
  </si>
  <si>
    <t>NEXT FUNDS ChinaAMC SSE50 Index Exchange Traded Fund</t>
  </si>
  <si>
    <t>13</t>
  </si>
  <si>
    <t>1311</t>
  </si>
  <si>
    <t>ＮＥＸＴ　ＦＵＮＤＳ　ＴＯＰＩＸ　Ｃｏｒｅ　３０連動型上場投信　受益証券</t>
  </si>
  <si>
    <t>NEXT FUNDS TOPIX Core 30 Exchange Traded Fund</t>
  </si>
  <si>
    <t>1312</t>
  </si>
  <si>
    <t>ＮＥＸＴ　ＦＵＮＤＳ　ラッセル野村小型コア・インデックス連動型上場投信　受益証券</t>
  </si>
  <si>
    <t>NEXT FUNDS Russell/Nomura Small Cap Core Index Exchange Traded Fund</t>
  </si>
  <si>
    <t>1313</t>
  </si>
  <si>
    <t>サムスンＫＯＤＥＸ２００証券上場指数投資信託[株式]　受益証券</t>
  </si>
  <si>
    <t>SAMSUNG KODEX200 SECURITIES EXCHANGE TRADED FUND [STOCK]</t>
  </si>
  <si>
    <t>1319</t>
  </si>
  <si>
    <t>ＮＥＸＴ　ＦＵＮＤＳ　日経３００株価指数連動型上場投信　受益証券</t>
  </si>
  <si>
    <t>NEXT FUNDS Nikkei 300 Index Exchange Traded Fund</t>
  </si>
  <si>
    <t>1320</t>
  </si>
  <si>
    <t>ダイワ上場投信－日経２２５　受益証券</t>
  </si>
  <si>
    <t>Daiwa ETF-Nikkei 225</t>
  </si>
  <si>
    <t>1321</t>
  </si>
  <si>
    <t>ＮＥＸＴ　ＦＵＮＤＳ　日経２２５連動型上場投信　受益証券</t>
  </si>
  <si>
    <t>NEXT FUNDS Nikkei 225 Exchange Traded Fund</t>
  </si>
  <si>
    <t>1322</t>
  </si>
  <si>
    <t>上場インデックスファンド中国Ａ株（パンダ）Ｅ　Ｆｕｎｄ　ＣＳＩ３００　受益証券</t>
  </si>
  <si>
    <t>Listed Index Fund China A Share (Panda) E Fund CSI300</t>
  </si>
  <si>
    <t>6</t>
  </si>
  <si>
    <t>1324</t>
  </si>
  <si>
    <t>20</t>
  </si>
  <si>
    <t>1325</t>
  </si>
  <si>
    <t>ＮＥＸＴ　ＦＵＮＤＳ　ブラジル株式指数・ボベスパ連動型上場投信　受益証券</t>
  </si>
  <si>
    <t>NEXT FUNDS Ibovespa Linked Exchange Traded Fund</t>
  </si>
  <si>
    <t>1326</t>
  </si>
  <si>
    <t>ＳＰＤＲゴールド・シェア　受益証券</t>
  </si>
  <si>
    <t>SPDR Gold Shares</t>
  </si>
  <si>
    <t>1328</t>
  </si>
  <si>
    <t>ＮＥＸＴ　ＦＵＮＤＳ　金価格連動型上場投信　受益証券</t>
  </si>
  <si>
    <t>NEXT FUNDS Gold Price Exchange Traded Fund</t>
  </si>
  <si>
    <t>1329</t>
  </si>
  <si>
    <t>ｉシェアーズ・コア　日経２２５　ＥＴＦ　受益証券</t>
  </si>
  <si>
    <t>iShares Core Nikkei 225 ETF</t>
  </si>
  <si>
    <t>1330</t>
  </si>
  <si>
    <t>上場インデックスファンド２２５　受益証券</t>
  </si>
  <si>
    <t>Nikko Exchange Traded Index Fund 225</t>
  </si>
  <si>
    <t>1343</t>
  </si>
  <si>
    <t>ＮＥＸＴ　ＦＵＮＤＳ　東証ＲＥＩＴ指数連動型上場投信　受益証券</t>
  </si>
  <si>
    <t>NEXT FUNDS REIT INDEX ETF</t>
  </si>
  <si>
    <t>1345</t>
  </si>
  <si>
    <t>上場インデックスファンドＪリート（東証ＲＥＩＴ指数）隔月分配型　受益証券</t>
  </si>
  <si>
    <t>Listed Index Fund J-REIT (Tokyo Stock Exchange REIT Index)</t>
  </si>
  <si>
    <t>1346</t>
  </si>
  <si>
    <t>ＭＡＸＩＳ　日経２２５上場投信　受益証券</t>
  </si>
  <si>
    <t>MAXIS NIKKEI225 ETF</t>
  </si>
  <si>
    <t>1348</t>
  </si>
  <si>
    <t>ＭＡＸＩＳ　トピックス上場投信　受益証券</t>
  </si>
  <si>
    <t>MAXIS TOPIX ETF</t>
  </si>
  <si>
    <t>1349</t>
  </si>
  <si>
    <t>ABF汎アジア債券インデックス・ファンド　受益証券</t>
  </si>
  <si>
    <t>ABF PAN ASIA BOND INDEX FUND</t>
  </si>
  <si>
    <t>1356</t>
  </si>
  <si>
    <t>ＴＯＰＩＸベア２倍上場投信　受益証券</t>
  </si>
  <si>
    <t>TOPIX Bear -2x ETF</t>
  </si>
  <si>
    <t>1357</t>
  </si>
  <si>
    <t>ＮＥＸＴ　ＦＵＮＤＳ　日経平均ダブルインバース・インデックス連動型上場投信　受益証券</t>
  </si>
  <si>
    <t>NEXT FUNDS Nikkei 225 Double Inverse Index ETF</t>
  </si>
  <si>
    <t>1358</t>
  </si>
  <si>
    <t>上場インデックスファンド日経レバレッジ指数　受益証券</t>
  </si>
  <si>
    <t>Listed Index Fund Nikkei Leveraged Index</t>
  </si>
  <si>
    <t>1360</t>
  </si>
  <si>
    <t>日経平均ベア２倍上場投信　受益証券</t>
  </si>
  <si>
    <t>Nikkei225 Bear -2x ETF</t>
  </si>
  <si>
    <t>1364</t>
  </si>
  <si>
    <t>ｉシェアーズ　ＪＰＸ日経４００　ＥＴＦ　受益証券</t>
  </si>
  <si>
    <t>iShares JPX-Nikkei 400 ETF</t>
  </si>
  <si>
    <t>1365</t>
  </si>
  <si>
    <t>ダイワ上場投信－日経平均レバレッジ・インデックス　受益証券</t>
  </si>
  <si>
    <t>Daiwa ETF Japan Nikkei225 Leveraged Index</t>
  </si>
  <si>
    <t>1366</t>
  </si>
  <si>
    <t>ダイワ上場投信－日経平均ダブルインバース・インデックス　受益証券</t>
  </si>
  <si>
    <t>Daiwa ETF Japan Nikkei225 Double Inverse Index</t>
  </si>
  <si>
    <t>1367</t>
  </si>
  <si>
    <t>ダイワ上場投信－ＴＯＰＩＸレバレッジ（２倍）指数　受益証券</t>
  </si>
  <si>
    <t>Daiwa ETF Japan TOPIX Leveraged (2x) Index</t>
  </si>
  <si>
    <t>1368</t>
  </si>
  <si>
    <t>ダイワ上場投信－ＴＯＰＩＸダブルインバース（－２倍）指数　受益証券</t>
  </si>
  <si>
    <t>Daiwa ETF Japan TOPIX Double Inverse (-2x) Index</t>
  </si>
  <si>
    <t>1369</t>
  </si>
  <si>
    <t>Ｏｎｅ　ＥＴＦ　日経２２５　受益証券</t>
  </si>
  <si>
    <t>One ETF Nikkei225</t>
  </si>
  <si>
    <t>1385</t>
  </si>
  <si>
    <t>ＵＢＳ　ＥＴＦ　ユーロ圏大型株５０（ユーロ・ストックス５０）　受益証券</t>
  </si>
  <si>
    <t>UBS ETF EURO STOXX 50 UCITS ETF-JDR</t>
  </si>
  <si>
    <t>1386</t>
  </si>
  <si>
    <t>ＵＢＳ　ＥＴＦ　欧州株（ＭＳＣＩヨーロッパ）　受益証券</t>
  </si>
  <si>
    <t>UBS ETF MSCI Europe UCITS ETF-JDR</t>
  </si>
  <si>
    <t>1387</t>
  </si>
  <si>
    <t>ＵＢＳ　ＥＴＦ　ユーロ圏株（ＭＳＣＩ　ＥＭＵ）　受益証券</t>
  </si>
  <si>
    <t>UBS ETF MSCI EMU UCITS ETF-JDR</t>
  </si>
  <si>
    <t>1388</t>
  </si>
  <si>
    <t>ＵＢＳ　ＥＴＦ　ユーロ圏小型株（ＭＳＣＩ　ＥＭＵ小型株）　受益証券</t>
  </si>
  <si>
    <t>UBS ETF MSCI EMU Small Cap UCITS ETF-JDR</t>
  </si>
  <si>
    <t>1389</t>
  </si>
  <si>
    <t>ＵＢＳ　ＥＴＦ　英国大型株１００（ＦＴＳＥ　１００）　受益証券</t>
  </si>
  <si>
    <t>UBS ETF FTSE 100 UCITS ETF-JDR</t>
  </si>
  <si>
    <t>1390</t>
  </si>
  <si>
    <t>ＵＢＳ　ＥＴＦ　ＭＳＣＩアジア太平洋株（除く日本）　受益証券</t>
  </si>
  <si>
    <t>UBS ETF MSCI Pacific (ex Japan) UCITS ETF-JDR</t>
  </si>
  <si>
    <t>1391</t>
  </si>
  <si>
    <t>ＵＢＳ　ＥＴＦ　スイス株（ＭＳＣＩスイス２０／３５）　受益証券</t>
  </si>
  <si>
    <t>UBS ETF MSCI Switzerland 20/35 UCITS ETF-JDR</t>
  </si>
  <si>
    <t>1392</t>
  </si>
  <si>
    <t>ＵＢＳ　ＥＴＦ　英国株（ＭＳＣＩ英国）　受益証券</t>
  </si>
  <si>
    <t>UBS ETF MSCI United Kingdom UCITS ETF-JDR</t>
  </si>
  <si>
    <t>1393</t>
  </si>
  <si>
    <t>ＵＢＳ　ＥＴＦ　米国株（ＭＳＣＩ米国）　受益証券</t>
  </si>
  <si>
    <t>UBS ETF MSCI USA UCITS ETF-JDR</t>
  </si>
  <si>
    <t>1394</t>
  </si>
  <si>
    <t>ＵＢＳ　ＥＴＦ　先進国株（ＭＳＣＩワールド）　受益証券</t>
  </si>
  <si>
    <t>UBS ETF MSCI World UCITS ETF-JDR</t>
  </si>
  <si>
    <t>1397</t>
  </si>
  <si>
    <t>ＳＭＤＡＭ　日経２２５上場投信　受益証券</t>
  </si>
  <si>
    <t>SMDAM NIKKEI225 ETF</t>
  </si>
  <si>
    <t>1398</t>
  </si>
  <si>
    <t>ＳＭＤＡＭ　東証ＲＥＩＴ指数上場投信　受益証券</t>
  </si>
  <si>
    <t>SMDAM REIT Index ETF</t>
  </si>
  <si>
    <t>1399</t>
  </si>
  <si>
    <t>上場インデックスファンドＭＳＣＩ日本株高配当低ボラティリティ　受益証券</t>
  </si>
  <si>
    <t>Listed Index Fund MSCI Japan Equity High Dividend Low Volatility</t>
  </si>
  <si>
    <t>1456</t>
  </si>
  <si>
    <t>ダイワ上場投信－日経平均インバース・インデックス　受益証券</t>
  </si>
  <si>
    <t>Daiwa ETF Japan Nikkei225 Inverse Index</t>
  </si>
  <si>
    <t>1457</t>
  </si>
  <si>
    <t>ダイワ上場投信－ＴＯＰＩＸインバース（－１倍）指数　受益証券</t>
  </si>
  <si>
    <t>Daiwa ETF Japan TOPIX Inverse (-1x) Index</t>
  </si>
  <si>
    <t>1458</t>
  </si>
  <si>
    <t>楽天ＥＴＦ‐日経レバレッジ指数連動型　受益証券</t>
  </si>
  <si>
    <t>Rakuten ETF - Nikkei 225 Leveraged Index</t>
  </si>
  <si>
    <t>1459</t>
  </si>
  <si>
    <t>楽天ＥＴＦ‐日経ダブルインバース指数連動型　受益証券</t>
  </si>
  <si>
    <t>Rakuten ETF - Nikkei 225 Double Inverse Index</t>
  </si>
  <si>
    <t>1464</t>
  </si>
  <si>
    <t>ダイワ上場投信－ＪＰＸ日経４００レバレッジ・インデックス　受益証券</t>
  </si>
  <si>
    <t>Daiwa ETF Japan JPX-Nikkei 400 Leveraged (2x) Index</t>
  </si>
  <si>
    <t>1465</t>
  </si>
  <si>
    <t>ダイワ上場投信－ＪＰＸ日経４００インバース・インデックス　受益証券</t>
  </si>
  <si>
    <t>Daiwa ETF Japan JPX-Nikkei 400 Inverse (-1x) Index</t>
  </si>
  <si>
    <t>1466</t>
  </si>
  <si>
    <t>ダイワ上場投信－ＪＰＸ日経４００ダブルインバース・インデックス　受益証券</t>
  </si>
  <si>
    <t>Daiwa ETF Japan JPX-Nikkei 400 Double Inverse (-2x) Index</t>
  </si>
  <si>
    <t>1467</t>
  </si>
  <si>
    <t>ＪＰＸ日経４００ブル２倍上場投信（レバレッジ）　受益証券</t>
  </si>
  <si>
    <t>JPX-Nikkei 400 Bull 2x Leveraged ETF</t>
  </si>
  <si>
    <t>1468</t>
  </si>
  <si>
    <t>ＪＰＸ日経４００ベア上場投信（インバース）　受益証券</t>
  </si>
  <si>
    <t>JPX-Nikkei 400 Bear -1x Inverse ETF</t>
  </si>
  <si>
    <t>1469</t>
  </si>
  <si>
    <t>ＪＰＸ日経４００ベア２倍上場投信（ダブルインバース）　受益証券</t>
  </si>
  <si>
    <t>JPX-Nikkei 400 Bear -2x Double Inverse ETF</t>
  </si>
  <si>
    <t>1472</t>
  </si>
  <si>
    <t>ＮＥＸＴ　ＦＵＮＤＳ　ＪＰＸ日経４００ダブルインバース・インデックス連動型上場投信　受益証券</t>
  </si>
  <si>
    <t>NEXT FUNDS JPX-Nikkei 400 Double Inverse Index Exchange Traded Fund</t>
  </si>
  <si>
    <t>1473</t>
  </si>
  <si>
    <t>Ｏｎｅ　ＥＴＦ　トピックス　受益証券</t>
  </si>
  <si>
    <t>One ETF TOPIX</t>
  </si>
  <si>
    <t>1474</t>
  </si>
  <si>
    <t>Ｏｎｅ　ＥＴＦ　ＪＰＸ日経４００　受益証券</t>
  </si>
  <si>
    <t>One ETF JPX-Nikkei 400</t>
  </si>
  <si>
    <t>1475</t>
  </si>
  <si>
    <t>ｉシェアーズ・コア　ＴＯＰＩＸ　ＥＴＦ　受益証券</t>
  </si>
  <si>
    <t>iShares Core TOPIX ETF</t>
  </si>
  <si>
    <t>1476</t>
  </si>
  <si>
    <t>ｉシェアーズ・コア　Ｊリート　ＥＴＦ　受益証券</t>
  </si>
  <si>
    <t>iShares Core Japan REIT ETF</t>
  </si>
  <si>
    <t>1477</t>
  </si>
  <si>
    <t>ｉシェアーズ　ＭＳＣＩ　日本株最小分散　ＥＴＦ　受益証券</t>
  </si>
  <si>
    <t>iShares MSCI Japan Minimum Volatility (ex-REITs) ETF</t>
  </si>
  <si>
    <t>1478</t>
  </si>
  <si>
    <t>ｉシェアーズ　ＭＳＣＩ　ジャパン高配当利回り　ＥＴＦ　受益証券</t>
  </si>
  <si>
    <t>iShares MSCI Japan High Dividend ETF</t>
  </si>
  <si>
    <t>1479</t>
  </si>
  <si>
    <t>ダイワ上場投信－ＭＳＣＩ日本株人材設備投資指数　受益証券</t>
  </si>
  <si>
    <t>Daiwa ETF MSCI Japan Human and Physical Investment Index</t>
  </si>
  <si>
    <t>1480</t>
  </si>
  <si>
    <t>ＮＥＸＴ　ＦＵＮＤＳ　野村企業価値分配指数連動型上場投信　受益証券</t>
  </si>
  <si>
    <t>NEXT FUNDS Nomura Enterprise Value Allocation Index Exchange Traded Fund</t>
  </si>
  <si>
    <t>1481</t>
  </si>
  <si>
    <t>上場インデックスファンド日本経済貢献株　受益証券</t>
  </si>
  <si>
    <t>Listed Index Fund Japanese Economy Contributor Stocks</t>
  </si>
  <si>
    <t>1482</t>
  </si>
  <si>
    <t>ｉシェアーズ・コア　米国債７－１０年　ＥＴＦ（為替ヘッジあり）　受益証券</t>
  </si>
  <si>
    <t>iShares Core 7-10 Year US Treasury Bond JPY Hedged ETF</t>
  </si>
  <si>
    <t>1483</t>
  </si>
  <si>
    <t>ｉシェアーズ　ＪＰＸ／Ｓ＆Ｐ設備・人材投資　ＥＴＦ　受益証券</t>
  </si>
  <si>
    <t>iShares JPX/S&amp;P CAPEX &amp; Human Capital ETF</t>
  </si>
  <si>
    <t>1484</t>
  </si>
  <si>
    <t>Ｏｎｅ　ＥＴＦ　ＪＰＸ／Ｓ＆Ｐ　設備・人材投資指数　受益証券</t>
  </si>
  <si>
    <t>One ETF JPX/S&amp;P CAPEX &amp; Human Capital Index</t>
  </si>
  <si>
    <t>1485</t>
  </si>
  <si>
    <t>ＭＡＸＩＳ　ＪＡＰＡＮ　設備・人材積極投資企業２００上場投信　受益証券</t>
  </si>
  <si>
    <t>MAXIS JAPAN Proactive Investment in Physical and Human Capital 200 Index ETF</t>
  </si>
  <si>
    <t>1486</t>
  </si>
  <si>
    <t>上場インデックスファンド米国債券（為替ヘッジなし）　受益証券</t>
  </si>
  <si>
    <t>Listed Index Fund US Bond (No Currency Hedge)</t>
  </si>
  <si>
    <t>27</t>
  </si>
  <si>
    <t>1487</t>
  </si>
  <si>
    <t>上場インデックスファンド米国債券（為替ヘッジあり）　受益証券</t>
  </si>
  <si>
    <t>Listed Index Fund US Bond (Currency Hedge)</t>
  </si>
  <si>
    <t>1488</t>
  </si>
  <si>
    <t>ダイワ上場投信－東証ＲＥＩＴ指数　受益証券</t>
  </si>
  <si>
    <t>Daiwa ETF Tokyo Stock Exchange REIT Index</t>
  </si>
  <si>
    <t>1489</t>
  </si>
  <si>
    <t>ＮＥＸＴ　ＦＵＮＤＳ　日経平均高配当株５０指数連動型上場投信　受益証券</t>
  </si>
  <si>
    <t>NEXT FUNDS Nikkei 225 High Dividend Yield Stock 50 Index Exchange Traded Fund</t>
  </si>
  <si>
    <t>1490</t>
  </si>
  <si>
    <t>上場インデックスファンドＭＳＣＩ日本株高配当低ボラティリティ（βヘッジ）　受益証券</t>
  </si>
  <si>
    <t>Listed Index Fund MSCI Japan Equity High Dividend Low Volatility (Beta Hedged)</t>
  </si>
  <si>
    <t>1492</t>
  </si>
  <si>
    <t>ＭＡＸＩＳ　ＪＰＸ　日経中小型株指数上場投信　受益証券</t>
  </si>
  <si>
    <t>MAXIS JPX-Nikkei Mid and Small Cap Index ETF</t>
  </si>
  <si>
    <t>1493</t>
  </si>
  <si>
    <t>Ｏｎｅ　ＥＴＦ　ＪＰＸ日経中小型　受益証券</t>
  </si>
  <si>
    <t>One ETF JPX-Nikkei Mid Small</t>
  </si>
  <si>
    <t>1494</t>
  </si>
  <si>
    <t>Ｏｎｅ　ＥＴＦ　高配当日本株　受益証券</t>
  </si>
  <si>
    <t>One ETF High Dividend Japan Equity</t>
  </si>
  <si>
    <t>1495</t>
  </si>
  <si>
    <t>上場インデックスファンドアジアリート　受益証券</t>
  </si>
  <si>
    <t>Listed Index Fund Asian REIT</t>
  </si>
  <si>
    <t>1496</t>
  </si>
  <si>
    <t>ｉシェアーズ　米ドル建て投資適格社債　ＥＴＦ（為替ヘッジあり）　受益証券</t>
  </si>
  <si>
    <t>iShares USD Investment Grade Corporate Bond JPY Hedged ETF</t>
  </si>
  <si>
    <t>1497</t>
  </si>
  <si>
    <t>ｉシェアーズ　米ドル建てハイイールド社債　ＥＴＦ（為替ヘッジあり）　受益証券</t>
  </si>
  <si>
    <t>iShares USD High Yield Corporate Bond JPY Hedged ETF</t>
  </si>
  <si>
    <t>1498</t>
  </si>
  <si>
    <t>Ｏｎｅ　ＥＴＦ　ＥＳＧ　受益証券</t>
  </si>
  <si>
    <t>One ETF ESG</t>
  </si>
  <si>
    <t>1499</t>
  </si>
  <si>
    <t>ＭＡＸＩＳ日本株高配当７０マーケットニュートラル上場投信　受益証券</t>
  </si>
  <si>
    <t>MAXIS Japan Equity High Dividend 70 Market Neutral ETF</t>
  </si>
  <si>
    <t>1540</t>
  </si>
  <si>
    <t>純金上場信託（現物国内保管型）　受益証券</t>
  </si>
  <si>
    <t>Japan Physical Gold ETF</t>
  </si>
  <si>
    <t>1541</t>
  </si>
  <si>
    <t>純プラチナ上場信託（現物国内保管型）　受益証券</t>
  </si>
  <si>
    <t>Japan Physical Platinum ETF</t>
  </si>
  <si>
    <t>1542</t>
  </si>
  <si>
    <t>純銀上場信託（現物国内保管型）　受益証券</t>
  </si>
  <si>
    <t>Japan Physical Silver ETF</t>
  </si>
  <si>
    <t>1543</t>
  </si>
  <si>
    <t>純パラジウム上場信託（現物国内保管型）　受益証券</t>
  </si>
  <si>
    <t>Japan Physical Palladium ETF</t>
  </si>
  <si>
    <t>1545</t>
  </si>
  <si>
    <t>1546</t>
  </si>
  <si>
    <t>1547</t>
  </si>
  <si>
    <t>上場インデックスファンド米国株式（Ｓ＆Ｐ５００）　受益証券</t>
  </si>
  <si>
    <t>Listed Index Fund US Equity (S&amp;P500)</t>
  </si>
  <si>
    <t>1550</t>
  </si>
  <si>
    <t>ＭＡＸＩＳ　海外株式（ＭＳＣＩコクサイ）上場投信　受益証券</t>
  </si>
  <si>
    <t>MAXIS Global Equity (MSCI Kokusai) ETF</t>
  </si>
  <si>
    <t>1551</t>
  </si>
  <si>
    <t>1552</t>
  </si>
  <si>
    <t>国際のＥＴＦ　ＶＩＸ短期先物指数　受益証券</t>
  </si>
  <si>
    <t>KOKUSAI S&amp;P500 VIX SHORT-TERM FUTURES INDEX ETF</t>
  </si>
  <si>
    <t>確</t>
  </si>
  <si>
    <t>1554</t>
  </si>
  <si>
    <t>上場インデックスファンド世界株式（ＭＳＣＩ　ＡＣＷＩ）除く日本　受益証券</t>
  </si>
  <si>
    <t>Listed Index Fund World Equity (MSCI ACWI) ex Japan</t>
  </si>
  <si>
    <t>1555</t>
  </si>
  <si>
    <t>上場インデックスファンド豪州リート（Ｓ＆Ｐ／ＡＳＸ２００　Ａ‐ＲＥＩＴ）　受益証券</t>
  </si>
  <si>
    <t>Listed Index Fund Australian REIT (S&amp;P/ASX200 A-REIT)</t>
  </si>
  <si>
    <t>1557</t>
  </si>
  <si>
    <t>ＳＰＤＲ　Ｓ＆Ｐ５００　ＥＴＦ　受益証券</t>
  </si>
  <si>
    <t>SPDR S&amp;P500 ETF Trust</t>
  </si>
  <si>
    <t>1559</t>
  </si>
  <si>
    <t>ＮＥＸＴ　ＦＵＮＤＳ　タイ株式ＳＥＴ５０指数連動型上場投信　受益証券</t>
  </si>
  <si>
    <t>NEXT FUNDS Thai Stock SET50 Exchange Traded Fund</t>
  </si>
  <si>
    <t>1560</t>
  </si>
  <si>
    <t>ＮＥＸＴ　ＦＵＮＤＳ　ＦＴＳＥブルサ・マレーシアＫＬＣＩ連動型上場投信　受益証券</t>
  </si>
  <si>
    <t>NEXT FUNDS FTSE Bursa Malaysia KLCI Exchange Traded Fund</t>
  </si>
  <si>
    <t>1563</t>
  </si>
  <si>
    <t>1566</t>
  </si>
  <si>
    <t>上場インデックスファンド新興国債券　受益証券</t>
  </si>
  <si>
    <t>Listed Index Fund Emerging Bond</t>
  </si>
  <si>
    <t>1568</t>
  </si>
  <si>
    <t>ＴＯＰＩＸブル２倍上場投信　受益証券</t>
  </si>
  <si>
    <t>TOPIX Bull 2x ETF</t>
  </si>
  <si>
    <t>1569</t>
  </si>
  <si>
    <t>ＴＯＰＩＸベア上場投信　受益証券</t>
  </si>
  <si>
    <t>TOPIX Bear -1x ETF</t>
  </si>
  <si>
    <t>1570</t>
  </si>
  <si>
    <t>ＮＥＸＴ　ＦＵＮＤＳ　日経平均レバレッジ・インデックス連動型上場投信　受益証券</t>
  </si>
  <si>
    <t>NEXT FUNDS Nikkei 225 Leveraged Index Exchange Traded Fund</t>
  </si>
  <si>
    <t>1571</t>
  </si>
  <si>
    <t>ＮＥＸＴ　ＦＵＮＤＳ　日経平均インバース・インデックス連動型上場投信　受益証券</t>
  </si>
  <si>
    <t>NEXT FUNDS Nikkei 225 Inverse Index Exchange Traded Fund</t>
  </si>
  <si>
    <t>1572</t>
  </si>
  <si>
    <t>中国Ｈ株ブル２倍上場投信　受益証券</t>
  </si>
  <si>
    <t>China Bull 2x HSCEI ETF</t>
  </si>
  <si>
    <t>1573</t>
  </si>
  <si>
    <t>中国Ｈ株ベア上場投信　受益証券</t>
  </si>
  <si>
    <t>China Bear -1x HSCEI ETF</t>
  </si>
  <si>
    <t>1577</t>
  </si>
  <si>
    <t>ＮＥＸＴ　ＦＵＮＤＳ　野村日本株高配当７０連動型上場投信　受益証券</t>
  </si>
  <si>
    <t>NEXT FUNDS Nomura Japan Equity High Dividend 70 ETF</t>
  </si>
  <si>
    <t>1578</t>
  </si>
  <si>
    <t>上場インデックスファンド日経２２５（ミニ）　受益証券</t>
  </si>
  <si>
    <t>Listed Index Fund Nikkei 225 (Mini)</t>
  </si>
  <si>
    <t>1579</t>
  </si>
  <si>
    <t>日経平均ブル２倍上場投信　受益証券</t>
  </si>
  <si>
    <t>Nikkei 225 Bull 2x ETF</t>
  </si>
  <si>
    <t>1580</t>
  </si>
  <si>
    <t>日経平均ベア上場投信　受益証券</t>
  </si>
  <si>
    <t>Nikkei 225 Bear -1x ETF</t>
  </si>
  <si>
    <t>1584</t>
  </si>
  <si>
    <t>サムスンＫＯＤＥＸサムスングループ株証券上場指数投資信託［株式］　受益証券</t>
  </si>
  <si>
    <t>Samsung KODEX Samsung Group Securities Exchange Traded Investment Trust [Share]</t>
  </si>
  <si>
    <t>1585</t>
  </si>
  <si>
    <t>ダイワ上場投信・ＴＯＰＩＸ　Ｅｘ－Ｆｉｎａｎｃｉａｌｓ　受益証券</t>
  </si>
  <si>
    <t>Daiwa ETF TOPIX Ex-Financials</t>
  </si>
  <si>
    <t>1586</t>
  </si>
  <si>
    <t>上場インデックスファンドＴＯＰＩＸ　Ｅｘ－Ｆｉｎａｎｃｉａｌｓ　受益証券</t>
  </si>
  <si>
    <t>Listed Index Fund TOPIX Ex-Financials</t>
  </si>
  <si>
    <t>1591</t>
  </si>
  <si>
    <t>ＮＥＸＴ　ＦＵＮＤＳ　ＪＰＸ日経インデックス４００連動型上場投信　受益証券</t>
  </si>
  <si>
    <t>NEXT FUNDS JPX-Nikkei Index 400 Exchange Traded Fund</t>
  </si>
  <si>
    <t>1592</t>
  </si>
  <si>
    <t>上場インデックスファンドＪＰＸ日経インデックス４００　受益証券</t>
  </si>
  <si>
    <t>Listed Index Fund JPX-Nikkei Index 400</t>
  </si>
  <si>
    <t>1593</t>
  </si>
  <si>
    <t>ＭＡＸＩＳ　ＪＰＸ日経インデックス４００上場投信　受益証券</t>
  </si>
  <si>
    <t>MAXIS JPX-Nikkei Index 400 ETF</t>
  </si>
  <si>
    <t>1595</t>
  </si>
  <si>
    <t>ＮＺＡＭ　上場投信　東証ＲＥＩＴ指数　受益証券</t>
  </si>
  <si>
    <t>NZAM ETF J-REIT Index</t>
  </si>
  <si>
    <t>1596</t>
  </si>
  <si>
    <t>ＮＺＡＭ　上場投信　ＴＯＰＩＸ　Ｅｘ－Ｆｉｎａｎｃｉａｌｓ　受益証券</t>
  </si>
  <si>
    <t>NZAM ETF TOPIX Ex-Financials</t>
  </si>
  <si>
    <t>1597</t>
  </si>
  <si>
    <t>ＭＡＸＩＳ　Ｊリート上場投信　受益証券</t>
  </si>
  <si>
    <t>MAXIS J-REIT ETF</t>
  </si>
  <si>
    <t>1599</t>
  </si>
  <si>
    <t>ダイワ上場投信－ＪＰＸ日経４００　受益証券</t>
  </si>
  <si>
    <t>Daiwa ETF JPX-Nikkei 400</t>
  </si>
  <si>
    <t>1615</t>
  </si>
  <si>
    <t>ＮＥＸＴ　ＦＵＮＤＳ　東証銀行業株価指数連動型上場投信　受益証券</t>
  </si>
  <si>
    <t>NEXT FUNDS TOPIX Banks Exchange Traded Fund</t>
  </si>
  <si>
    <t>1617</t>
  </si>
  <si>
    <t>ＮＥＸＴ　ＦＵＮＤＳ　食品（ＴＯＰＩＸ－１７）上場投信　受益証券</t>
  </si>
  <si>
    <t>NEXT FUNDS TOPIX-17 FOODS ETF</t>
  </si>
  <si>
    <t>1618</t>
  </si>
  <si>
    <t>ＮＥＸＴ　ＦＵＮＤＳ　エネルギー資源（ＴＯＰＩＸ－１７）上場投信　受益証券</t>
  </si>
  <si>
    <t>NEXT FUNDS TOPIX-17 ENERGY RESOURCES ETF</t>
  </si>
  <si>
    <t>1619</t>
  </si>
  <si>
    <t>ＮＥＸＴ　ＦＵＮＤＳ　建設・資材（ＴＯＰＩＸ－１７）上場投信　受益証券</t>
  </si>
  <si>
    <t>NEXT FUNDS TOPIX-17 CONSTRUCTION &amp; MATERIALS ETF</t>
  </si>
  <si>
    <t>1620</t>
  </si>
  <si>
    <t>ＮＥＸＴ　ＦＵＮＤＳ　素材・化学（ＴＯＰＩＸ－１７）上場投信　受益証券</t>
  </si>
  <si>
    <t>NEXT FUNDS TOPIX-17 RAW MATERIALS &amp; CHEMICALS ETF</t>
  </si>
  <si>
    <t>1621</t>
  </si>
  <si>
    <t>ＮＥＸＴ　ＦＵＮＤＳ　医薬品（ＴＯＰＩＸ－１７）上場投信　受益証券</t>
  </si>
  <si>
    <t>NEXT FUNDS TOPIX-17 PHARMACEUTICAL ETF</t>
  </si>
  <si>
    <t>1622</t>
  </si>
  <si>
    <t>ＮＥＸＴ　ＦＵＮＤＳ　自動車・輸送機（ＴＯＰＩＸ－１７）上場投信　受益証券</t>
  </si>
  <si>
    <t>NEXT FUNDS TOPIX-17 AUTOMOBILES TRANSPORTATION EQUIPMENT ETF</t>
  </si>
  <si>
    <t>1623</t>
  </si>
  <si>
    <t>ＮＥＸＴ　ＦＵＮＤＳ　鉄鋼・非鉄（ＴＯＰＩＸ－１７）上場投信　受益証券</t>
  </si>
  <si>
    <t>NEXT FUNDS TOPIX-17 STEEL &amp; NONFERROUS ETF</t>
  </si>
  <si>
    <t>1624</t>
  </si>
  <si>
    <t>ＮＥＸＴ　ＦＵＮＤＳ　機械（ＴＯＰＩＸ－１７）上場投信　受益証券</t>
  </si>
  <si>
    <t>NEXT FUNDS TOPIX-17 MACHINERY ETF</t>
  </si>
  <si>
    <t>1625</t>
  </si>
  <si>
    <t>ＮＥＸＴ　ＦＵＮＤＳ　電機・精密（ＴＯＰＩＸ－１７）上場投信　受益証券</t>
  </si>
  <si>
    <t>NEXT FUNDS TOPIX-17 ELECTRIC &amp; PRECISION INSTRUMENTS ETF</t>
  </si>
  <si>
    <t>1626</t>
  </si>
  <si>
    <t>ＮＥＸＴ　ＦＵＮＤＳ　情報通信・サービスその他（ＴＯＰＩＸ－１７）上場投信　受益証券</t>
  </si>
  <si>
    <t>NEXT FUNDS TOPIX-17 IT &amp; SERVICES,OTHERS ETF</t>
  </si>
  <si>
    <t>1627</t>
  </si>
  <si>
    <t>ＮＥＸＴ　ＦＵＮＤＳ　電力・ガス（ＴＯＰＩＸ－１７）上場投信　受益証券</t>
  </si>
  <si>
    <t>NEXT FUNDS TOPIX-17 ELECTRIC POWER &amp; GAS ETF</t>
  </si>
  <si>
    <t>1628</t>
  </si>
  <si>
    <t>ＮＥＸＴ　ＦＵＮＤＳ　運輸・物流（ＴＯＰＩＸ－１７）上場投信　受益証券</t>
  </si>
  <si>
    <t>NEXT FUNDS TOPIX-17 TRANSPORTATION &amp; LOGISTICS ETF</t>
  </si>
  <si>
    <t>1629</t>
  </si>
  <si>
    <t>ＮＥＸＴ　ＦＵＮＤＳ　商社・卸売（ＴＯＰＩＸ－１７）上場投信　受益証券</t>
  </si>
  <si>
    <t>NEXT FUNDS TOPIX-17 COMMERCIAL &amp; WHOLESALE TRADE ETF</t>
  </si>
  <si>
    <t>1630</t>
  </si>
  <si>
    <t>ＮＥＸＴ　ＦＵＮＤＳ　小売（ＴＯＰＩＸ－１７）上場投信　受益証券</t>
  </si>
  <si>
    <t>NEXT FUNDS TOPIX-17 RETAIL TRADE ETF</t>
  </si>
  <si>
    <t>1631</t>
  </si>
  <si>
    <t>ＮＥＸＴ　ＦＵＮＤＳ　銀行（ＴＯＰＩＸ－１７）上場投信　受益証券</t>
  </si>
  <si>
    <t>NEXT FUNDS TOPIX-17 BANKS ETF</t>
  </si>
  <si>
    <t>1632</t>
  </si>
  <si>
    <t>ＮＥＸＴ　ＦＵＮＤＳ　金融（除く銀行）（ＴＯＰＩＸ－１７）上場投信　受益証券</t>
  </si>
  <si>
    <t>NEXT FUNDS TOPIX-17 FINANCIALS (EX BANKS) ETF</t>
  </si>
  <si>
    <t>1633</t>
  </si>
  <si>
    <t>ＮＥＸＴ　ＦＵＮＤＳ　不動産（ＴＯＰＩＸ－１７）上場投信　受益証券</t>
  </si>
  <si>
    <t>NEXT FUNDS TOPIX-17 REAL ESTATE ETF</t>
  </si>
  <si>
    <t>1651</t>
  </si>
  <si>
    <t>ダイワ上場投信－ＴＯＰＩＸ高配当４０指数　受益証券</t>
  </si>
  <si>
    <t>Daiwa ETF TOPIX High Dividend Yield 40 Index</t>
  </si>
  <si>
    <t>1652</t>
  </si>
  <si>
    <t>ダイワ上場投信－ＭＳＣＩ日本株女性活躍指数（ＷＩＮ）　受益証券</t>
  </si>
  <si>
    <t>Daiwa ETF MSCI Japan Empowering Women Index (WIN)</t>
  </si>
  <si>
    <t>1653</t>
  </si>
  <si>
    <t>ダイワ上場投信－ＭＳＣＩジャパンＥＳＧセレクト・リーダーズ指数　受益証券</t>
  </si>
  <si>
    <t>Daiwa ETF MSCI Japan ESG Select Leaders Index</t>
  </si>
  <si>
    <t>1654</t>
  </si>
  <si>
    <t>ダイワ上場投信－ＦＴＳＥ　Ｂｌｏｓｓｏｍ　Ｊａｐａｎ　Ｉｎｄｅｘ　受益証券</t>
  </si>
  <si>
    <t>Daiwa ETF FTSE Blossom Japan Index</t>
  </si>
  <si>
    <t>1655</t>
  </si>
  <si>
    <t>ｉシェアーズ　Ｓ＆Ｐ　５００　米国株　ＥＴＦ　受益証券</t>
  </si>
  <si>
    <t>iShares S&amp;P 500 ETF</t>
  </si>
  <si>
    <t>1656</t>
  </si>
  <si>
    <t>ｉシェアーズ・コア　米国債７－１０年　ＥＴＦ　受益証券</t>
  </si>
  <si>
    <t>iShares Core 7-10 Year US Treasury Bond ETF</t>
  </si>
  <si>
    <t>1657</t>
  </si>
  <si>
    <t>ｉシェアーズ・コア　ＭＳＣＩ　先進国株（除く日本）　ＥＴＦ　受益証券</t>
  </si>
  <si>
    <t>iShares Core MSCI Kokusai ETF</t>
  </si>
  <si>
    <t>1658</t>
  </si>
  <si>
    <t>ｉシェアーズ・コア　ＭＳＣＩ　新興国株　ＥＴＦ　受益証券</t>
  </si>
  <si>
    <t>iShares Core MSCI Emerging Markets IMI ETF</t>
  </si>
  <si>
    <t>1659</t>
  </si>
  <si>
    <t>ｉシェアーズ　米国リート　ＥＴＦ　受益証券</t>
  </si>
  <si>
    <t>iShares US REIT ETF</t>
  </si>
  <si>
    <t>1660</t>
  </si>
  <si>
    <t>ＭＡＸＩＳ高利回りＪリート上場投信　受益証券</t>
  </si>
  <si>
    <t>MAXIS High Yield J-REIT ETF</t>
  </si>
  <si>
    <t>1671</t>
  </si>
  <si>
    <t>ＷＴＩ原油価格連動型上場投信　受益証券</t>
  </si>
  <si>
    <t>Simplex WTI ETF</t>
  </si>
  <si>
    <t>1672</t>
  </si>
  <si>
    <t>ＥＴＦＳ　金上場投資信託　投資証券</t>
  </si>
  <si>
    <t>WisdomTree Physical Gold Individual Securities</t>
  </si>
  <si>
    <t>1673</t>
  </si>
  <si>
    <t>ＥＴＦＳ　銀上場投資信託　投資証券</t>
  </si>
  <si>
    <t>WisdomTree Physical Silver Individual Securities</t>
  </si>
  <si>
    <t>1674</t>
  </si>
  <si>
    <t>ＥＴＦＳ　白金上場投資信託　投資証券</t>
  </si>
  <si>
    <t>WisdomTree Physical Platinum Individual Securities</t>
  </si>
  <si>
    <t>1675</t>
  </si>
  <si>
    <t>ＥＴＦＳ　パラジウム上場投資信託　投資証券</t>
  </si>
  <si>
    <t>WisdomTree Physical Palladium Individual Securities</t>
  </si>
  <si>
    <t>1676</t>
  </si>
  <si>
    <t>ＥＴＦＳ　貴金属バスケット上場投資信託　投資証券</t>
  </si>
  <si>
    <t>WisdomTree Physical Precious Metals Basket Securities</t>
  </si>
  <si>
    <t>1677</t>
  </si>
  <si>
    <t>上場インデックスファンド海外債券（ＦＴＳＥ　ＷＧＢＩ）毎月分配型　受益証券</t>
  </si>
  <si>
    <t>Listed Index Fund International Bond (FTSE WGBI) Monthly Dividend Payment Type</t>
  </si>
  <si>
    <t>1678</t>
  </si>
  <si>
    <t>ＮＥＸＴ　ＦＵＮＤＳ　インド株式指数・Ｎｉｆｔｙ　５０連動型上場投信　受益証券</t>
  </si>
  <si>
    <t>NEXT FUNDS Nifty 50 Linked Exchange Traded Fund</t>
  </si>
  <si>
    <t>1679</t>
  </si>
  <si>
    <t>Ｓｉｍｐｌｅ－Ｘ　ＮＹダウ・ジョーンズ・インデックス上場投信　受益証券</t>
  </si>
  <si>
    <t>Simple-X NY Dow Jones Index ETF</t>
  </si>
  <si>
    <t>1680</t>
  </si>
  <si>
    <t>上場インデックスファンド海外先進国株式（ＭＳＣＩ－ＫＯＫＵＳＡＩ）　受益証券</t>
  </si>
  <si>
    <t>Listed Index Fund International Developed Countries Equity</t>
  </si>
  <si>
    <t>1681</t>
  </si>
  <si>
    <t>上場インデックスファンド海外新興国株式（ＭＳＣＩエマージング）　受益証券</t>
  </si>
  <si>
    <t>Listed Index Fund International Emerging Countries Equity</t>
  </si>
  <si>
    <t>1682</t>
  </si>
  <si>
    <t>ＮＥＸＴ　ＦＵＮＤＳ　日経・ＪＰＸ白金指数連動型上場投信　受益証券</t>
  </si>
  <si>
    <t>NEXT FUNDS Nikkei-JPX Platinum Index Linked Exchange Traded Fund</t>
  </si>
  <si>
    <t>1684</t>
  </si>
  <si>
    <t>ＥＴＦＳ　総合上場投資信託　投資証券</t>
  </si>
  <si>
    <t>WisdomTree Broad Commodities</t>
  </si>
  <si>
    <t>1685</t>
  </si>
  <si>
    <t>ＥＴＦＳ　エネルギー上場投資信託　投資証券</t>
  </si>
  <si>
    <t>WisdomTree Energy</t>
  </si>
  <si>
    <t>1686</t>
  </si>
  <si>
    <t>ＥＴＦＳ　産業用金属上場投資信託　投資証券</t>
  </si>
  <si>
    <t>WisdomTree Industrial Metals</t>
  </si>
  <si>
    <t>1687</t>
  </si>
  <si>
    <t>ＥＴＦＳ　農産物上場投資信託　投資証券</t>
  </si>
  <si>
    <t>WisdomTree Agriculture</t>
  </si>
  <si>
    <t>1688</t>
  </si>
  <si>
    <t>ＥＴＦＳ　穀物上場投資信託　投資証券</t>
  </si>
  <si>
    <t>WisdomTree Grains</t>
  </si>
  <si>
    <t>1689</t>
  </si>
  <si>
    <t>ＥＴＦＳ　天然ガス上場投資信託　投資証券</t>
  </si>
  <si>
    <t>WisdomTree Natural Gas</t>
  </si>
  <si>
    <t>1690</t>
  </si>
  <si>
    <t>ＥＴＦＳ　ＷＴＩ　原油上場投資信託　投資証券</t>
  </si>
  <si>
    <t>WisdomTree WTI Crude Oil</t>
  </si>
  <si>
    <t>1691</t>
  </si>
  <si>
    <t>ＥＴＦＳ　ガソリン上場投資信託　投資証券</t>
  </si>
  <si>
    <t>WisdomTree Gasoline</t>
  </si>
  <si>
    <t>1692</t>
  </si>
  <si>
    <t>ＥＴＦＳ　アルミニウム上場投資信託　投資証券</t>
  </si>
  <si>
    <t>WisdomTree Aluminium</t>
  </si>
  <si>
    <t>1693</t>
  </si>
  <si>
    <t>ＥＴＦＳ　銅上場投資信託　投資証券</t>
  </si>
  <si>
    <t>WisdomTree Copper</t>
  </si>
  <si>
    <t>1694</t>
  </si>
  <si>
    <t>ＥＴＦＳ　ニッケル上場投資信託　投資証券</t>
  </si>
  <si>
    <t>WisdomTree Nickel</t>
  </si>
  <si>
    <t>1695</t>
  </si>
  <si>
    <t>ＥＴＦＳ　小麦上場投資信託　投資証券</t>
  </si>
  <si>
    <t>WisdomTree Wheat</t>
  </si>
  <si>
    <t>1696</t>
  </si>
  <si>
    <t>ＥＴＦＳ　とうもろこし上場投資信託　投資証券</t>
  </si>
  <si>
    <t>WisdomTree Corn</t>
  </si>
  <si>
    <t>1697</t>
  </si>
  <si>
    <t>ＥＴＦＳ　大豆上場投資信託　投資証券</t>
  </si>
  <si>
    <t>WisdomTree Soybeans</t>
  </si>
  <si>
    <t>1698</t>
  </si>
  <si>
    <t>上場インデックスファンド日本高配当（東証配当フォーカス１００）　受益証券</t>
  </si>
  <si>
    <t>Listed Index Fund Japan High Dividend</t>
  </si>
  <si>
    <t>1699</t>
  </si>
  <si>
    <t>ＮＥＸＴ　ＦＵＮＤＳ　ＮＯＭＵＲＡ原油インデックス連動型上場投信　受益証券</t>
  </si>
  <si>
    <t>NEXT FUNDS NOMURA Crude Oil Long Index Linked Exchange</t>
  </si>
  <si>
    <t>2031</t>
  </si>
  <si>
    <t>ＮＥＸＴ　ＮＯＴＥＳ　香港ハンセン・ダブル・ブル　ＥＴＮ　受益証券</t>
  </si>
  <si>
    <t>NEXT NOTES HSI Leveraged ETN</t>
  </si>
  <si>
    <t>信用</t>
  </si>
  <si>
    <t>2032</t>
  </si>
  <si>
    <t>ＮＥＸＴ　ＮＯＴＥＳ　香港ハンセン・ベア　ＥＴＮ　受益証券</t>
  </si>
  <si>
    <t>NEXT NOTES HSI Short ETN</t>
  </si>
  <si>
    <t>2033</t>
  </si>
  <si>
    <t>ＮＥＸＴ　ＮＯＴＥＳ　韓国ＫＯＳＰＩ・ダブル・ブル　ＥＴＮ　受益証券</t>
  </si>
  <si>
    <t>NEXT NOTES KOSPI200 Leverage ETN</t>
  </si>
  <si>
    <t>2034</t>
  </si>
  <si>
    <t>ＮＥＸＴ　ＮＯＴＥＳ　韓国ＫＯＳＰＩ・ベア　ＥＴＮ　受益証券</t>
  </si>
  <si>
    <t>NEXT NOTES F-KOSPI200 Inverse ETN</t>
  </si>
  <si>
    <t>2036</t>
  </si>
  <si>
    <t>ＮＥＸＴ　ＮＯＴＥＳ　金先物　ダブル・ブル　ＥＴＮ　受益証券</t>
  </si>
  <si>
    <t>NEXT NOTES Gold Futures Double Bull ETN</t>
  </si>
  <si>
    <t>2037</t>
  </si>
  <si>
    <t>ＮＥＸＴ　ＮＯＴＥＳ　金先物　ベア　ＥＴＮ　受益証券</t>
  </si>
  <si>
    <t>NEXT NOTES Gold Futures Bear ETN</t>
  </si>
  <si>
    <t>2038</t>
  </si>
  <si>
    <t>ＮＥＸＴ　ＮＯＴＥＳ　ドバイ原油先物　ダブル・ブル　ＥＴＮ　受益証券</t>
  </si>
  <si>
    <t>NEXT NOTES Dubai Crude Oil Futures Double Bull ETN</t>
  </si>
  <si>
    <t>2039</t>
  </si>
  <si>
    <t>ＮＥＸＴ　ＮＯＴＥＳ　ドバイ原油先物　ベア　ＥＴＮ　受益証券</t>
  </si>
  <si>
    <t>NEXT NOTES Dubai Crude Oil Futures Bear ETN</t>
  </si>
  <si>
    <t>2040</t>
  </si>
  <si>
    <t>ＮＥＸＴ　ＮＯＴＥＳ　ＮＹダウ・ダブル・ブル・ドルヘッジ　ＥＴＮ　受益証券</t>
  </si>
  <si>
    <t>NEXT NOTES DJIA PR JPY-Monthly Hedged Leveraged (x2) ETN</t>
  </si>
  <si>
    <t>2041</t>
  </si>
  <si>
    <t>ＮＥＸＴ　ＮＯＴＥＳ　ＮＹダウ・ベア・ドルヘッジ　ＥＴＮ　受益証券</t>
  </si>
  <si>
    <t>NEXT NOTES DJIA TR JPY-Monthly Hedged Inverse (x1) ETN</t>
  </si>
  <si>
    <t>2042</t>
  </si>
  <si>
    <t>ＮＥＸＴ　ＮＯＴＥＳ　東証マザーズ　ＥＴＮ　受益証券</t>
  </si>
  <si>
    <t>NEXT NOTES Tokyo Stock Exchange Mothers Index ETN</t>
  </si>
  <si>
    <t>2043</t>
  </si>
  <si>
    <t>ＮＥＸＴ　ＮＯＴＥＳ　ＳＴＯＸＸ　アセアン好配当５０（円、ネットリターン）ＥＴＮ　受益証券</t>
  </si>
  <si>
    <t>NEXT NOTES STOXX ASEAN-Five Select Dividend 50(NR-JPY) ETN</t>
  </si>
  <si>
    <t>2044</t>
  </si>
  <si>
    <t>ＮＥＸＴ　ＮＯＴＥＳ　Ｓ＆Ｐ５００　配当貴族（ネットリターン）　ＥＴＮ　受益証券</t>
  </si>
  <si>
    <t>NEXT NOTES S&amp;P 500 Dividend Aristocrats Net Total Return Index ETN</t>
  </si>
  <si>
    <t>2045</t>
  </si>
  <si>
    <t>ＮＥＸＴ　ＮＯＴＥＳ　Ｓ＆Ｐ　シンガポール　リート（ネットリターン）　ＥＴＮ　受益証券</t>
  </si>
  <si>
    <t>NEXT NOTES S&amp;P Singapore REIT Net Total Return Index ETN</t>
  </si>
  <si>
    <t>2046</t>
  </si>
  <si>
    <t>ＮＥＸＴ　ＮＯＴＥＳ　インドＮｉｆｔｙ・ダブル・ブル　ＥＴＮ　受益証券</t>
  </si>
  <si>
    <t>NEXT NOTES Nifty PR 2x Leverage Index ETN</t>
  </si>
  <si>
    <t>2047</t>
  </si>
  <si>
    <t>ＮＥＸＴ　ＮＯＴＥＳ　インドＮｉｆｔｙ・ベア　ＥＴＮ　受益証券</t>
  </si>
  <si>
    <t>NEXT NOTES Nifty Total Returns(TR) Daily Inverse Index ETN</t>
  </si>
  <si>
    <t>2048</t>
  </si>
  <si>
    <t>ＮＥＸＴ　ＮＯＴＥＳ　野村日本株高配当７０（ドルヘッジ、ネットリターン）ＥＴＮ　受益証券</t>
  </si>
  <si>
    <t>NEXT NOTES Nomura Japan Equity High Dividend 70,Net Total Return US Dollar Hedged Index ETN</t>
  </si>
  <si>
    <t>2050</t>
  </si>
  <si>
    <t>ＮＥＸＴ　ＮＯＴＥＳ　ニッチトップ　中小型日本株（ネットリターン）ＥＴＮ　受益証券</t>
  </si>
  <si>
    <t>NEXT NOTES Niche Top Mid Small Cap Japan Equity, Net Total Return ETN</t>
  </si>
  <si>
    <t>2065</t>
  </si>
  <si>
    <t>ＮＥＸＴ　ＮＯＴＥＳ　日本株配当貴族（ドルヘッジ、ネットリターン）ＥＴＮ　受益証券</t>
  </si>
  <si>
    <t>NEXT NOTES S&amp;P/JPX Dividend Aristocrats Index USD Hedged NTR ETN</t>
  </si>
  <si>
    <t>2066</t>
  </si>
  <si>
    <t>ＮＥＸＴ　ＮＯＴＥＳ　東証ＲＥＩＴ（ドルヘッジ、ネットリターン）ＥＴＮ　受益証券</t>
  </si>
  <si>
    <t>NEXT NOTES Tokyo Stock Exchange REIT Net Total Return US Dollar Hedged Index ETN</t>
  </si>
  <si>
    <t>2067</t>
  </si>
  <si>
    <t>ＮＥＸＴ　ＮＯＴＥＳ　野村ＡＩビジネス７０（ネットリターン）ＥＴＮ　受益証券</t>
  </si>
  <si>
    <t>NEXT NOTES AI Companies 70,Net Total Return ETN</t>
  </si>
  <si>
    <t>2068</t>
  </si>
  <si>
    <t>ＮＥＸＴ　ＮＯＴＥＳ　高ベータ３０（ネットリターン）ＥＴＮ　受益証券</t>
  </si>
  <si>
    <t>NEXT NOTES Japan Equity High Beta Select 30,Net Total Return ETN</t>
  </si>
  <si>
    <t>2069</t>
  </si>
  <si>
    <t>ＮＥＸＴ　ＮＯＴＥＳ　低ベータ５０（ネットリターン）ＥＴＮ　受益証券</t>
  </si>
  <si>
    <t>NEXT NOTES Japan Equity Low Beta Select 50,Net Total Return ETN</t>
  </si>
  <si>
    <t>2070</t>
  </si>
  <si>
    <t>スマートＥＳＧ３０女性活躍（ネットリターン）ＥＴＮ　受益証券</t>
  </si>
  <si>
    <t>Smart ESG 30 Empowering Women Net Return ETN</t>
  </si>
  <si>
    <t>2071</t>
  </si>
  <si>
    <t>スマートＥＳＧ３０総合（ネットリターン）ＥＴＮ　受益証券</t>
  </si>
  <si>
    <t>Smart ESG 30 Net Return ETN</t>
  </si>
  <si>
    <t>2072</t>
  </si>
  <si>
    <t>トップシェアインデックス（ネットリターン）ＥＴＮ　受益証券</t>
  </si>
  <si>
    <t>Market Share Leaders Net Return ETN</t>
  </si>
  <si>
    <t>2510</t>
  </si>
  <si>
    <t>ＮＥＸＴ　ＦＵＮＤＳ　国内債券・ＮＯＭＵＲＡ－ＢＰＩ総合連動型上場投信　受益証券</t>
  </si>
  <si>
    <t>NEXT FUNDS Japan Bond NOMURA-BPI Exchange Traded Fund</t>
  </si>
  <si>
    <t>2511</t>
  </si>
  <si>
    <t>ＮＥＸＴ　ＦＵＮＤＳ　外国債券・ＦＴＳＥ世界国債インデックス（除く日本・為替ヘッジなし）連動型上場投信　受益証券</t>
  </si>
  <si>
    <t>NEXT FUNDS International Bond FTSE World Government Bond Index (ex Japan Unhedged) Exchange Traded Fund</t>
  </si>
  <si>
    <t>2512</t>
  </si>
  <si>
    <t>ＮＥＸＴ　ＦＵＮＤＳ　外国債券・ＦＴＳＥ世界国債インデックス（除く日本・為替ヘッジあり）連動型上場投信　受益証券</t>
  </si>
  <si>
    <t>NEXT FUNDS International Bond FTSE World Government Bond Index (ex Japan Yen-Hedged) Exchange Traded Fund</t>
  </si>
  <si>
    <t>2513</t>
  </si>
  <si>
    <t>ＮＥＸＴ　ＦＵＮＤＳ　外国株式・ＭＳＣＩ－ＫＯＫＵＳＡＩ指数（為替ヘッジなし）連動型上場投信　受益証券</t>
  </si>
  <si>
    <t>NEXT FUNDS International Equity MSCI-KOKUSAI (Unhedged) Exchange Traded Fund</t>
  </si>
  <si>
    <t>2514</t>
  </si>
  <si>
    <t>ＮＥＸＴ　ＦＵＮＤＳ　外国株式・ＭＳＣＩ－ＫＯＫＵＳＡＩ指数（為替ヘッジあり）連動型上場投信　受益証券</t>
  </si>
  <si>
    <t>NEXT FUNDS International Equity MSCI-KOKUSAI (Yen-Hedged) Exchange Traded Fund</t>
  </si>
  <si>
    <t>2515</t>
  </si>
  <si>
    <t>ＮＥＸＴ　ＦＵＮＤＳ　外国ＲＥＩＴ・Ｓ＆Ｐ先進国ＲＥＩＴ指数（除く日本・為替ヘッジなし）連動型上場投信　受益証券</t>
  </si>
  <si>
    <t>NEXT FUNDS International REIT S&amp;P Developed REIT Index (ex Japan Unhedged) Exchange Traded Fund</t>
  </si>
  <si>
    <t>2516</t>
  </si>
  <si>
    <t>東証マザーズＥＴＦ　受益証券</t>
  </si>
  <si>
    <t>TSE Mothers ETF</t>
  </si>
  <si>
    <t>2517</t>
  </si>
  <si>
    <t>ＭＡＸＩＳ　Ｊリート・コア上場投信　受益証券</t>
  </si>
  <si>
    <t>MAXIS J-REIT Core ETF</t>
  </si>
  <si>
    <t>2518</t>
  </si>
  <si>
    <t>ＮＥＸＴ　ＦＵＮＤＳ　ＭＳＣＩ日本株女性活躍指数（セレクト）連動型上場投信　受益証券</t>
  </si>
  <si>
    <t>NEXT FUNDS MSCI Japan Empowering Women Select Index Exchange Traded Fund</t>
  </si>
  <si>
    <t>2519</t>
  </si>
  <si>
    <t>ＮＥＸＴ　ＦＵＮＤＳ　新興国債券・Ｊ．Ｐ．モルガン・エマージング・マーケット・ボンド・インデックス・プラス（為替ヘッジなし）連動型上場投信　受益証券</t>
  </si>
  <si>
    <t>NEXT FUNDS Emerging Market Bond J.P. Morgan EMBI Plus (Unhedged) Exchange Traded Fund</t>
  </si>
  <si>
    <t>2520</t>
  </si>
  <si>
    <t>ＮＥＸＴ　ＦＵＮＤＳ　新興国株式・ＭＳＣＩエマージング・マーケット・インデックス（為替ヘッジなし）連動型上場投信　受益証券</t>
  </si>
  <si>
    <t>NEXT FUNDS Emerging Market Equity MSCI-EM (Unhedged) Exchange Traded Fund</t>
  </si>
  <si>
    <t>2521</t>
  </si>
  <si>
    <t>上場インデックスファンド米国株式（Ｓ＆Ｐ５００）為替ヘッジあり　受益証券</t>
  </si>
  <si>
    <t>Listed Index Fund US Equity (S&amp;P500) Currency Hedge</t>
  </si>
  <si>
    <t>2522</t>
  </si>
  <si>
    <t>ｉシェアーズ　オートメーション　＆　ロボット　ＥＴＦ　受益証券</t>
  </si>
  <si>
    <t>iShares Automation &amp; Robot ETF</t>
  </si>
  <si>
    <t>2523</t>
  </si>
  <si>
    <t>ＭＡＸＩＳトピックス（除く金融）上場投信　受益証券</t>
  </si>
  <si>
    <t>MAXIS TOPIX Ex-Financials ETF</t>
  </si>
  <si>
    <t>2524</t>
  </si>
  <si>
    <t>ＮＺＡＭ　上場投信　ＴＯＰＩＸ　受益証券</t>
  </si>
  <si>
    <t>NZAM ETF TOPIX</t>
  </si>
  <si>
    <t>2525</t>
  </si>
  <si>
    <t>ＮＺＡＭ　上場投信　日経２２５　受益証券</t>
  </si>
  <si>
    <t>NZAM ETF Nikkei 225</t>
  </si>
  <si>
    <t>2526</t>
  </si>
  <si>
    <t>ＮＺＡＭ　上場投信　ＪＰＸ日経４００　受益証券</t>
  </si>
  <si>
    <t>NZAM ETF JPX-Nikkei400</t>
  </si>
  <si>
    <t>2527</t>
  </si>
  <si>
    <t>ＮＺＡＭ　上場投信　東証ＲＥＩＴ　Ｃｏｒｅ指数　受益証券</t>
  </si>
  <si>
    <t>NZAM ETF J-REIT Core Index</t>
  </si>
  <si>
    <t>2528</t>
  </si>
  <si>
    <t>ダイワ上場投信－東証ＲＥＩＴ　Ｃｏｒｅ指数　受益証券</t>
  </si>
  <si>
    <t>Daiwa ETF Tokyo Stock Exchange REIT Core Index</t>
  </si>
  <si>
    <t>2529</t>
  </si>
  <si>
    <t>ＮＥＸＴ　ＦＵＮＤＳ　野村株主還元７０連動型上場投信　受益証券</t>
  </si>
  <si>
    <t>NEXT FUNDS Nomura Shareholder Yield 70 Exchange Traded Fund</t>
  </si>
  <si>
    <t>2530</t>
  </si>
  <si>
    <t>ＭＡＸＩＳ　ＨｕａＡｎ中国株式（上海１８０Ａ株）上場投信　受益証券</t>
  </si>
  <si>
    <t>MAXIS HuaAn China Equity (SSE 180 index) ETF</t>
  </si>
  <si>
    <t>2552</t>
  </si>
  <si>
    <t>上場インデックスファンドＪリート（東証ＲＥＩＴ指数）隔月分配型（ミニ）　受益証券</t>
  </si>
  <si>
    <t>Listed Index Fund J-REIT (Tokyo Stock Exchange REIT Index) Bi-Monthly Dividend Payment Type (Mini)</t>
  </si>
  <si>
    <t>2553</t>
  </si>
  <si>
    <t>Ｏｎｅ　ＥＴＦ　南方　中国Ａ株　ＣＳＩ５００　受益証券</t>
  </si>
  <si>
    <t>One ETF Southern China A-Share CSI 500</t>
  </si>
  <si>
    <t>2554</t>
  </si>
  <si>
    <t>2555</t>
  </si>
  <si>
    <t>東証ＲＥＩＴ　ＥＴＦ　受益証券</t>
  </si>
  <si>
    <t>TSE REIT ETF</t>
  </si>
  <si>
    <t>2556</t>
  </si>
  <si>
    <t>Ｏｎｅ　ＥＴＦ　東証ＲＥＩＴ指数　受益証券</t>
  </si>
  <si>
    <t>One ETF Tokyo Stock Exchange REIT Index</t>
  </si>
  <si>
    <t>2557</t>
  </si>
  <si>
    <t>ＳＭＤＡＭ　トピックス上場投信　受益証券</t>
  </si>
  <si>
    <t>SMDAM TOPIX ETF</t>
  </si>
  <si>
    <t>2558</t>
  </si>
  <si>
    <t>ＭＡＸＩＳ米国株式（Ｓ＆Ｐ５００）上場投信　受益証券</t>
  </si>
  <si>
    <t>MAXIS S&amp;P500 US Equity ETF</t>
  </si>
  <si>
    <t>2559</t>
  </si>
  <si>
    <t>ＭＡＸＩＳ全世界株式（オール・カントリー）上場投信　受益証券</t>
  </si>
  <si>
    <t>MAXIS World Equity (MSCI ACWI) ETF</t>
  </si>
  <si>
    <t>2560</t>
  </si>
  <si>
    <t>ＭＡＸＩＳカーボン・エフィシェント日本株上場投信　受益証券</t>
  </si>
  <si>
    <t>MAXIS Carbon Efficient Japan Equity ETF</t>
  </si>
  <si>
    <t>2561</t>
  </si>
  <si>
    <t>ｉシェアーズ・コア　日本国債　ＥＴＦ　受益証券</t>
  </si>
  <si>
    <t>iShares Core Japan Government Bond ETF</t>
  </si>
  <si>
    <t>2562</t>
  </si>
  <si>
    <t>上場インデックスファンド米国株式（ダウ平均）為替ヘッジあり　受益証券</t>
  </si>
  <si>
    <t>Listed Index Fund US Equity (Dow Average) Currency Hedge</t>
  </si>
  <si>
    <t>2563</t>
  </si>
  <si>
    <t>ｉシェアーズ　Ｓ＆Ｐ　５００　米国株　ＥＴＦ（為替ヘッジあり）　受益証券</t>
  </si>
  <si>
    <t>iShares S&amp;P 500 JPY Hedged ETF</t>
  </si>
  <si>
    <t>2564</t>
  </si>
  <si>
    <t>グローバルＸ　ＭＳＣＩスーパーディビィデンド－日本株式　ＥＴＦ　受益証券</t>
  </si>
  <si>
    <t>Global X MSCI SuperDividend Japan ETF</t>
  </si>
  <si>
    <t>2565</t>
  </si>
  <si>
    <t>グローバルＸ　ロジスティクス・Ｊ－ＲＥＩＴ　ＥＴＦ　受益証券</t>
  </si>
  <si>
    <t>Global X Logistics J-REIT ETF</t>
  </si>
  <si>
    <t>2566</t>
  </si>
  <si>
    <t>上場インデックスファンド日経ＥＳＧリート　受益証券</t>
  </si>
  <si>
    <t>Listed Index Fund Nikkei ESG REIT</t>
  </si>
  <si>
    <t>2567</t>
  </si>
  <si>
    <t>ＮＺＡＭ　上場投信　Ｓ＆Ｐ／ＪＰＸカーボン・エフィシェント指数　受益証券</t>
  </si>
  <si>
    <t>NZAM ETF S&amp;P/JPX Carbon Efficient Index</t>
  </si>
  <si>
    <t>2568</t>
  </si>
  <si>
    <t>上場インデックスファンド米国株式（ＮＡＳＤＡＱ１００）為替ヘッジなし　受益証券</t>
  </si>
  <si>
    <t>Listed Index Fund US Equity (NASDAQ100) No Currency Hedge</t>
  </si>
  <si>
    <t>2569</t>
  </si>
  <si>
    <t>上場インデックスファンド米国株式（ＮＡＳＤＡＱ１００）為替ヘッジあり　受益証券</t>
  </si>
  <si>
    <t>Listed Index Fund US Equity (NASDAQ100) Currency Hedge</t>
  </si>
  <si>
    <t>2620</t>
  </si>
  <si>
    <t>ｉシェアーズ　米国債１－３年　ＥＴＦ　受益証券</t>
  </si>
  <si>
    <t>iShares 1-3 Year US Treasury Bond ETF</t>
  </si>
  <si>
    <t>2621</t>
  </si>
  <si>
    <t>ｉシェアーズ　米国債２０年超　ＥＴＦ（為替ヘッジあり）　受益証券</t>
  </si>
  <si>
    <t>iShares 20+ Year US Treasury Bond JPY Hedged ETF</t>
  </si>
  <si>
    <t>2622</t>
  </si>
  <si>
    <t>ｉシェアーズ　米ドル建て新興国債券　ＥＴＦ（為替ヘッジあり）　受益証券</t>
  </si>
  <si>
    <t>iShares USD Emerging Markets Bond JPY Hedged ETF</t>
  </si>
  <si>
    <t>2623</t>
  </si>
  <si>
    <t>ｉシェアーズ　ユーロ建て投資適格社債　ＥＴＦ（為替ヘッジあり）　受益証券</t>
  </si>
  <si>
    <t>iShares Euro Investment Grade Corporate Bond JPY Hedged ETF</t>
  </si>
  <si>
    <t>2624</t>
  </si>
  <si>
    <t>ｉＦｒｅｅＥＴＦ　日経２２５（年４回決算型）　受益証券</t>
  </si>
  <si>
    <t>iFreeETF-Nikkei225(Quarterly Dividend Type)</t>
  </si>
  <si>
    <t>2625</t>
  </si>
  <si>
    <t>ｉＦｒｅｅＥＴＦ　ＴＯＰＩＸ（年４回決算型）　受益証券</t>
  </si>
  <si>
    <t>iFreeETF-TOPIX(Quarterly Dividend Type)</t>
  </si>
  <si>
    <t>2626</t>
  </si>
  <si>
    <t>グローバルＸ　デジタル・イノベーション－日本株式　ＥＴＦ　受益証券</t>
  </si>
  <si>
    <t>Global X Digital Innovation Japan ETF</t>
  </si>
  <si>
    <t>2627</t>
  </si>
  <si>
    <t>グローバルＸ　ｅコマース－日本株式　ＥＴＦ　受益証券</t>
  </si>
  <si>
    <t>Global X E-Commerce Japan ETF</t>
  </si>
  <si>
    <t xml:space="preserve">新規上場  </t>
  </si>
  <si>
    <t xml:space="preserve">New Listing  </t>
  </si>
  <si>
    <t>5</t>
  </si>
  <si>
    <t>4</t>
  </si>
  <si>
    <t>26</t>
  </si>
  <si>
    <t>12</t>
  </si>
  <si>
    <t>18</t>
  </si>
  <si>
    <t>25</t>
  </si>
  <si>
    <t>19</t>
  </si>
  <si>
    <t>31</t>
  </si>
  <si>
    <t>17</t>
  </si>
  <si>
    <t>24</t>
  </si>
  <si>
    <t>11</t>
  </si>
  <si>
    <t>ＮＥＸＴ　ＦＵＮＤＳ　ブルームバーグ米国投資適格社債（１－１０年）インデックス（為替ヘッジあり）連動型上場投信　受益証券</t>
  </si>
  <si>
    <t>NEXT FUNDS Bloomberg US Intermediate Corporate Index (JPY Hedged) Exchange Traded Fund</t>
  </si>
  <si>
    <t>2628</t>
  </si>
  <si>
    <t>ｉＦｒｅｅＥＴＦ　中国科創板５０（ＳＴＡＲ５０）　受益証券</t>
  </si>
  <si>
    <t>iFreeETF China STAR50</t>
  </si>
  <si>
    <t>2629</t>
  </si>
  <si>
    <t>ｉＦｒｅｅＥＴＦ　中国グレーターベイエリア・イノベーション１００（ＧＢＡ１００）　受益証券</t>
  </si>
  <si>
    <t>iFreeETF China GBA100</t>
  </si>
  <si>
    <t>2630</t>
  </si>
  <si>
    <t>ＭＡＸＩＳ米国株式（Ｓ＆Ｐ５００）上場投信（為替ヘッジあり）　受益証券</t>
  </si>
  <si>
    <t>MAXIS S&amp;P500 US Equity ETF (JPY Hedged)</t>
  </si>
  <si>
    <t>2631</t>
  </si>
  <si>
    <t>ＭＡＸＩＳナスダック１００上場投信　受益証券</t>
  </si>
  <si>
    <t>MAXIS NASDAQ100 ETF</t>
  </si>
  <si>
    <t>2632</t>
  </si>
  <si>
    <t>ＭＡＸＩＳナスダック１００上場投信（為替ヘッジあり）　受益証券</t>
  </si>
  <si>
    <t>MAXIS NASDAQ100 ETF (JPY Hedged)</t>
  </si>
  <si>
    <t>2633</t>
  </si>
  <si>
    <t>ＮＥＸＴ　ＦＵＮＤＳ　Ｓ＆Ｐ　５００　指数（為替ヘッジなし）連動型上場投信　受益証券</t>
  </si>
  <si>
    <t>NEXT FUNDS S&amp;P 500 (Unhedged) Exchange Traded Fund</t>
  </si>
  <si>
    <t>2634</t>
  </si>
  <si>
    <t>ＮＥＸＴ　ＦＵＮＤＳ　Ｓ＆Ｐ　５００　指数（為替ヘッジあり）連動型上場投信　受益証券</t>
  </si>
  <si>
    <t>NEXT FUNDS S&amp;P 500 (Yen-Hedged) Exchange Traded Fund</t>
  </si>
  <si>
    <t>2635</t>
  </si>
  <si>
    <t>ＮＥＸＴ　ＦＵＮＤＳ　Ｓ＆Ｐ　５００　ＥＳＧ指数連動型上場投信　受益証券</t>
  </si>
  <si>
    <t>NEXT FUNDS S&amp;P 500 ESG Index Exchange Traded Fund</t>
  </si>
  <si>
    <t>2636</t>
  </si>
  <si>
    <t>グローバルＸ　ＭＳＣＩ　ガバナンス・クオリティ－日本株式　ＥＴＦ　受益証券</t>
  </si>
  <si>
    <t>Global X MSCI Governance-Quality Japan ETF</t>
  </si>
  <si>
    <t>2637</t>
  </si>
  <si>
    <t>グローバルＸ　クリーンテック　ＥＳＧ－日本株式　ＥＴＦ　受益証券</t>
  </si>
  <si>
    <t>Global X CleanTech ESG Japan ETF</t>
  </si>
  <si>
    <t>2638</t>
  </si>
  <si>
    <t>グローバルＸ　ロボティクス＆ＡＩ－日本株式　ＥＴＦ　受益証券</t>
  </si>
  <si>
    <t>Global X Japan Robotics &amp; AI ETF</t>
  </si>
  <si>
    <t>2639</t>
  </si>
  <si>
    <t>グローバルＸ　バイオ＆メドテック－日本株式　ＥＴＦ　受益証券</t>
  </si>
  <si>
    <t>Global X Japan Bio &amp; Med Tech ETF</t>
  </si>
  <si>
    <t>2640</t>
  </si>
  <si>
    <t>グローバルＸ　ゲーム＆アニメ－日本株式　ＥＴＦ　受益証券</t>
  </si>
  <si>
    <t>Global X Japan Games &amp; Animation ETF</t>
  </si>
  <si>
    <t>2641</t>
  </si>
  <si>
    <t>グローバルＸ　グローバルリーダーズ　ＥＳＧ－日本株式　ＥＴＦ　受益証券</t>
  </si>
  <si>
    <t>Global X Japan Global Leaders ESG ETF</t>
  </si>
  <si>
    <t>2642</t>
  </si>
  <si>
    <t>ＳＭＴ　ＥＴＦカーボン・エフィシェント日本株　受益証券</t>
  </si>
  <si>
    <t>SMT ETF Carbon Efficient Index Japan Equity</t>
  </si>
  <si>
    <t>2643</t>
  </si>
  <si>
    <t>ＮＥＸＴ　ＦＵＮＤＳ　ＭＳＣＩジャパンカントリーＥＳＧリーダーズ指数連動型上場投信　受益証券</t>
  </si>
  <si>
    <t>NEXT FUNDS MSCI Japan Country ESG Leaders Index Exchange Traded Fund</t>
  </si>
  <si>
    <t>2644</t>
  </si>
  <si>
    <t>グローバルＸ　半導体関連－日本株式　ＥＴＦ　受益証券</t>
  </si>
  <si>
    <t>Global X Japan Semiconductor ETF</t>
  </si>
  <si>
    <t>2645</t>
  </si>
  <si>
    <t>グローバルＸ　レジャー＆エンターテインメント－日本株式　ＥＴＦ　受益証券</t>
  </si>
  <si>
    <t>Global X Japan Leisure &amp; Entertainment ETF</t>
  </si>
  <si>
    <t>2646</t>
  </si>
  <si>
    <t>グローバルＸ　メタルビジネス－日本株式　ＥＴＦ　受益証券</t>
  </si>
  <si>
    <t>Global X Japan Metal Business ETF</t>
  </si>
  <si>
    <t>2647</t>
  </si>
  <si>
    <t>ＮＥＸＴ　ＦＵＮＤＳ　ブルームバーグ米国国債（７－１０年）インデックス（為替ヘッジなし）連動型上場投信　受益証券</t>
  </si>
  <si>
    <t>NEXT FUNDS Bloomberg US Treasury Bond (7-10 year) Index (Unhedged) Exchange Traded Fund</t>
  </si>
  <si>
    <t>2648</t>
  </si>
  <si>
    <t>ＮＥＸＴ　ＦＵＮＤＳ　ブルームバーグ米国国債（７－１０年）インデックス（為替ヘッジあり）連動型上場投信　受益証券</t>
  </si>
  <si>
    <t>NEXT FUNDS Bloomberg US Treasury Bond (7-10 year) Index (Yen-Hedged) Exchange Traded Fund</t>
  </si>
  <si>
    <t>2649</t>
  </si>
  <si>
    <t>ｉシェアーズ　米国政府系機関ジニーメイＭＢＳ　ＥＴＦ（為替ヘッジあり）　受益証券</t>
  </si>
  <si>
    <t>iShares Ginnie Mae MBS JPY Hedged ETF</t>
  </si>
  <si>
    <t>2836</t>
  </si>
  <si>
    <t>グローバルＸ　フィンテック－日本株式　ＥＴＦ　受益証券</t>
  </si>
  <si>
    <t>Global X Japan Fintech ETF</t>
  </si>
  <si>
    <t>2837</t>
  </si>
  <si>
    <t>グローバルＸ　中小型リーダーズ　ＥＳＧ－日本株式　ＥＴＦ　受益証券</t>
  </si>
  <si>
    <t>Global X Japan Mid &amp; Small Cap Leaders ESG ETF</t>
  </si>
  <si>
    <t>2838</t>
  </si>
  <si>
    <t>ＭＡＸＩＳ米国国債７－１０年上場投信（為替ヘッジなし）　受益証券</t>
  </si>
  <si>
    <t>MAXIS US Treasury Bond 7-10 Year ETF (Unhedged)</t>
  </si>
  <si>
    <t>2839</t>
  </si>
  <si>
    <t>ＭＡＸＩＳ米国国債７－１０年上場投信（為替ヘッジあり）　受益証券</t>
  </si>
  <si>
    <t>MAXIS US Treasury Bond 7-10 Year ETF (JPY Hedged)</t>
  </si>
  <si>
    <t>10</t>
  </si>
  <si>
    <t>16</t>
  </si>
  <si>
    <t>整</t>
  </si>
  <si>
    <t>2840</t>
  </si>
  <si>
    <t>ｉＦｒｅｅＥＴＦ　ＮＡＳＤＡＱ１００（為替ヘッジなし）　受益証券</t>
  </si>
  <si>
    <t>iFreeETF NASDAQ100 (NON HEDGED)</t>
  </si>
  <si>
    <t>2841</t>
  </si>
  <si>
    <t>ｉＦｒｅｅＥＴＦ　ＮＡＳＤＡＱ１００（為替ヘッジあり）　受益証券</t>
  </si>
  <si>
    <t>iFreeETF NASDAQ100 (JPY HEDGED)</t>
  </si>
  <si>
    <t>2842</t>
  </si>
  <si>
    <t>ｉＦｒｅｅＥＴＦ　ＮＡＳＤＡＱ１００インバース　受益証券</t>
  </si>
  <si>
    <t>iFreeETF NASDAQ100 Inverse</t>
  </si>
  <si>
    <t>2843</t>
  </si>
  <si>
    <t>上場インデックスファンド豪州国債（為替ヘッジあり）　受益証券</t>
  </si>
  <si>
    <t>Listed Index Fund Australian Government Bond (Currency Hedge)</t>
  </si>
  <si>
    <t>2844</t>
  </si>
  <si>
    <t>上場インデックスファンド豪州国債（為替ヘッジなし）　受益証券</t>
  </si>
  <si>
    <t>Listed Index Fund Australian Government Bond (No Currency Hedge)</t>
  </si>
  <si>
    <t>30</t>
  </si>
  <si>
    <t>23</t>
  </si>
  <si>
    <t>ＮＥＸＴ　ＦＵＮＤＳ　ＮＡＳＤＡＱ－１００（為替ヘッジなし）連動型上場投信　受益証券</t>
  </si>
  <si>
    <t>NEXT FUNDS NASDAQ-100(R) (Unhedged) Exchange Traded Fund</t>
  </si>
  <si>
    <t>ＮＥＸＴ　ＦＵＮＤＳ　ダウ・ジョーンズ工業株３０種平均株価（為替ヘッジなし）連動型上場投信　受益証券</t>
  </si>
  <si>
    <t>NEXT FUNDS DJIA (Unhedged) Exchange Traded Fund</t>
  </si>
  <si>
    <t>2073</t>
  </si>
  <si>
    <t>スマートＥＳＧ３０低カーボンリスク（ネットリターン）ＥＴＮ　受益証券</t>
  </si>
  <si>
    <t>Smart ESG 30 Low Carbon Risk Net Return ETN</t>
  </si>
  <si>
    <t>2845</t>
  </si>
  <si>
    <t>ＮＥＸＴ　ＦＵＮＤＳ　ＮＡＳＤＡＱ－１００（為替ヘッジあり）連動型上場投信　受益証券</t>
  </si>
  <si>
    <t>NEXT FUNDS NASDAQ-100(R) (Yen-Hedged) Exchange Traded Fund</t>
  </si>
  <si>
    <t>2846</t>
  </si>
  <si>
    <t>ＮＥＸＴ　ＦＵＮＤＳ　ダウ・ジョーンズ工業株３０種平均株価（為替ヘッジあり）連動型上場投信　受益証券</t>
  </si>
  <si>
    <t>NEXT FUNDS DJIA (Yen-Hedged) Exchange Traded Fund</t>
  </si>
  <si>
    <t>2847</t>
  </si>
  <si>
    <t>グローバルＸ　新成長インフラ－日本株式　ＥＴＦ　受益証券</t>
  </si>
  <si>
    <t>Global X Japan New Growth Infrastructure ETF</t>
  </si>
  <si>
    <t>2848</t>
  </si>
  <si>
    <t>グローバルＸ　ＭＳＣＩ　気候変動対応－日本株式　ＥＴＦ　受益証券</t>
  </si>
  <si>
    <t>Global X MSCI Japan Climate Change ETF</t>
  </si>
  <si>
    <t>2849</t>
  </si>
  <si>
    <t>グローバルＸ　Ｍｏｒｎｉｎｇｓｔａｒ　高配当　ＥＳＧ－日本株式　ＥＴＦ　受益証券</t>
  </si>
  <si>
    <t>Global X Morningstar Japan High Dividend ESG ETF</t>
  </si>
  <si>
    <t>2850</t>
  </si>
  <si>
    <t>ＮＥＸＴ　ＦＵＮＤＳ　ＳｏｌａｃｔｉｖｅジャパンＥＳＧコア指数連動型上場投信　受益証券</t>
  </si>
  <si>
    <t>NEXT FUNDS Solactive Japan ESG Core Index Exchange Traded Fund</t>
  </si>
  <si>
    <t>2852</t>
  </si>
  <si>
    <t>ｉシェアーズ　グリーンＪリート　ＥＴＦ　受益証券</t>
  </si>
  <si>
    <t>iShares Japan Green REIT ETF</t>
  </si>
  <si>
    <t>2853</t>
  </si>
  <si>
    <t>ｉシェアーズ　気候リスク調整世界国債　ＥＴＦ（除く日本・為替ヘッジあり）　受益証券</t>
  </si>
  <si>
    <t>iShares Climate Risk-Adjusted Global ex Japan Government Bond JPY Hedged ETF</t>
  </si>
  <si>
    <t>ＮＥＸＴ　ＦＵＮＤＳ　ロシア株式指数連動型上場投信　受益証券</t>
  </si>
  <si>
    <t>NEXT FUNDS Russian Equity Index Exchange Traded Fund</t>
  </si>
  <si>
    <t>2851</t>
  </si>
  <si>
    <t>ｉシェアーズ　ＭＳＣＩ　ジャパンＳＲＩ　ＥＴＦ　受益証券</t>
  </si>
  <si>
    <t>iShares MSCI Japan SRI ETF</t>
  </si>
  <si>
    <t>2854</t>
  </si>
  <si>
    <t>グローバルＸ　テック・トップ２０－日本株式　ＥＴＦ　受益証券</t>
  </si>
  <si>
    <t>Global X Japan Tech Top 20 ETF</t>
  </si>
  <si>
    <t>2855</t>
  </si>
  <si>
    <t>グローバルＸ　グリーン・Ｊ－ＲＥＩＴ　ＥＴＦ　受益証券</t>
  </si>
  <si>
    <t>Global X Green J-REIT ETF</t>
  </si>
  <si>
    <t>2856</t>
  </si>
  <si>
    <t>ｉシェアーズ　米国債３－７年　ＥＴＦ（為替ヘッジあり）　受益証券</t>
  </si>
  <si>
    <t>iShares 3-7 Year US Treasury Bond JPY Hedged ETF</t>
  </si>
  <si>
    <t>2857</t>
  </si>
  <si>
    <t>ｉシェアーズ　ドイツ国債　ＥＴＦ（為替ヘッジあり）　受益証券</t>
  </si>
  <si>
    <t>iShares Germany Government Bond JPY Hedged ETF</t>
  </si>
  <si>
    <t>2858</t>
  </si>
  <si>
    <t>グローバルＸ　日経２２５　カバード・コール　ＥＴＦ（プレミアム再投資型）　受益証券</t>
  </si>
  <si>
    <t>Global X Nikkei 225 Covered Call ETF (option premium reinvestment type)</t>
  </si>
  <si>
    <t>2861</t>
  </si>
  <si>
    <t>上場インデックスファンドフランス国債（為替ヘッジなし）　受益証券</t>
  </si>
  <si>
    <t>Listed Index Fund France Government Bond (No Currency Hedge)</t>
  </si>
  <si>
    <t>2862</t>
  </si>
  <si>
    <t>上場インデックスファンドフランス国債（為替ヘッジあり）　受益証券</t>
  </si>
  <si>
    <t>Listed Index Fund France Government Bond (Currency Hedge)</t>
  </si>
  <si>
    <t>2859</t>
  </si>
  <si>
    <t>ＮＥＸＴ　ＦＵＮＤＳ　ユーロ・ストックス５０指数（為替ヘッジあり）連動型上場投信　受益証券</t>
  </si>
  <si>
    <t>NEXT FUNDS EURO STOXX 50 (Yen-Hedged) Exchange Traded Fund</t>
  </si>
  <si>
    <t>2860</t>
  </si>
  <si>
    <t>ＮＥＸＴ　ＦＵＮＤＳ　ドイツ株式・ＤＡＸ（為替ヘッジあり）連動型上場投信　受益証券</t>
  </si>
  <si>
    <t>NEXT FUNDS German Equity DAX (Yen-Hedged) Exchange Traded Fund</t>
  </si>
  <si>
    <t>2863</t>
  </si>
  <si>
    <t>ＮＥＸＴ　ＦＵＮＤＳ　Ｓ＆Ｐ米国株式・債券バランス保守型指数（為替ヘッジあり）連動型上場投信　受益証券</t>
  </si>
  <si>
    <t>NEXT FUNDS S&amp;P US Equity and Bond Balance Conservative Index (Yen-Hedged) Exchange Traded Fund</t>
  </si>
  <si>
    <t>2864</t>
  </si>
  <si>
    <t>グローバルＸ　ロジスティクス・ＲＥＩＴ　ＥＴＦ　受益証券</t>
  </si>
  <si>
    <t>Global X Logistics REIT ETF</t>
  </si>
  <si>
    <t>2865</t>
  </si>
  <si>
    <t>グローバルＸ　ＮＡＳＤＡＱ１００・カバード・コール　ＥＴＦ　受益証券</t>
  </si>
  <si>
    <t>Global X Nasdaq 100 Covered Call ETF</t>
  </si>
  <si>
    <t>2866</t>
  </si>
  <si>
    <t>グローバルＸ　米国優先証券　ＥＴＦ　受益証券</t>
  </si>
  <si>
    <t>Global X U.S. Preferred Security ETF</t>
  </si>
  <si>
    <t>東証スタンダードＴＯＰ２０ＥＴＦ　受益証券</t>
  </si>
  <si>
    <t>TSE Standard Top 20 ETF</t>
  </si>
  <si>
    <t>東証グロース・コアＥＴＦ　受益証券</t>
  </si>
  <si>
    <t>TSE Growth Core ETF</t>
  </si>
  <si>
    <t>2867</t>
  </si>
  <si>
    <t>グローバルＸ　自動運転＆ＥＶ　ＥＴＦ　受益証券</t>
  </si>
  <si>
    <t>Global X Autonomous &amp; EV ETF</t>
  </si>
  <si>
    <t>2868</t>
  </si>
  <si>
    <t>グローバルＸ　Ｓ＆Ｐ５００・カバード・コール　ＥＴＦ　受益証券</t>
  </si>
  <si>
    <t>Global X S&amp;P 500 Covered Call ETF</t>
  </si>
  <si>
    <t>2869</t>
  </si>
  <si>
    <t>ｉＦｒｅｅＥＴＦ　ＮＡＳＤＡＱ１００レバレッジ　受益証券</t>
  </si>
  <si>
    <t>iFreeETF NASDAQ100 Leveraged(2x)</t>
  </si>
  <si>
    <t>2870</t>
  </si>
  <si>
    <t>ｉＦｒｅｅＥＴＦ　ＮＡＳＤＡＱ１００ダブルインバース　受益証券</t>
  </si>
  <si>
    <t>iFreeETF NASDAQ100 Double Inverse(-2x)</t>
  </si>
  <si>
    <t>2235</t>
  </si>
  <si>
    <t>上場インデックスファンド米国株式（ダウ平均）為替ヘッジなし　受益証券</t>
  </si>
  <si>
    <t>Listed Index Fund US Equity (Dow Average) No Currency Hedge</t>
  </si>
  <si>
    <t>2023/01</t>
  </si>
  <si>
    <t>2236</t>
  </si>
  <si>
    <t>グローバルＸ　Ｓ＆Ｐ５００配当貴族ＥＴＦ　受益証券</t>
  </si>
  <si>
    <t>Global X S&amp;P 500 Dividend Aristocrats ETF</t>
  </si>
  <si>
    <t xml:space="preserve">2023/01/13  </t>
  </si>
  <si>
    <t>2023/02</t>
  </si>
  <si>
    <t>1</t>
  </si>
  <si>
    <t>3</t>
  </si>
  <si>
    <t>28</t>
  </si>
  <si>
    <t>21</t>
  </si>
  <si>
    <t>2</t>
  </si>
  <si>
    <t>8</t>
  </si>
  <si>
    <t>22</t>
  </si>
  <si>
    <t>15</t>
  </si>
  <si>
    <t>7</t>
  </si>
  <si>
    <t>9</t>
  </si>
  <si>
    <t>14</t>
  </si>
  <si>
    <t>2237</t>
  </si>
  <si>
    <t>ｉＦｒｅｅＥＴＦ　Ｓ＆Ｐ５００レバレッジ　受益証券</t>
  </si>
  <si>
    <t>iFreeETF S&amp;P500 Leveraged (2x)</t>
  </si>
  <si>
    <t xml:space="preserve">2023/02/01  </t>
  </si>
  <si>
    <t>2238</t>
  </si>
  <si>
    <t>ｉＦｒｅｅＥＴＦ　Ｓ＆Ｐ５００インバース　受益証券</t>
  </si>
  <si>
    <t>iFreeETF S&amp;P500 Inverse</t>
  </si>
  <si>
    <t>2023/03</t>
  </si>
  <si>
    <t xml:space="preserve">上場廃止  </t>
  </si>
  <si>
    <t xml:space="preserve">Removal  </t>
  </si>
  <si>
    <t xml:space="preserve">2023/03/08  </t>
  </si>
  <si>
    <t>29</t>
  </si>
  <si>
    <t>2239</t>
  </si>
  <si>
    <t>上場インデックスファンドＳ＆Ｐ５００先物レバレッジ２倍　受益証券</t>
  </si>
  <si>
    <t>Listed Index Fund S&amp;P500 Futures Leveraged Two Times</t>
  </si>
  <si>
    <t xml:space="preserve">2023/03/17  </t>
  </si>
  <si>
    <t>2240</t>
  </si>
  <si>
    <t>上場インデックスファンドＳ＆Ｐ５００先物インバース　受益証券</t>
  </si>
  <si>
    <t>Listed Index Fund S&amp;P500 Futures Inverse</t>
  </si>
  <si>
    <t>2241</t>
  </si>
  <si>
    <t>ＭＡＸＩＳ　ＮＹダウ上場投信　受益証券</t>
  </si>
  <si>
    <t>MAXIS NY Dow Industrial Average ETF</t>
  </si>
  <si>
    <t xml:space="preserve">2023/03/10  </t>
  </si>
  <si>
    <t>2242</t>
  </si>
  <si>
    <t>ＭＡＸＩＳ　ＮＹダウ上場投信（為替ヘッジあり）　受益証券</t>
  </si>
  <si>
    <t>MAXIS NY Dow Industrial Average ETF (JPY Hedged)</t>
  </si>
  <si>
    <t>2023/04</t>
  </si>
  <si>
    <t>ｉＦｒｅｅＥＴＦ　ＴＯＰＩＸ（年１回決算型）　受益証券</t>
  </si>
  <si>
    <t>iFreeETF TOPIX (Yearly Dividend Type)</t>
  </si>
  <si>
    <t>ｉＦｒｅｅＥＴＦ　日経２２５（年１回決算型）　受益証券</t>
  </si>
  <si>
    <t>iFreeETF Nikkei225 (Yearly Dividend Type)</t>
  </si>
  <si>
    <t>ｉＦｒｅｅＥＴＦ　日経平均レバレッジ・インデックス　受益証券</t>
  </si>
  <si>
    <t>iFreeETF Nikkei225 Leveraged Index</t>
  </si>
  <si>
    <t>ｉＦｒｅｅＥＴＦ　日経平均ダブルインバース・インデックス　受益証券</t>
  </si>
  <si>
    <t>iFreeETF Nikkei225 Double Inverse Index</t>
  </si>
  <si>
    <t>ｉＦｒｅｅＥＴＦ　ＴＯＰＩＸレバレッジ（２倍）指数　受益証券</t>
  </si>
  <si>
    <t>iFreeETF TOPIX Leveraged (2x) Index</t>
  </si>
  <si>
    <t>ｉＦｒｅｅＥＴＦ　ＴＯＰＩＸダブルインバース（－２倍）指数　受益証券</t>
  </si>
  <si>
    <t>iFreeETF TOPIX Double Inverse (-2x) Index</t>
  </si>
  <si>
    <t>ｉＦｒｅｅＥＴＦ　日経平均インバース・インデックス　受益証券</t>
  </si>
  <si>
    <t>iFreeETF Nikkei225 Inverse Index</t>
  </si>
  <si>
    <t>ｉＦｒｅｅＥＴＦ　ＴＯＰＩＸインバース（－１倍）指数　受益証券</t>
  </si>
  <si>
    <t>iFreeETF TOPIX Inverse (-1x) Index</t>
  </si>
  <si>
    <t>ｉＦｒｅｅＥＴＦ　ＪＰＸ日経４００レバレッジ・インデックス　受益証券</t>
  </si>
  <si>
    <t>iFreeETF JPX-Nikkei400 Leveraged (2x) Index</t>
  </si>
  <si>
    <t>ｉＦｒｅｅＥＴＦ　ＪＰＸ日経４００インバース・インデックス　受益証券</t>
  </si>
  <si>
    <t>iFreeETF JPX-Nikkei400 Inverse (-1x) Index</t>
  </si>
  <si>
    <t>ｉＦｒｅｅＥＴＦ　ＪＰＸ日経４００ダブルインバース・インデックス　受益証券</t>
  </si>
  <si>
    <t>iFreeETF JPX-Nikkei400 Double Inverse (-2x) Index</t>
  </si>
  <si>
    <t>ｉＦｒｅｅＥＴＦ　ＭＳＣＩ日本株人材設備投資指数　受益証券</t>
  </si>
  <si>
    <t>iFreeETF MSCI Japan Human and Physical Investment Index</t>
  </si>
  <si>
    <t>ｉＦｒｅｅＥＴＦ　東証ＲＥＩＴ指数　受益証券</t>
  </si>
  <si>
    <t>iFreeETF Tokyo Stock Exchange REIT Index</t>
  </si>
  <si>
    <t>ｉＦｒｅｅＥＴＦ　ＴＯＰＩＸ　Ｅｘ－Ｆｉｎａｎｃｉａｌｓ　受益証券</t>
  </si>
  <si>
    <t>iFreeETF TOPIX Ex-Financials</t>
  </si>
  <si>
    <t>ｉＦｒｅｅＥＴＦ　ＪＰＸ日経４００　受益証券</t>
  </si>
  <si>
    <t>iFreeETF JPX-Nikkei400</t>
  </si>
  <si>
    <t>ｉＦｒｅｅＥＴＦ　ＴＯＰＩＸ高配当４０指数　受益証券</t>
  </si>
  <si>
    <t>iFreeETF TOPIX High Dividend Yield 40 Index</t>
  </si>
  <si>
    <t>ｉＦｒｅｅＥＴＦ　ＭＳＣＩ日本株女性活躍指数（ＷＩＮ）　受益証券</t>
  </si>
  <si>
    <t>iFreeETF MSCI Japan Empowering Women Index (WIN)</t>
  </si>
  <si>
    <t>ｉＦｒｅｅＥＴＦ　ＭＳＣＩジャパンＥＳＧセレクト・リーダーズ指数　受益証券</t>
  </si>
  <si>
    <t>iFreeETF MSCI Japan ESG Select Leaders Index</t>
  </si>
  <si>
    <t>ｉＦｒｅｅＥＴＦ　ＦＴＳＥ　Ｂｌｏｓｓｏｍ　Ｊａｐａｎ　Ｉｎｄｅｘ　受益証券</t>
  </si>
  <si>
    <t>iFreeETF FTSE Blossom Japan Index</t>
  </si>
  <si>
    <t>2243</t>
  </si>
  <si>
    <t>グローバルＸ　半導体　ＥＴＦ　受益証券</t>
  </si>
  <si>
    <t>Global X Semiconductor ETF</t>
  </si>
  <si>
    <t xml:space="preserve">2023/04/13  </t>
  </si>
  <si>
    <t>2244</t>
  </si>
  <si>
    <t>グローバルＸ　ＵＳ　テック・トップ２０　ＥＴＦ　受益証券</t>
  </si>
  <si>
    <t>Global X US Tech Top 20 ETF</t>
  </si>
  <si>
    <t>2245</t>
  </si>
  <si>
    <t>ＮＥＸＴ　ＦＵＮＤＳ　ブルームバーグ・ドイツ国債（７－１０年）インデックス（為替ヘッジあり）連動型上場投信　受益証券</t>
  </si>
  <si>
    <t>NEXT FUNDS Bloomberg Germany Treasury Bond (7-10 year) Index (Yen-Hedged) Exchange Traded Fund</t>
  </si>
  <si>
    <t xml:space="preserve">2023/04/26  </t>
  </si>
  <si>
    <t>2246</t>
  </si>
  <si>
    <t>ＮＥＸＴ　ＦＵＮＤＳ　ブルームバーグ・フランス国債（７－１０年）インデックス（為替ヘッジあり）連動型上場投信　受益証券</t>
  </si>
  <si>
    <t>NEXT FUNDS Bloomberg France Treasury Bond (7-10 year) Index (Yen-Hedged) Exchange Traded Fund</t>
  </si>
  <si>
    <t>ｉＦｒｅｅＥＴＦ　東証ＲＥＩＴ　Ｃｏｒｅ指数　受益証券</t>
  </si>
  <si>
    <t>iFreeETF Tokyo Stock Exchange REIT Core Index</t>
  </si>
  <si>
    <t>iFreeETF Nikkei225 (Quarterly Dividend Type)</t>
  </si>
  <si>
    <t>iFreeETF TOPIX (Quarterly Dividend Type)</t>
  </si>
  <si>
    <t>iFreeETF NASDAQ100 Leveraged (2x)</t>
  </si>
  <si>
    <t>iFreeETF NASDAQ100 Double Inverse (-2x)</t>
  </si>
  <si>
    <t>2023/05</t>
  </si>
  <si>
    <t>2247</t>
  </si>
  <si>
    <t>ｉＦｒｅｅＥＴＦ　Ｓ＆Ｐ５００（為替ヘッジなし）　受益証券</t>
  </si>
  <si>
    <t>iFreeETF S&amp;P500 (NON HEDGED)</t>
  </si>
  <si>
    <t xml:space="preserve">2023/05/12  </t>
  </si>
  <si>
    <t>2248</t>
  </si>
  <si>
    <t>ｉＦｒｅｅＥＴＦ　Ｓ＆Ｐ５００（為替ヘッジあり）　受益証券</t>
  </si>
  <si>
    <t>iFreeETF S&amp;P500 (JPY HEDGED)</t>
  </si>
  <si>
    <t>2249</t>
  </si>
  <si>
    <t>ｉＦｒｅｅＥＴＦ　Ｓ＆Ｐ５００ダブルインバース　受益証券</t>
  </si>
  <si>
    <t>iFreeETF S&amp;P500 Double Inverse (-2x)</t>
  </si>
  <si>
    <t>2023/06</t>
  </si>
  <si>
    <t xml:space="preserve">2023/06/11  </t>
  </si>
  <si>
    <t>2250</t>
  </si>
  <si>
    <t>ｉシェアーズ　ＭＳＣＩ　ジャパン気候変動アクション　ＥＴＦ　受益証券</t>
  </si>
  <si>
    <t>iShares MSCI Japan Climate Action ETF</t>
  </si>
  <si>
    <t xml:space="preserve">2023/06/08  </t>
  </si>
  <si>
    <t>2251</t>
  </si>
  <si>
    <t>ＮＥＸＴ　ＦＵＮＤＳ　ＪＰＸ国債先物ダブルインバース指数連動型上場投信　受益証券</t>
  </si>
  <si>
    <t>NEXT FUNDS JPX JGB Futures Double Inverse Index Exchange Traded Fund</t>
  </si>
  <si>
    <t xml:space="preserve">2023/06/23  </t>
  </si>
  <si>
    <t>2023/07</t>
  </si>
  <si>
    <t>ＮＥＸＴ　ＦＵＮＤＳ　東証ＲＥＩＴ　指数連動型上場投信　受益証券</t>
  </si>
  <si>
    <t>Listed Index Fund J-REIT (Tokyo Stock Exchange REIT Index)Bi-Monthly Dividend Payment Type</t>
  </si>
  <si>
    <t>MAXIS NIKKEI 225 ETF</t>
  </si>
  <si>
    <t>NEXT FUNDS Nikkei 225 Double Inverse Index Exchange Traded Fund</t>
  </si>
  <si>
    <t xml:space="preserve">2023/07/21  </t>
  </si>
  <si>
    <t>上場インデックスファンド豪州リート（Ｓ＆Ｐ／ＡＳＸ２００　Ａ－ＲＥＩＴ）　受益証券</t>
  </si>
  <si>
    <t>NEXT FUNDS Nomura Japan Equity High Dividend 70 Exchange Traded Fund</t>
  </si>
  <si>
    <t>ｉシェアーズ・コア　ＭＳＣＩ　先進国株（除く日本）ＥＴＦ　受益証券</t>
  </si>
  <si>
    <t>ＮＥＸＴ　ＦＵＮＤＳ　インド株式指数・Ｎｉｆｔｙ　５０　連動型上場投信　受益証券</t>
  </si>
  <si>
    <t>Ｓｉｍｐｌｅ－Ｘ　ＮＹ　ダウ・ジョーンズ・インデックス上場投信　受益証券</t>
  </si>
  <si>
    <t>Listed Index Fund International Developed Countries Equity (MSCI-KOKUSAI)</t>
  </si>
  <si>
    <t>上場インデックスファンド海外新興国株式（ＭＳＣＩ　エマージング）　受益証券</t>
  </si>
  <si>
    <t>Listed Index Fund International Emerging Countries Equity (MSCI EMERGING)</t>
  </si>
  <si>
    <t>Listed Index Fund Japan High Dividend (TSE Dividend Focus 100)</t>
  </si>
  <si>
    <t>ＮＥＸＴ　ＦＵＮＤＳ　ＮＯＭＵＲＡ　原油インデックス連動型上場投信　受益証券</t>
  </si>
  <si>
    <t>NEXT FUNDS NOMURA Crude Oil Long Index Linked Exchange Traded Fund</t>
  </si>
  <si>
    <t>2252</t>
  </si>
  <si>
    <t>グローバルＸ　Ｍｏｒｎｉｎｇｓｔａｒ　米国中小型　Ｍｏａｔ　ＥＴＦ　受益証券</t>
  </si>
  <si>
    <t>Global X Morningstar US Small Mid Moat ETF</t>
  </si>
  <si>
    <t xml:space="preserve">2023/07/13  </t>
  </si>
  <si>
    <t>2253</t>
  </si>
  <si>
    <t>グローバルＸ　スーパーディビィデンド－ＵＳ　ＥＴＦ　受益証券</t>
  </si>
  <si>
    <t>Global X SuperDividend U.S. ETF</t>
  </si>
  <si>
    <t>2254</t>
  </si>
  <si>
    <t>グローバルＸ　チャイナＥＶ＆バッテリー　ＥＴＦ　受益証券</t>
  </si>
  <si>
    <t>Global X China Electric Vehicle and Battery ETF</t>
  </si>
  <si>
    <t>2023/08</t>
  </si>
  <si>
    <t>2023/09</t>
  </si>
  <si>
    <t>2080</t>
  </si>
  <si>
    <t>ＰＢＲ１倍割れ解消推進ＥＴＦ　受益証券</t>
  </si>
  <si>
    <t>PBR Improvement over 1x ETF</t>
  </si>
  <si>
    <t xml:space="preserve">2023/09/07  </t>
  </si>
  <si>
    <t>2081</t>
  </si>
  <si>
    <t>政策保有解消推進ＥＴＦ　受益証券</t>
  </si>
  <si>
    <t>Strategic Shareholding Disposal Promotion ETF</t>
  </si>
  <si>
    <t>2082</t>
  </si>
  <si>
    <t>投資家経営者一心同体ＥＴＦ　受益証券</t>
  </si>
  <si>
    <t>Investor-Management Unite as One ETF</t>
  </si>
  <si>
    <t>2083</t>
  </si>
  <si>
    <t>ＮＥＸＴ　ＦＵＮＤＳ　日本成長株アクティブ上場投信　受益証券</t>
  </si>
  <si>
    <t>NEXT FUNDS Japan Growth Equity Active Exchange Traded Fund</t>
  </si>
  <si>
    <t>2084</t>
  </si>
  <si>
    <t>ＮＥＸＴ　ＦＵＮＤＳ　日本高配当株アクティブ上場投信　受益証券</t>
  </si>
  <si>
    <t>NEXT FUNDS Japan High Dividend Equity Active Exchange Traded Fund</t>
  </si>
  <si>
    <t>2085</t>
  </si>
  <si>
    <t>ＭＡＸＩＳ高配当日本株アクティブ上場投信　受益証券</t>
  </si>
  <si>
    <t>MAXIS High Dividend Japan Equity Actively Managed ETF</t>
  </si>
  <si>
    <t>2086</t>
  </si>
  <si>
    <t>ＮＺＡＭ　上場投信　Ｓ＆Ｐ５００（為替ヘッジあり）　受益証券</t>
  </si>
  <si>
    <t>NZAM ETF S&amp;P500 (JPY Hedged)</t>
  </si>
  <si>
    <t xml:space="preserve">2023/09/22  </t>
  </si>
  <si>
    <t>2087</t>
  </si>
  <si>
    <t>ＮＺＡＭ　上場投信　ＮＡＳＤＡＱ１００（為替ヘッジあり）　受益証券</t>
  </si>
  <si>
    <t>NZAM ETF NASDAQ100 (JPY Hedged)</t>
  </si>
  <si>
    <t>2088</t>
  </si>
  <si>
    <t>ＮＺＡＭ　上場投信　ＮＹダウ３０（為替ヘッジあり）　受益証券</t>
  </si>
  <si>
    <t>NZAM ETF NY Dow30 (JPY Hedged)</t>
  </si>
  <si>
    <t>2089</t>
  </si>
  <si>
    <t>ＮＺＡＭ　上場投信　ＤＡＸ（為替ヘッジあり）　受益証券</t>
  </si>
  <si>
    <t>NZAM ETF DAX (JPY Hedged)</t>
  </si>
  <si>
    <t>2090</t>
  </si>
  <si>
    <t>ＮＺＡＭ　上場投信　米国国債７－１０年（為替ヘッジあり）　受益証券</t>
  </si>
  <si>
    <t>NZAM ETF US Treasury 7-10Y (JPY Hedged)</t>
  </si>
  <si>
    <t>2091</t>
  </si>
  <si>
    <t>ＮＺＡＭ　上場投信　ドイツ国債７－１０年（為替ヘッジあり）　受益証券</t>
  </si>
  <si>
    <t>NZAM ETF German Government Bond 7-10Y (JPY Hedged)</t>
  </si>
  <si>
    <t>2092</t>
  </si>
  <si>
    <t>ＮＺＡＭ　上場投信　フランス国債７－１０年（為替ヘッジあり）　受益証券</t>
  </si>
  <si>
    <t>NZAM ETF France Government Bond 7-10Y (JPY Hedged)</t>
  </si>
  <si>
    <t>2023/10</t>
  </si>
  <si>
    <t>Global X Japan Mid &amp; Small Cap Leaders ETF</t>
  </si>
  <si>
    <t>グローバルＸ　中小型リーダーズ－日本株式　ＥＴＦ　受益証券</t>
  </si>
  <si>
    <t>Global X Japan Global Leaders ETF</t>
  </si>
  <si>
    <t>グローバルＸ　グローバルリーダーズ－日本株式　ＥＴＦ　受益証券</t>
  </si>
  <si>
    <t>Global X CleanTech Japan ETF</t>
  </si>
  <si>
    <t>グローバルＸ　クリーンテック－日本株式　ＥＴＦ　受益証券</t>
  </si>
  <si>
    <t xml:space="preserve">2023/10/26  </t>
  </si>
  <si>
    <t>Global X Hotel &amp; Retail J-REIT ETF</t>
  </si>
  <si>
    <t>グローバルＸ　ホテル＆リテール・Ｊ－ＲＥＩＴ　ＥＴＦ　受益証券</t>
  </si>
  <si>
    <t>2098</t>
  </si>
  <si>
    <t>Global X Residential J-REIT ETF</t>
  </si>
  <si>
    <t>グローバルＸ　レジデンシャル・Ｊ－ＲＥＩＴ　ＥＴＦ　受益証券</t>
  </si>
  <si>
    <t>2097</t>
  </si>
  <si>
    <t>Global X Office J-REIT ETF</t>
  </si>
  <si>
    <t>グローバルＸ　オフィス・Ｊ－ＲＥＩＴ　ＥＴＦ　受益証券</t>
  </si>
  <si>
    <t>2096</t>
  </si>
  <si>
    <t>Global X S&amp;P 500 Dividend Aristocrats ETF (JPY Hedged)</t>
  </si>
  <si>
    <t>グローバルＸ　Ｓ＆Ｐ５００配当貴族　ＥＴＦ（為替ヘッジあり）　受益証券</t>
  </si>
  <si>
    <t>2095</t>
  </si>
  <si>
    <t xml:space="preserve">2023/10/06  </t>
  </si>
  <si>
    <t>TSE REIT Inverse ETF</t>
  </si>
  <si>
    <t>東証ＲＥＩＴインバースＥＴＦ　受益証券</t>
  </si>
  <si>
    <t>2094</t>
  </si>
  <si>
    <t xml:space="preserve">2023/10/05  </t>
  </si>
  <si>
    <t>Listed Tracers US Government Bond 0-2years Ladder (No Currency Hedge)</t>
  </si>
  <si>
    <t>上場Ｔｒａｃｅｒｓ　米国債０－２年ラダー（為替ヘッジなし）　受益証券</t>
  </si>
  <si>
    <t>2093</t>
  </si>
  <si>
    <t>2023/11</t>
  </si>
  <si>
    <t xml:space="preserve">株式併合  </t>
  </si>
  <si>
    <t xml:space="preserve">stock merge  </t>
  </si>
  <si>
    <t>2011</t>
  </si>
  <si>
    <t>ＳＭＤＡＭ　Ａｃｔｉｖｅ　ＥＴＦ　日本高配当株式　受益証券</t>
  </si>
  <si>
    <t>SMDAM Active ETF Japan High Dividend Equity</t>
  </si>
  <si>
    <t xml:space="preserve">2023/11/29  </t>
  </si>
  <si>
    <t>ＮＥＸＴ　ＮＯＴＥＳ　東証グロース市場２５０　ＥＴＮ　受益証券</t>
  </si>
  <si>
    <t>NEXT NOTES Tokyo Stock Exchange Growth Market 250 Index ETN</t>
  </si>
  <si>
    <t>2255</t>
  </si>
  <si>
    <t>ｉシェアーズ　米国債２０年超　ＥＴＦ　受益証券</t>
  </si>
  <si>
    <t>iShares 20+ Year US Treasury Bond ETF</t>
  </si>
  <si>
    <t xml:space="preserve">2023/11/28  </t>
  </si>
  <si>
    <t>2256</t>
  </si>
  <si>
    <t>ｉシェアーズ　米国総合債券　ＥＴＦ　受益証券</t>
  </si>
  <si>
    <t>iShares US Aggregate Bond ETF</t>
  </si>
  <si>
    <t>2257</t>
  </si>
  <si>
    <t>ｉシェアーズ　米ドル建て投資適格社債　ＥＴＦ　受益証券</t>
  </si>
  <si>
    <t>iShares USD Investment Grade Corporate Bond ETF</t>
  </si>
  <si>
    <t>2258</t>
  </si>
  <si>
    <t>ｉシェアーズ　米ドル建てハイイールド社債　ＥＴＦ　受益証券</t>
  </si>
  <si>
    <t>iShares USD High Yield Corporate Bond ETF</t>
  </si>
  <si>
    <t>2259</t>
  </si>
  <si>
    <t>ｉシェアーズ　フランス国債７－１０年　ＥＴＦ（為替ヘッジあり）　受益証券</t>
  </si>
  <si>
    <t>iShares 7-10 Year France Government Bond JPY Hedged ETF</t>
  </si>
  <si>
    <t>東証グロース２５０ＥＴＦ　受益証券</t>
  </si>
  <si>
    <t>TSE Growth 250 ETF</t>
  </si>
  <si>
    <t>2023/12</t>
  </si>
  <si>
    <t xml:space="preserve">新株落ち  </t>
  </si>
  <si>
    <t xml:space="preserve">ex-subscription right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</si>
</sst>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0"/>
  </numFmts>
  <fonts count="1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11"/>
      <name val="游ゴシック"/>
      <family val="2"/>
      <charset val="128"/>
      <scheme val="minor"/>
    </font>
    <font>
      <sz val="40"/>
      <name val="ＭＳ ゴシック"/>
      <family val="3"/>
      <charset val="128"/>
    </font>
    <font>
      <sz val="20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游ゴシック"/>
      <family val="2"/>
      <charset val="128"/>
      <scheme val="minor"/>
    </font>
    <font>
      <sz val="8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9" fillId="0" borderId="0"/>
  </cellStyleXfs>
  <cellXfs count="46">
    <xf numFmtId="0" fontId="0" fillId="0" borderId="0" xfId="0">
      <alignment vertical="center"/>
    </xf>
    <xf numFmtId="0" fontId="2" fillId="0" borderId="1" xfId="1" applyFont="1" applyBorder="1">
      <alignment vertical="center"/>
    </xf>
    <xf numFmtId="0" fontId="2" fillId="0" borderId="2" xfId="1" applyFont="1" applyBorder="1">
      <alignment vertical="center"/>
    </xf>
    <xf numFmtId="0" fontId="4" fillId="0" borderId="0" xfId="1" applyFont="1">
      <alignment vertical="center"/>
    </xf>
    <xf numFmtId="0" fontId="7" fillId="0" borderId="9" xfId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0" fontId="7" fillId="0" borderId="12" xfId="1" applyFont="1" applyBorder="1" applyAlignment="1">
      <alignment horizontal="center" vertical="center"/>
    </xf>
    <xf numFmtId="49" fontId="7" fillId="0" borderId="9" xfId="2" applyNumberFormat="1" applyFont="1" applyBorder="1" applyAlignment="1">
      <alignment horizontal="center" vertical="center"/>
    </xf>
    <xf numFmtId="0" fontId="10" fillId="0" borderId="0" xfId="1" applyFont="1">
      <alignment vertical="center"/>
    </xf>
    <xf numFmtId="0" fontId="2" fillId="0" borderId="1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14" xfId="1" applyFont="1" applyBorder="1" applyAlignment="1">
      <alignment horizontal="center" vertical="center"/>
    </xf>
    <xf numFmtId="49" fontId="2" fillId="0" borderId="15" xfId="2" applyNumberFormat="1" applyFont="1" applyBorder="1" applyAlignment="1">
      <alignment horizontal="center" vertical="center"/>
    </xf>
    <xf numFmtId="49" fontId="7" fillId="0" borderId="13" xfId="2" applyNumberFormat="1" applyFont="1" applyBorder="1" applyAlignment="1">
      <alignment horizontal="center" vertical="center"/>
    </xf>
    <xf numFmtId="49" fontId="2" fillId="0" borderId="16" xfId="2" applyNumberFormat="1" applyFont="1" applyBorder="1" applyAlignment="1">
      <alignment horizontal="center" vertical="center"/>
    </xf>
    <xf numFmtId="49" fontId="2" fillId="0" borderId="13" xfId="2" applyNumberFormat="1" applyFont="1" applyBorder="1" applyAlignment="1">
      <alignment horizontal="center" vertical="center"/>
    </xf>
    <xf numFmtId="0" fontId="2" fillId="0" borderId="17" xfId="1" applyFont="1" applyBorder="1" applyAlignment="1">
      <alignment horizontal="right" vertical="center"/>
    </xf>
    <xf numFmtId="0" fontId="2" fillId="0" borderId="6" xfId="1" applyFont="1" applyBorder="1" applyAlignment="1">
      <alignment horizontal="right" vertical="center"/>
    </xf>
    <xf numFmtId="0" fontId="2" fillId="0" borderId="18" xfId="1" applyFont="1" applyBorder="1" applyAlignment="1">
      <alignment horizontal="right" vertical="center"/>
    </xf>
    <xf numFmtId="0" fontId="2" fillId="0" borderId="19" xfId="1" applyFont="1" applyBorder="1" applyAlignment="1">
      <alignment horizontal="right" vertical="center"/>
    </xf>
    <xf numFmtId="49" fontId="11" fillId="0" borderId="17" xfId="2" applyNumberFormat="1" applyFont="1" applyBorder="1" applyAlignment="1">
      <alignment horizontal="right"/>
    </xf>
    <xf numFmtId="49" fontId="11" fillId="0" borderId="20" xfId="2" applyNumberFormat="1" applyFont="1" applyBorder="1" applyAlignment="1">
      <alignment horizontal="right"/>
    </xf>
    <xf numFmtId="49" fontId="11" fillId="0" borderId="19" xfId="2" applyNumberFormat="1" applyFont="1" applyBorder="1" applyAlignment="1">
      <alignment horizontal="right"/>
    </xf>
    <xf numFmtId="49" fontId="7" fillId="0" borderId="21" xfId="1" applyNumberFormat="1" applyFont="1" applyBorder="1" applyAlignment="1">
      <alignment horizontal="left" vertical="center"/>
    </xf>
    <xf numFmtId="49" fontId="7" fillId="0" borderId="22" xfId="1" applyNumberFormat="1" applyFont="1" applyBorder="1" applyAlignment="1">
      <alignment horizontal="left" vertical="center"/>
    </xf>
    <xf numFmtId="49" fontId="7" fillId="0" borderId="23" xfId="1" applyNumberFormat="1" applyFont="1" applyBorder="1" applyAlignment="1">
      <alignment horizontal="left" vertical="center"/>
    </xf>
    <xf numFmtId="49" fontId="7" fillId="0" borderId="24" xfId="1" applyNumberFormat="1" applyFont="1" applyBorder="1" applyAlignment="1">
      <alignment horizontal="left" vertical="center"/>
    </xf>
    <xf numFmtId="49" fontId="7" fillId="0" borderId="21" xfId="2" applyNumberFormat="1" applyFont="1" applyBorder="1" applyAlignment="1">
      <alignment horizontal="left"/>
    </xf>
    <xf numFmtId="3" fontId="7" fillId="0" borderId="21" xfId="2" applyNumberFormat="1" applyFont="1" applyBorder="1" applyAlignment="1">
      <alignment horizontal="right"/>
    </xf>
    <xf numFmtId="4" fontId="7" fillId="0" borderId="25" xfId="2" applyNumberFormat="1" applyFont="1" applyBorder="1" applyAlignment="1">
      <alignment horizontal="right"/>
    </xf>
    <xf numFmtId="49" fontId="7" fillId="0" borderId="24" xfId="2" applyNumberFormat="1" applyFont="1" applyBorder="1" applyAlignment="1">
      <alignment horizontal="right"/>
    </xf>
    <xf numFmtId="4" fontId="7" fillId="0" borderId="21" xfId="2" applyNumberFormat="1" applyFont="1" applyBorder="1" applyAlignment="1">
      <alignment horizontal="right"/>
    </xf>
    <xf numFmtId="176" fontId="7" fillId="0" borderId="21" xfId="2" applyNumberFormat="1" applyFont="1" applyBorder="1" applyAlignment="1">
      <alignment horizontal="right"/>
    </xf>
    <xf numFmtId="0" fontId="7" fillId="0" borderId="0" xfId="1" applyFont="1">
      <alignment vertical="center"/>
    </xf>
    <xf numFmtId="0" fontId="2" fillId="0" borderId="2" xfId="1" applyFont="1" applyBorder="1" applyAlignment="1">
      <alignment horizontal="left" vertical="top" wrapText="1"/>
    </xf>
    <xf numFmtId="0" fontId="2" fillId="0" borderId="3" xfId="1" applyFont="1" applyBorder="1" applyAlignment="1">
      <alignment horizontal="left" vertical="top" wrapText="1"/>
    </xf>
    <xf numFmtId="0" fontId="2" fillId="0" borderId="0" xfId="1" applyFont="1" applyAlignment="1">
      <alignment horizontal="left" vertical="top" wrapText="1"/>
    </xf>
    <xf numFmtId="0" fontId="2" fillId="0" borderId="5" xfId="1" applyFont="1" applyBorder="1" applyAlignment="1">
      <alignment horizontal="left" vertical="top" wrapText="1"/>
    </xf>
    <xf numFmtId="0" fontId="2" fillId="0" borderId="7" xfId="1" applyFont="1" applyBorder="1" applyAlignment="1">
      <alignment horizontal="left" vertical="top" wrapText="1"/>
    </xf>
    <xf numFmtId="0" fontId="2" fillId="0" borderId="8" xfId="1" applyFont="1" applyBorder="1" applyAlignment="1">
      <alignment horizontal="left" vertical="top" wrapText="1"/>
    </xf>
    <xf numFmtId="0" fontId="5" fillId="0" borderId="4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</cellXfs>
  <cellStyles count="3">
    <cellStyle name="標準" xfId="0" builtinId="0"/>
    <cellStyle name="標準 10 3" xfId="2" xr:uid="{52A9C9D1-04B4-4DEE-97C9-9E5BC12EDF58}"/>
    <cellStyle name="標準 132" xfId="1" xr:uid="{4B2E7684-C327-4DE2-8DB8-B03F9E10235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0.bin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1.bin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2.bin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9.bin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16290B-6D36-4BE0-A7A5-145EF976C723}">
  <sheetPr>
    <pageSetUpPr fitToPage="1"/>
  </sheetPr>
  <dimension ref="A1:X343"/>
  <sheetViews>
    <sheetView showGridLines="0" tabSelected="1" view="pageBreakPreview" zoomScaleNormal="70" zoomScaleSheetLayoutView="100" workbookViewId="0">
      <pane ySplit="6" topLeftCell="A7" activePane="bottomLeft" state="frozen"/>
      <selection pane="bottomLeft"/>
    </sheetView>
  </sheetViews>
  <sheetFormatPr defaultRowHeight="18.75" x14ac:dyDescent="0.4"/>
  <cols>
    <col min="1" max="1" width="13.125" style="3" bestFit="1" customWidth="1"/>
    <col min="2" max="2" width="10.75" style="3" bestFit="1" customWidth="1"/>
    <col min="3" max="4" width="27.625" style="3" customWidth="1"/>
    <col min="5" max="5" width="13.75" style="3" bestFit="1" customWidth="1"/>
    <col min="6" max="6" width="20.75" style="3" bestFit="1" customWidth="1"/>
    <col min="7" max="7" width="11.25" style="3" customWidth="1"/>
    <col min="8" max="8" width="8.75" style="3" bestFit="1" customWidth="1"/>
    <col min="9" max="9" width="11.75" style="3" bestFit="1" customWidth="1"/>
    <col min="10" max="10" width="12.625" style="3" bestFit="1" customWidth="1"/>
    <col min="11" max="11" width="16.25" style="3" customWidth="1"/>
    <col min="12" max="12" width="5.625" style="3" bestFit="1" customWidth="1"/>
    <col min="13" max="13" width="16.25" style="3" customWidth="1"/>
    <col min="14" max="14" width="5.625" style="3" bestFit="1" customWidth="1"/>
    <col min="15" max="15" width="16.25" style="3" customWidth="1"/>
    <col min="16" max="16" width="5.625" style="3" bestFit="1" customWidth="1"/>
    <col min="17" max="17" width="16.25" style="3" customWidth="1"/>
    <col min="18" max="18" width="5.625" style="3" bestFit="1" customWidth="1"/>
    <col min="19" max="19" width="23.875" style="3" bestFit="1" customWidth="1"/>
    <col min="20" max="20" width="16.25" style="3" customWidth="1"/>
    <col min="21" max="21" width="24.125" style="3" customWidth="1"/>
    <col min="22" max="22" width="19.875" style="3" bestFit="1" customWidth="1"/>
    <col min="23" max="23" width="25" style="3" bestFit="1" customWidth="1"/>
    <col min="24" max="24" width="13.125" style="3" bestFit="1" customWidth="1"/>
    <col min="25" max="16384" width="9" style="3"/>
  </cols>
  <sheetData>
    <row r="1" spans="1:24" ht="13.5" customHeight="1" x14ac:dyDescent="0.4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6" t="s">
        <v>0</v>
      </c>
      <c r="O1" s="36"/>
      <c r="P1" s="36"/>
      <c r="Q1" s="36"/>
      <c r="R1" s="36"/>
      <c r="S1" s="36"/>
      <c r="T1" s="36"/>
      <c r="U1" s="36"/>
      <c r="V1" s="36"/>
      <c r="W1" s="36"/>
      <c r="X1" s="37"/>
    </row>
    <row r="2" spans="1:24" ht="99" customHeight="1" x14ac:dyDescent="0.4">
      <c r="A2" s="42" t="s">
        <v>1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38"/>
      <c r="O2" s="38"/>
      <c r="P2" s="38"/>
      <c r="Q2" s="38"/>
      <c r="R2" s="38"/>
      <c r="S2" s="38"/>
      <c r="T2" s="38"/>
      <c r="U2" s="38"/>
      <c r="V2" s="38"/>
      <c r="W2" s="38"/>
      <c r="X2" s="39"/>
    </row>
    <row r="3" spans="1:24" ht="39" customHeight="1" x14ac:dyDescent="0.4">
      <c r="A3" s="44" t="s">
        <v>2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0"/>
      <c r="O3" s="40"/>
      <c r="P3" s="40"/>
      <c r="Q3" s="40"/>
      <c r="R3" s="40"/>
      <c r="S3" s="40"/>
      <c r="T3" s="40"/>
      <c r="U3" s="40"/>
      <c r="V3" s="40"/>
      <c r="W3" s="40"/>
      <c r="X3" s="41"/>
    </row>
    <row r="4" spans="1:24" s="10" customFormat="1" ht="13.5" customHeight="1" x14ac:dyDescent="0.4">
      <c r="A4" s="4" t="s">
        <v>3</v>
      </c>
      <c r="B4" s="4" t="s">
        <v>4</v>
      </c>
      <c r="C4" s="4"/>
      <c r="D4" s="4"/>
      <c r="E4" s="5"/>
      <c r="F4" s="6"/>
      <c r="G4" s="7" t="s">
        <v>5</v>
      </c>
      <c r="H4" s="4" t="s">
        <v>6</v>
      </c>
      <c r="I4" s="4" t="s">
        <v>7</v>
      </c>
      <c r="J4" s="4" t="s">
        <v>8</v>
      </c>
      <c r="K4" s="8" t="s">
        <v>9</v>
      </c>
      <c r="L4" s="7" t="s">
        <v>5</v>
      </c>
      <c r="M4" s="8" t="s">
        <v>10</v>
      </c>
      <c r="N4" s="7" t="s">
        <v>5</v>
      </c>
      <c r="O4" s="8" t="s">
        <v>11</v>
      </c>
      <c r="P4" s="7" t="s">
        <v>5</v>
      </c>
      <c r="Q4" s="8" t="s">
        <v>12</v>
      </c>
      <c r="R4" s="7" t="s">
        <v>5</v>
      </c>
      <c r="S4" s="4" t="s">
        <v>13</v>
      </c>
      <c r="T4" s="4" t="s">
        <v>14</v>
      </c>
      <c r="U4" s="9" t="s">
        <v>15</v>
      </c>
      <c r="V4" s="4" t="s">
        <v>16</v>
      </c>
      <c r="W4" s="4" t="s">
        <v>17</v>
      </c>
      <c r="X4" s="4" t="s">
        <v>18</v>
      </c>
    </row>
    <row r="5" spans="1:24" x14ac:dyDescent="0.4">
      <c r="A5" s="11" t="s">
        <v>19</v>
      </c>
      <c r="B5" s="11" t="s">
        <v>20</v>
      </c>
      <c r="C5" s="11" t="s">
        <v>21</v>
      </c>
      <c r="D5" s="11" t="s">
        <v>22</v>
      </c>
      <c r="E5" s="12" t="s">
        <v>23</v>
      </c>
      <c r="F5" s="13" t="s">
        <v>24</v>
      </c>
      <c r="G5" s="14" t="s">
        <v>25</v>
      </c>
      <c r="H5" s="15" t="s">
        <v>26</v>
      </c>
      <c r="I5" s="15" t="s">
        <v>27</v>
      </c>
      <c r="J5" s="15" t="s">
        <v>28</v>
      </c>
      <c r="K5" s="16" t="s">
        <v>29</v>
      </c>
      <c r="L5" s="14" t="s">
        <v>25</v>
      </c>
      <c r="M5" s="16" t="s">
        <v>30</v>
      </c>
      <c r="N5" s="14" t="s">
        <v>25</v>
      </c>
      <c r="O5" s="16" t="s">
        <v>31</v>
      </c>
      <c r="P5" s="14" t="s">
        <v>25</v>
      </c>
      <c r="Q5" s="16" t="s">
        <v>32</v>
      </c>
      <c r="R5" s="14" t="s">
        <v>25</v>
      </c>
      <c r="S5" s="17" t="s">
        <v>33</v>
      </c>
      <c r="T5" s="17" t="s">
        <v>34</v>
      </c>
      <c r="U5" s="11" t="s">
        <v>35</v>
      </c>
      <c r="V5" s="17" t="s">
        <v>36</v>
      </c>
      <c r="W5" s="17" t="s">
        <v>37</v>
      </c>
      <c r="X5" s="17" t="s">
        <v>38</v>
      </c>
    </row>
    <row r="6" spans="1:24" x14ac:dyDescent="0.15">
      <c r="A6" s="18"/>
      <c r="B6" s="18"/>
      <c r="C6" s="18"/>
      <c r="D6" s="18"/>
      <c r="E6" s="19"/>
      <c r="F6" s="20"/>
      <c r="G6" s="21"/>
      <c r="H6" s="22"/>
      <c r="I6" s="22"/>
      <c r="J6" s="22" t="s">
        <v>39</v>
      </c>
      <c r="K6" s="23" t="s">
        <v>40</v>
      </c>
      <c r="L6" s="24"/>
      <c r="M6" s="23" t="s">
        <v>40</v>
      </c>
      <c r="N6" s="24"/>
      <c r="O6" s="23" t="s">
        <v>40</v>
      </c>
      <c r="P6" s="24"/>
      <c r="Q6" s="23" t="s">
        <v>40</v>
      </c>
      <c r="R6" s="24"/>
      <c r="S6" s="23" t="s">
        <v>40</v>
      </c>
      <c r="T6" s="22" t="s">
        <v>41</v>
      </c>
      <c r="U6" s="22" t="s">
        <v>41</v>
      </c>
      <c r="V6" s="23" t="s">
        <v>40</v>
      </c>
      <c r="W6" s="23" t="s">
        <v>40</v>
      </c>
      <c r="X6" s="22"/>
    </row>
    <row r="7" spans="1:24" s="35" customFormat="1" ht="18.75" customHeight="1" x14ac:dyDescent="0.15">
      <c r="A7" s="25" t="s">
        <v>1237</v>
      </c>
      <c r="B7" s="25" t="s">
        <v>42</v>
      </c>
      <c r="C7" s="25" t="s">
        <v>1033</v>
      </c>
      <c r="D7" s="25" t="s">
        <v>1034</v>
      </c>
      <c r="E7" s="26" t="s">
        <v>45</v>
      </c>
      <c r="F7" s="27" t="s">
        <v>45</v>
      </c>
      <c r="G7" s="28" t="s">
        <v>45</v>
      </c>
      <c r="H7" s="29"/>
      <c r="I7" s="29" t="s">
        <v>46</v>
      </c>
      <c r="J7" s="30">
        <v>10</v>
      </c>
      <c r="K7" s="31">
        <f>2522</f>
        <v>2522</v>
      </c>
      <c r="L7" s="32" t="s">
        <v>995</v>
      </c>
      <c r="M7" s="31">
        <f>2523.5</f>
        <v>2523.5</v>
      </c>
      <c r="N7" s="32" t="s">
        <v>78</v>
      </c>
      <c r="O7" s="31">
        <f>2423.5</f>
        <v>2423.5</v>
      </c>
      <c r="P7" s="32" t="s">
        <v>788</v>
      </c>
      <c r="Q7" s="31">
        <f>2499.5</f>
        <v>2499.5</v>
      </c>
      <c r="R7" s="32" t="s">
        <v>1017</v>
      </c>
      <c r="S7" s="33">
        <f>2479.74</f>
        <v>2479.7399999999998</v>
      </c>
      <c r="T7" s="30">
        <f>2481320</f>
        <v>2481320</v>
      </c>
      <c r="U7" s="30">
        <f>573000</f>
        <v>573000</v>
      </c>
      <c r="V7" s="30">
        <f>6131823765</f>
        <v>6131823765</v>
      </c>
      <c r="W7" s="30">
        <f>1404118200</f>
        <v>1404118200</v>
      </c>
      <c r="X7" s="34">
        <f>21</f>
        <v>21</v>
      </c>
    </row>
    <row r="8" spans="1:24" x14ac:dyDescent="0.15">
      <c r="A8" s="25" t="s">
        <v>1237</v>
      </c>
      <c r="B8" s="25" t="s">
        <v>47</v>
      </c>
      <c r="C8" s="25" t="s">
        <v>48</v>
      </c>
      <c r="D8" s="25" t="s">
        <v>49</v>
      </c>
      <c r="E8" s="26" t="s">
        <v>45</v>
      </c>
      <c r="F8" s="27" t="s">
        <v>45</v>
      </c>
      <c r="G8" s="28" t="s">
        <v>45</v>
      </c>
      <c r="H8" s="29"/>
      <c r="I8" s="29" t="s">
        <v>46</v>
      </c>
      <c r="J8" s="30">
        <v>10</v>
      </c>
      <c r="K8" s="31">
        <f>2494.5</f>
        <v>2494.5</v>
      </c>
      <c r="L8" s="32" t="s">
        <v>995</v>
      </c>
      <c r="M8" s="31">
        <f>2497.5</f>
        <v>2497.5</v>
      </c>
      <c r="N8" s="32" t="s">
        <v>78</v>
      </c>
      <c r="O8" s="31">
        <f>2398.5</f>
        <v>2398.5</v>
      </c>
      <c r="P8" s="32" t="s">
        <v>788</v>
      </c>
      <c r="Q8" s="31">
        <f>2474.5</f>
        <v>2474.5</v>
      </c>
      <c r="R8" s="32" t="s">
        <v>1017</v>
      </c>
      <c r="S8" s="33">
        <f>2453.64</f>
        <v>2453.64</v>
      </c>
      <c r="T8" s="30">
        <f>46868030</f>
        <v>46868030</v>
      </c>
      <c r="U8" s="30">
        <f>16726100</f>
        <v>16726100</v>
      </c>
      <c r="V8" s="30">
        <f>114864641343</f>
        <v>114864641343</v>
      </c>
      <c r="W8" s="30">
        <f>41025122173</f>
        <v>41025122173</v>
      </c>
      <c r="X8" s="34">
        <f>21</f>
        <v>21</v>
      </c>
    </row>
    <row r="9" spans="1:24" x14ac:dyDescent="0.15">
      <c r="A9" s="25" t="s">
        <v>1237</v>
      </c>
      <c r="B9" s="25" t="s">
        <v>50</v>
      </c>
      <c r="C9" s="25" t="s">
        <v>51</v>
      </c>
      <c r="D9" s="25" t="s">
        <v>52</v>
      </c>
      <c r="E9" s="26" t="s">
        <v>45</v>
      </c>
      <c r="F9" s="27" t="s">
        <v>45</v>
      </c>
      <c r="G9" s="28" t="s">
        <v>45</v>
      </c>
      <c r="H9" s="29"/>
      <c r="I9" s="29" t="s">
        <v>46</v>
      </c>
      <c r="J9" s="30">
        <v>1</v>
      </c>
      <c r="K9" s="31">
        <f>2465</f>
        <v>2465</v>
      </c>
      <c r="L9" s="32" t="s">
        <v>995</v>
      </c>
      <c r="M9" s="31">
        <f>2467</f>
        <v>2467</v>
      </c>
      <c r="N9" s="32" t="s">
        <v>78</v>
      </c>
      <c r="O9" s="31">
        <f>2369</f>
        <v>2369</v>
      </c>
      <c r="P9" s="32" t="s">
        <v>788</v>
      </c>
      <c r="Q9" s="31">
        <f>2446</f>
        <v>2446</v>
      </c>
      <c r="R9" s="32" t="s">
        <v>1017</v>
      </c>
      <c r="S9" s="33">
        <f>2424.19</f>
        <v>2424.19</v>
      </c>
      <c r="T9" s="30">
        <f>4644385</f>
        <v>4644385</v>
      </c>
      <c r="U9" s="30">
        <f>1053026</f>
        <v>1053026</v>
      </c>
      <c r="V9" s="30">
        <f>11228680802</f>
        <v>11228680802</v>
      </c>
      <c r="W9" s="30">
        <f>2547762007</f>
        <v>2547762007</v>
      </c>
      <c r="X9" s="34">
        <f>21</f>
        <v>21</v>
      </c>
    </row>
    <row r="10" spans="1:24" x14ac:dyDescent="0.15">
      <c r="A10" s="25" t="s">
        <v>1237</v>
      </c>
      <c r="B10" s="25" t="s">
        <v>53</v>
      </c>
      <c r="C10" s="25" t="s">
        <v>54</v>
      </c>
      <c r="D10" s="25" t="s">
        <v>55</v>
      </c>
      <c r="E10" s="26" t="s">
        <v>45</v>
      </c>
      <c r="F10" s="27" t="s">
        <v>45</v>
      </c>
      <c r="G10" s="28" t="s">
        <v>45</v>
      </c>
      <c r="H10" s="29"/>
      <c r="I10" s="29" t="s">
        <v>46</v>
      </c>
      <c r="J10" s="30">
        <v>1</v>
      </c>
      <c r="K10" s="31">
        <f>38400</f>
        <v>38400</v>
      </c>
      <c r="L10" s="32" t="s">
        <v>995</v>
      </c>
      <c r="M10" s="31">
        <f>38760</f>
        <v>38760</v>
      </c>
      <c r="N10" s="32" t="s">
        <v>78</v>
      </c>
      <c r="O10" s="31">
        <f>35000</f>
        <v>35000</v>
      </c>
      <c r="P10" s="32" t="s">
        <v>794</v>
      </c>
      <c r="Q10" s="31">
        <f>36510</f>
        <v>36510</v>
      </c>
      <c r="R10" s="32" t="s">
        <v>1017</v>
      </c>
      <c r="S10" s="33">
        <f>36343.33</f>
        <v>36343.33</v>
      </c>
      <c r="T10" s="30">
        <f>12117</f>
        <v>12117</v>
      </c>
      <c r="U10" s="30" t="str">
        <f>"－"</f>
        <v>－</v>
      </c>
      <c r="V10" s="30">
        <f>439377530</f>
        <v>439377530</v>
      </c>
      <c r="W10" s="30" t="str">
        <f>"－"</f>
        <v>－</v>
      </c>
      <c r="X10" s="34">
        <f>21</f>
        <v>21</v>
      </c>
    </row>
    <row r="11" spans="1:24" x14ac:dyDescent="0.15">
      <c r="A11" s="25" t="s">
        <v>1237</v>
      </c>
      <c r="B11" s="25" t="s">
        <v>57</v>
      </c>
      <c r="C11" s="25" t="s">
        <v>58</v>
      </c>
      <c r="D11" s="25" t="s">
        <v>59</v>
      </c>
      <c r="E11" s="26" t="s">
        <v>45</v>
      </c>
      <c r="F11" s="27" t="s">
        <v>45</v>
      </c>
      <c r="G11" s="28" t="s">
        <v>45</v>
      </c>
      <c r="H11" s="29"/>
      <c r="I11" s="29" t="s">
        <v>46</v>
      </c>
      <c r="J11" s="30">
        <v>10</v>
      </c>
      <c r="K11" s="31">
        <f>1202.5</f>
        <v>1202.5</v>
      </c>
      <c r="L11" s="32" t="s">
        <v>995</v>
      </c>
      <c r="M11" s="31">
        <f>1205</f>
        <v>1205</v>
      </c>
      <c r="N11" s="32" t="s">
        <v>995</v>
      </c>
      <c r="O11" s="31">
        <f>1157</f>
        <v>1157</v>
      </c>
      <c r="P11" s="32" t="s">
        <v>788</v>
      </c>
      <c r="Q11" s="31">
        <f>1193.5</f>
        <v>1193.5</v>
      </c>
      <c r="R11" s="32" t="s">
        <v>1017</v>
      </c>
      <c r="S11" s="33">
        <f>1182.93</f>
        <v>1182.93</v>
      </c>
      <c r="T11" s="30">
        <f>111290</f>
        <v>111290</v>
      </c>
      <c r="U11" s="30" t="str">
        <f>"－"</f>
        <v>－</v>
      </c>
      <c r="V11" s="30">
        <f>131368410</f>
        <v>131368410</v>
      </c>
      <c r="W11" s="30" t="str">
        <f>"－"</f>
        <v>－</v>
      </c>
      <c r="X11" s="34">
        <f>21</f>
        <v>21</v>
      </c>
    </row>
    <row r="12" spans="1:24" x14ac:dyDescent="0.15">
      <c r="A12" s="25" t="s">
        <v>1237</v>
      </c>
      <c r="B12" s="25" t="s">
        <v>66</v>
      </c>
      <c r="C12" s="25" t="s">
        <v>67</v>
      </c>
      <c r="D12" s="25" t="s">
        <v>68</v>
      </c>
      <c r="E12" s="26" t="s">
        <v>45</v>
      </c>
      <c r="F12" s="27" t="s">
        <v>45</v>
      </c>
      <c r="G12" s="28" t="s">
        <v>45</v>
      </c>
      <c r="H12" s="29"/>
      <c r="I12" s="29" t="s">
        <v>46</v>
      </c>
      <c r="J12" s="30">
        <v>1000</v>
      </c>
      <c r="K12" s="31">
        <f>414.6</f>
        <v>414.6</v>
      </c>
      <c r="L12" s="32" t="s">
        <v>995</v>
      </c>
      <c r="M12" s="31">
        <f>438</f>
        <v>438</v>
      </c>
      <c r="N12" s="32" t="s">
        <v>998</v>
      </c>
      <c r="O12" s="31">
        <f>403.8</f>
        <v>403.8</v>
      </c>
      <c r="P12" s="32" t="s">
        <v>80</v>
      </c>
      <c r="Q12" s="31">
        <f>414.1</f>
        <v>414.1</v>
      </c>
      <c r="R12" s="32" t="s">
        <v>1017</v>
      </c>
      <c r="S12" s="33">
        <f>413.71</f>
        <v>413.71</v>
      </c>
      <c r="T12" s="30">
        <f>65000</f>
        <v>65000</v>
      </c>
      <c r="U12" s="30" t="str">
        <f>"－"</f>
        <v>－</v>
      </c>
      <c r="V12" s="30">
        <f>27227500</f>
        <v>27227500</v>
      </c>
      <c r="W12" s="30" t="str">
        <f>"－"</f>
        <v>－</v>
      </c>
      <c r="X12" s="34">
        <f>14</f>
        <v>14</v>
      </c>
    </row>
    <row r="13" spans="1:24" x14ac:dyDescent="0.15">
      <c r="A13" s="25" t="s">
        <v>1237</v>
      </c>
      <c r="B13" s="25" t="s">
        <v>69</v>
      </c>
      <c r="C13" s="25" t="s">
        <v>1035</v>
      </c>
      <c r="D13" s="25" t="s">
        <v>1036</v>
      </c>
      <c r="E13" s="26" t="s">
        <v>45</v>
      </c>
      <c r="F13" s="27" t="s">
        <v>45</v>
      </c>
      <c r="G13" s="28" t="s">
        <v>45</v>
      </c>
      <c r="H13" s="29"/>
      <c r="I13" s="29" t="s">
        <v>46</v>
      </c>
      <c r="J13" s="30">
        <v>1</v>
      </c>
      <c r="K13" s="31">
        <f>34620</f>
        <v>34620</v>
      </c>
      <c r="L13" s="32" t="s">
        <v>995</v>
      </c>
      <c r="M13" s="31">
        <f>34900</f>
        <v>34900</v>
      </c>
      <c r="N13" s="32" t="s">
        <v>80</v>
      </c>
      <c r="O13" s="31">
        <f>33240</f>
        <v>33240</v>
      </c>
      <c r="P13" s="32" t="s">
        <v>1000</v>
      </c>
      <c r="Q13" s="31">
        <f>34520</f>
        <v>34520</v>
      </c>
      <c r="R13" s="32" t="s">
        <v>1017</v>
      </c>
      <c r="S13" s="33">
        <f>34175.71</f>
        <v>34175.71</v>
      </c>
      <c r="T13" s="30">
        <f>937910</f>
        <v>937910</v>
      </c>
      <c r="U13" s="30">
        <f>73059</f>
        <v>73059</v>
      </c>
      <c r="V13" s="30">
        <f>32057566961</f>
        <v>32057566961</v>
      </c>
      <c r="W13" s="30">
        <f>2528045251</f>
        <v>2528045251</v>
      </c>
      <c r="X13" s="34">
        <f>21</f>
        <v>21</v>
      </c>
    </row>
    <row r="14" spans="1:24" x14ac:dyDescent="0.15">
      <c r="A14" s="25" t="s">
        <v>1237</v>
      </c>
      <c r="B14" s="25" t="s">
        <v>72</v>
      </c>
      <c r="C14" s="25" t="s">
        <v>73</v>
      </c>
      <c r="D14" s="25" t="s">
        <v>74</v>
      </c>
      <c r="E14" s="26" t="s">
        <v>45</v>
      </c>
      <c r="F14" s="27" t="s">
        <v>45</v>
      </c>
      <c r="G14" s="28" t="s">
        <v>45</v>
      </c>
      <c r="H14" s="29"/>
      <c r="I14" s="29" t="s">
        <v>46</v>
      </c>
      <c r="J14" s="30">
        <v>1</v>
      </c>
      <c r="K14" s="31">
        <f>34780</f>
        <v>34780</v>
      </c>
      <c r="L14" s="32" t="s">
        <v>995</v>
      </c>
      <c r="M14" s="31">
        <f>35030</f>
        <v>35030</v>
      </c>
      <c r="N14" s="32" t="s">
        <v>80</v>
      </c>
      <c r="O14" s="31">
        <f>33360</f>
        <v>33360</v>
      </c>
      <c r="P14" s="32" t="s">
        <v>1000</v>
      </c>
      <c r="Q14" s="31">
        <f>34660</f>
        <v>34660</v>
      </c>
      <c r="R14" s="32" t="s">
        <v>1017</v>
      </c>
      <c r="S14" s="33">
        <f>34294.29</f>
        <v>34294.29</v>
      </c>
      <c r="T14" s="30">
        <f>6364169</f>
        <v>6364169</v>
      </c>
      <c r="U14" s="30">
        <f>275996</f>
        <v>275996</v>
      </c>
      <c r="V14" s="30">
        <f>218281108771</f>
        <v>218281108771</v>
      </c>
      <c r="W14" s="30">
        <f>9525133371</f>
        <v>9525133371</v>
      </c>
      <c r="X14" s="34">
        <f>21</f>
        <v>21</v>
      </c>
    </row>
    <row r="15" spans="1:24" x14ac:dyDescent="0.15">
      <c r="A15" s="25" t="s">
        <v>1237</v>
      </c>
      <c r="B15" s="25" t="s">
        <v>75</v>
      </c>
      <c r="C15" s="25" t="s">
        <v>76</v>
      </c>
      <c r="D15" s="25" t="s">
        <v>77</v>
      </c>
      <c r="E15" s="26" t="s">
        <v>45</v>
      </c>
      <c r="F15" s="27" t="s">
        <v>45</v>
      </c>
      <c r="G15" s="28" t="s">
        <v>45</v>
      </c>
      <c r="H15" s="29"/>
      <c r="I15" s="29" t="s">
        <v>46</v>
      </c>
      <c r="J15" s="30">
        <v>10</v>
      </c>
      <c r="K15" s="31">
        <f>7487</f>
        <v>7487</v>
      </c>
      <c r="L15" s="32" t="s">
        <v>995</v>
      </c>
      <c r="M15" s="31">
        <f>7499</f>
        <v>7499</v>
      </c>
      <c r="N15" s="32" t="s">
        <v>995</v>
      </c>
      <c r="O15" s="31">
        <f>6602</f>
        <v>6602</v>
      </c>
      <c r="P15" s="32" t="s">
        <v>80</v>
      </c>
      <c r="Q15" s="31">
        <f>6960</f>
        <v>6960</v>
      </c>
      <c r="R15" s="32" t="s">
        <v>1017</v>
      </c>
      <c r="S15" s="33">
        <f>6973.57</f>
        <v>6973.57</v>
      </c>
      <c r="T15" s="30">
        <f>22460</f>
        <v>22460</v>
      </c>
      <c r="U15" s="30" t="str">
        <f>"－"</f>
        <v>－</v>
      </c>
      <c r="V15" s="30">
        <f>154151560</f>
        <v>154151560</v>
      </c>
      <c r="W15" s="30" t="str">
        <f>"－"</f>
        <v>－</v>
      </c>
      <c r="X15" s="34">
        <f>21</f>
        <v>21</v>
      </c>
    </row>
    <row r="16" spans="1:24" x14ac:dyDescent="0.15">
      <c r="A16" s="25" t="s">
        <v>1237</v>
      </c>
      <c r="B16" s="25" t="s">
        <v>79</v>
      </c>
      <c r="C16" s="25" t="s">
        <v>926</v>
      </c>
      <c r="D16" s="25" t="s">
        <v>927</v>
      </c>
      <c r="E16" s="26" t="s">
        <v>45</v>
      </c>
      <c r="F16" s="27" t="s">
        <v>45</v>
      </c>
      <c r="G16" s="28" t="s">
        <v>45</v>
      </c>
      <c r="H16" s="29"/>
      <c r="I16" s="29" t="s">
        <v>46</v>
      </c>
      <c r="J16" s="30">
        <v>100</v>
      </c>
      <c r="K16" s="31" t="str">
        <f>"－"</f>
        <v>－</v>
      </c>
      <c r="L16" s="32"/>
      <c r="M16" s="31" t="str">
        <f>"－"</f>
        <v>－</v>
      </c>
      <c r="N16" s="32"/>
      <c r="O16" s="31" t="str">
        <f>"－"</f>
        <v>－</v>
      </c>
      <c r="P16" s="32"/>
      <c r="Q16" s="31" t="str">
        <f>"－"</f>
        <v>－</v>
      </c>
      <c r="R16" s="32"/>
      <c r="S16" s="33" t="str">
        <f>"－"</f>
        <v>－</v>
      </c>
      <c r="T16" s="30" t="str">
        <f>"－"</f>
        <v>－</v>
      </c>
      <c r="U16" s="30" t="str">
        <f>"－"</f>
        <v>－</v>
      </c>
      <c r="V16" s="30" t="str">
        <f>"－"</f>
        <v>－</v>
      </c>
      <c r="W16" s="30" t="str">
        <f>"－"</f>
        <v>－</v>
      </c>
      <c r="X16" s="34" t="str">
        <f>"－"</f>
        <v>－</v>
      </c>
    </row>
    <row r="17" spans="1:24" x14ac:dyDescent="0.15">
      <c r="A17" s="25" t="s">
        <v>1237</v>
      </c>
      <c r="B17" s="25" t="s">
        <v>81</v>
      </c>
      <c r="C17" s="25" t="s">
        <v>82</v>
      </c>
      <c r="D17" s="25" t="s">
        <v>83</v>
      </c>
      <c r="E17" s="26" t="s">
        <v>45</v>
      </c>
      <c r="F17" s="27" t="s">
        <v>45</v>
      </c>
      <c r="G17" s="28" t="s">
        <v>45</v>
      </c>
      <c r="H17" s="29"/>
      <c r="I17" s="29" t="s">
        <v>46</v>
      </c>
      <c r="J17" s="30">
        <v>100</v>
      </c>
      <c r="K17" s="31">
        <f>244.8</f>
        <v>244.8</v>
      </c>
      <c r="L17" s="32" t="s">
        <v>995</v>
      </c>
      <c r="M17" s="31">
        <f>249.9</f>
        <v>249.9</v>
      </c>
      <c r="N17" s="32" t="s">
        <v>1017</v>
      </c>
      <c r="O17" s="31">
        <f>233.3</f>
        <v>233.3</v>
      </c>
      <c r="P17" s="32" t="s">
        <v>1000</v>
      </c>
      <c r="Q17" s="31">
        <f>248.9</f>
        <v>248.9</v>
      </c>
      <c r="R17" s="32" t="s">
        <v>1017</v>
      </c>
      <c r="S17" s="33">
        <f>242.12</f>
        <v>242.12</v>
      </c>
      <c r="T17" s="30">
        <f>798200</f>
        <v>798200</v>
      </c>
      <c r="U17" s="30">
        <f>1300</f>
        <v>1300</v>
      </c>
      <c r="V17" s="30">
        <f>194563690</f>
        <v>194563690</v>
      </c>
      <c r="W17" s="30">
        <f>317970</f>
        <v>317970</v>
      </c>
      <c r="X17" s="34">
        <f>21</f>
        <v>21</v>
      </c>
    </row>
    <row r="18" spans="1:24" x14ac:dyDescent="0.15">
      <c r="A18" s="25" t="s">
        <v>1237</v>
      </c>
      <c r="B18" s="25" t="s">
        <v>84</v>
      </c>
      <c r="C18" s="25" t="s">
        <v>85</v>
      </c>
      <c r="D18" s="25" t="s">
        <v>86</v>
      </c>
      <c r="E18" s="26" t="s">
        <v>45</v>
      </c>
      <c r="F18" s="27" t="s">
        <v>45</v>
      </c>
      <c r="G18" s="28" t="s">
        <v>45</v>
      </c>
      <c r="H18" s="29"/>
      <c r="I18" s="29" t="s">
        <v>46</v>
      </c>
      <c r="J18" s="30">
        <v>1</v>
      </c>
      <c r="K18" s="31">
        <f>27975</f>
        <v>27975</v>
      </c>
      <c r="L18" s="32" t="s">
        <v>995</v>
      </c>
      <c r="M18" s="31">
        <f>28685</f>
        <v>28685</v>
      </c>
      <c r="N18" s="32" t="s">
        <v>785</v>
      </c>
      <c r="O18" s="31">
        <f>26570</f>
        <v>26570</v>
      </c>
      <c r="P18" s="32" t="s">
        <v>1005</v>
      </c>
      <c r="Q18" s="31">
        <f>27185</f>
        <v>27185</v>
      </c>
      <c r="R18" s="32" t="s">
        <v>1017</v>
      </c>
      <c r="S18" s="33">
        <f>27199.29</f>
        <v>27199.29</v>
      </c>
      <c r="T18" s="30">
        <f>159322</f>
        <v>159322</v>
      </c>
      <c r="U18" s="30">
        <f>2</f>
        <v>2</v>
      </c>
      <c r="V18" s="30">
        <f>4342048065</f>
        <v>4342048065</v>
      </c>
      <c r="W18" s="30">
        <f>56000</f>
        <v>56000</v>
      </c>
      <c r="X18" s="34">
        <f>21</f>
        <v>21</v>
      </c>
    </row>
    <row r="19" spans="1:24" x14ac:dyDescent="0.15">
      <c r="A19" s="25" t="s">
        <v>1237</v>
      </c>
      <c r="B19" s="25" t="s">
        <v>87</v>
      </c>
      <c r="C19" s="25" t="s">
        <v>88</v>
      </c>
      <c r="D19" s="25" t="s">
        <v>89</v>
      </c>
      <c r="E19" s="26" t="s">
        <v>45</v>
      </c>
      <c r="F19" s="27" t="s">
        <v>45</v>
      </c>
      <c r="G19" s="28" t="s">
        <v>45</v>
      </c>
      <c r="H19" s="29"/>
      <c r="I19" s="29" t="s">
        <v>46</v>
      </c>
      <c r="J19" s="30">
        <v>10</v>
      </c>
      <c r="K19" s="31">
        <f>7434</f>
        <v>7434</v>
      </c>
      <c r="L19" s="32" t="s">
        <v>995</v>
      </c>
      <c r="M19" s="31">
        <f>7699</f>
        <v>7699</v>
      </c>
      <c r="N19" s="32" t="s">
        <v>785</v>
      </c>
      <c r="O19" s="31">
        <f>7070</f>
        <v>7070</v>
      </c>
      <c r="P19" s="32" t="s">
        <v>1005</v>
      </c>
      <c r="Q19" s="31">
        <f>7214</f>
        <v>7214</v>
      </c>
      <c r="R19" s="32" t="s">
        <v>1017</v>
      </c>
      <c r="S19" s="33">
        <f>7226.81</f>
        <v>7226.81</v>
      </c>
      <c r="T19" s="30">
        <f>259360</f>
        <v>259360</v>
      </c>
      <c r="U19" s="30">
        <f>42190</f>
        <v>42190</v>
      </c>
      <c r="V19" s="30">
        <f>1875220000</f>
        <v>1875220000</v>
      </c>
      <c r="W19" s="30">
        <f>301231570</f>
        <v>301231570</v>
      </c>
      <c r="X19" s="34">
        <f>21</f>
        <v>21</v>
      </c>
    </row>
    <row r="20" spans="1:24" x14ac:dyDescent="0.15">
      <c r="A20" s="25" t="s">
        <v>1237</v>
      </c>
      <c r="B20" s="25" t="s">
        <v>90</v>
      </c>
      <c r="C20" s="25" t="s">
        <v>91</v>
      </c>
      <c r="D20" s="25" t="s">
        <v>92</v>
      </c>
      <c r="E20" s="26" t="s">
        <v>45</v>
      </c>
      <c r="F20" s="27" t="s">
        <v>45</v>
      </c>
      <c r="G20" s="28" t="s">
        <v>45</v>
      </c>
      <c r="H20" s="29"/>
      <c r="I20" s="29" t="s">
        <v>46</v>
      </c>
      <c r="J20" s="30">
        <v>1</v>
      </c>
      <c r="K20" s="31">
        <f>34950</f>
        <v>34950</v>
      </c>
      <c r="L20" s="32" t="s">
        <v>995</v>
      </c>
      <c r="M20" s="31">
        <f>35200</f>
        <v>35200</v>
      </c>
      <c r="N20" s="32" t="s">
        <v>80</v>
      </c>
      <c r="O20" s="31">
        <f>33520</f>
        <v>33520</v>
      </c>
      <c r="P20" s="32" t="s">
        <v>1000</v>
      </c>
      <c r="Q20" s="31">
        <f>34810</f>
        <v>34810</v>
      </c>
      <c r="R20" s="32" t="s">
        <v>1017</v>
      </c>
      <c r="S20" s="33">
        <f>34463.81</f>
        <v>34463.81</v>
      </c>
      <c r="T20" s="30">
        <f>1692330</f>
        <v>1692330</v>
      </c>
      <c r="U20" s="30">
        <f>960843</f>
        <v>960843</v>
      </c>
      <c r="V20" s="30">
        <f>58421481668</f>
        <v>58421481668</v>
      </c>
      <c r="W20" s="30">
        <f>33210318408</f>
        <v>33210318408</v>
      </c>
      <c r="X20" s="34">
        <f>21</f>
        <v>21</v>
      </c>
    </row>
    <row r="21" spans="1:24" x14ac:dyDescent="0.15">
      <c r="A21" s="25" t="s">
        <v>1237</v>
      </c>
      <c r="B21" s="25" t="s">
        <v>93</v>
      </c>
      <c r="C21" s="25" t="s">
        <v>94</v>
      </c>
      <c r="D21" s="25" t="s">
        <v>95</v>
      </c>
      <c r="E21" s="26" t="s">
        <v>45</v>
      </c>
      <c r="F21" s="27" t="s">
        <v>45</v>
      </c>
      <c r="G21" s="28" t="s">
        <v>45</v>
      </c>
      <c r="H21" s="29"/>
      <c r="I21" s="29" t="s">
        <v>46</v>
      </c>
      <c r="J21" s="30">
        <v>1</v>
      </c>
      <c r="K21" s="31">
        <f>34800</f>
        <v>34800</v>
      </c>
      <c r="L21" s="32" t="s">
        <v>995</v>
      </c>
      <c r="M21" s="31">
        <f>35070</f>
        <v>35070</v>
      </c>
      <c r="N21" s="32" t="s">
        <v>80</v>
      </c>
      <c r="O21" s="31">
        <f>33390</f>
        <v>33390</v>
      </c>
      <c r="P21" s="32" t="s">
        <v>1000</v>
      </c>
      <c r="Q21" s="31">
        <f>34800</f>
        <v>34800</v>
      </c>
      <c r="R21" s="32" t="s">
        <v>1017</v>
      </c>
      <c r="S21" s="33">
        <f>34340.95</f>
        <v>34340.949999999997</v>
      </c>
      <c r="T21" s="30">
        <f>1197259</f>
        <v>1197259</v>
      </c>
      <c r="U21" s="30">
        <f>649622</f>
        <v>649622</v>
      </c>
      <c r="V21" s="30">
        <f>41242980085</f>
        <v>41242980085</v>
      </c>
      <c r="W21" s="30">
        <f>22417735675</f>
        <v>22417735675</v>
      </c>
      <c r="X21" s="34">
        <f>21</f>
        <v>21</v>
      </c>
    </row>
    <row r="22" spans="1:24" x14ac:dyDescent="0.15">
      <c r="A22" s="25" t="s">
        <v>1237</v>
      </c>
      <c r="B22" s="25" t="s">
        <v>96</v>
      </c>
      <c r="C22" s="25" t="s">
        <v>1113</v>
      </c>
      <c r="D22" s="25" t="s">
        <v>98</v>
      </c>
      <c r="E22" s="26" t="s">
        <v>45</v>
      </c>
      <c r="F22" s="27" t="s">
        <v>45</v>
      </c>
      <c r="G22" s="28" t="s">
        <v>45</v>
      </c>
      <c r="H22" s="29"/>
      <c r="I22" s="29" t="s">
        <v>46</v>
      </c>
      <c r="J22" s="30">
        <v>10</v>
      </c>
      <c r="K22" s="31">
        <f>1972</f>
        <v>1972</v>
      </c>
      <c r="L22" s="32" t="s">
        <v>995</v>
      </c>
      <c r="M22" s="31">
        <f>1975.5</f>
        <v>1975.5</v>
      </c>
      <c r="N22" s="32" t="s">
        <v>995</v>
      </c>
      <c r="O22" s="31">
        <f>1895</f>
        <v>1895</v>
      </c>
      <c r="P22" s="32" t="s">
        <v>786</v>
      </c>
      <c r="Q22" s="31">
        <f>1950.5</f>
        <v>1950.5</v>
      </c>
      <c r="R22" s="32" t="s">
        <v>1017</v>
      </c>
      <c r="S22" s="33">
        <f>1937.57</f>
        <v>1937.57</v>
      </c>
      <c r="T22" s="30">
        <f>11452650</f>
        <v>11452650</v>
      </c>
      <c r="U22" s="30">
        <f>4903580</f>
        <v>4903580</v>
      </c>
      <c r="V22" s="30">
        <f>22208884972</f>
        <v>22208884972</v>
      </c>
      <c r="W22" s="30">
        <f>9538700527</f>
        <v>9538700527</v>
      </c>
      <c r="X22" s="34">
        <f>21</f>
        <v>21</v>
      </c>
    </row>
    <row r="23" spans="1:24" x14ac:dyDescent="0.15">
      <c r="A23" s="25" t="s">
        <v>1237</v>
      </c>
      <c r="B23" s="25" t="s">
        <v>99</v>
      </c>
      <c r="C23" s="25" t="s">
        <v>100</v>
      </c>
      <c r="D23" s="25" t="s">
        <v>1114</v>
      </c>
      <c r="E23" s="26" t="s">
        <v>45</v>
      </c>
      <c r="F23" s="27" t="s">
        <v>45</v>
      </c>
      <c r="G23" s="28" t="s">
        <v>45</v>
      </c>
      <c r="H23" s="29"/>
      <c r="I23" s="29" t="s">
        <v>46</v>
      </c>
      <c r="J23" s="30">
        <v>100</v>
      </c>
      <c r="K23" s="31">
        <f>1863.5</f>
        <v>1863.5</v>
      </c>
      <c r="L23" s="32" t="s">
        <v>995</v>
      </c>
      <c r="M23" s="31">
        <f>1863.5</f>
        <v>1863.5</v>
      </c>
      <c r="N23" s="32" t="s">
        <v>995</v>
      </c>
      <c r="O23" s="31">
        <f>1787</f>
        <v>1787</v>
      </c>
      <c r="P23" s="32" t="s">
        <v>786</v>
      </c>
      <c r="Q23" s="31">
        <f>1840.5</f>
        <v>1840.5</v>
      </c>
      <c r="R23" s="32" t="s">
        <v>1017</v>
      </c>
      <c r="S23" s="33">
        <f>1827.26</f>
        <v>1827.26</v>
      </c>
      <c r="T23" s="30">
        <f>11334700</f>
        <v>11334700</v>
      </c>
      <c r="U23" s="30">
        <f>5745300</f>
        <v>5745300</v>
      </c>
      <c r="V23" s="30">
        <f>20631776916</f>
        <v>20631776916</v>
      </c>
      <c r="W23" s="30">
        <f>10485046066</f>
        <v>10485046066</v>
      </c>
      <c r="X23" s="34">
        <f>21</f>
        <v>21</v>
      </c>
    </row>
    <row r="24" spans="1:24" x14ac:dyDescent="0.15">
      <c r="A24" s="25" t="s">
        <v>1237</v>
      </c>
      <c r="B24" s="25" t="s">
        <v>102</v>
      </c>
      <c r="C24" s="25" t="s">
        <v>103</v>
      </c>
      <c r="D24" s="25" t="s">
        <v>1115</v>
      </c>
      <c r="E24" s="26" t="s">
        <v>45</v>
      </c>
      <c r="F24" s="27" t="s">
        <v>45</v>
      </c>
      <c r="G24" s="28" t="s">
        <v>45</v>
      </c>
      <c r="H24" s="29"/>
      <c r="I24" s="29" t="s">
        <v>46</v>
      </c>
      <c r="J24" s="30">
        <v>1</v>
      </c>
      <c r="K24" s="31">
        <f>34880</f>
        <v>34880</v>
      </c>
      <c r="L24" s="32" t="s">
        <v>995</v>
      </c>
      <c r="M24" s="31">
        <f>35130</f>
        <v>35130</v>
      </c>
      <c r="N24" s="32" t="s">
        <v>80</v>
      </c>
      <c r="O24" s="31">
        <f>33450</f>
        <v>33450</v>
      </c>
      <c r="P24" s="32" t="s">
        <v>1000</v>
      </c>
      <c r="Q24" s="31">
        <f>34760</f>
        <v>34760</v>
      </c>
      <c r="R24" s="32" t="s">
        <v>1017</v>
      </c>
      <c r="S24" s="33">
        <f>34397.14</f>
        <v>34397.14</v>
      </c>
      <c r="T24" s="30">
        <f>545000</f>
        <v>545000</v>
      </c>
      <c r="U24" s="30">
        <f>94586</f>
        <v>94586</v>
      </c>
      <c r="V24" s="30">
        <f>18752059787</f>
        <v>18752059787</v>
      </c>
      <c r="W24" s="30">
        <f>3238073977</f>
        <v>3238073977</v>
      </c>
      <c r="X24" s="34">
        <f>21</f>
        <v>21</v>
      </c>
    </row>
    <row r="25" spans="1:24" x14ac:dyDescent="0.15">
      <c r="A25" s="25" t="s">
        <v>1237</v>
      </c>
      <c r="B25" s="25" t="s">
        <v>105</v>
      </c>
      <c r="C25" s="25" t="s">
        <v>106</v>
      </c>
      <c r="D25" s="25" t="s">
        <v>107</v>
      </c>
      <c r="E25" s="26" t="s">
        <v>45</v>
      </c>
      <c r="F25" s="27" t="s">
        <v>45</v>
      </c>
      <c r="G25" s="28" t="s">
        <v>45</v>
      </c>
      <c r="H25" s="29"/>
      <c r="I25" s="29" t="s">
        <v>46</v>
      </c>
      <c r="J25" s="30">
        <v>10</v>
      </c>
      <c r="K25" s="31">
        <f>2490</f>
        <v>2490</v>
      </c>
      <c r="L25" s="32" t="s">
        <v>995</v>
      </c>
      <c r="M25" s="31">
        <f>2493.5</f>
        <v>2493.5</v>
      </c>
      <c r="N25" s="32" t="s">
        <v>78</v>
      </c>
      <c r="O25" s="31">
        <f>2394.5</f>
        <v>2394.5</v>
      </c>
      <c r="P25" s="32" t="s">
        <v>788</v>
      </c>
      <c r="Q25" s="31">
        <f>2470</f>
        <v>2470</v>
      </c>
      <c r="R25" s="32" t="s">
        <v>1017</v>
      </c>
      <c r="S25" s="33">
        <f>2452.43</f>
        <v>2452.4299999999998</v>
      </c>
      <c r="T25" s="30">
        <f>3435930</f>
        <v>3435930</v>
      </c>
      <c r="U25" s="30">
        <f>1348600</f>
        <v>1348600</v>
      </c>
      <c r="V25" s="30">
        <f>8408312650</f>
        <v>8408312650</v>
      </c>
      <c r="W25" s="30">
        <f>3302405165</f>
        <v>3302405165</v>
      </c>
      <c r="X25" s="34">
        <f>21</f>
        <v>21</v>
      </c>
    </row>
    <row r="26" spans="1:24" x14ac:dyDescent="0.15">
      <c r="A26" s="25" t="s">
        <v>1237</v>
      </c>
      <c r="B26" s="25" t="s">
        <v>108</v>
      </c>
      <c r="C26" s="25" t="s">
        <v>109</v>
      </c>
      <c r="D26" s="25" t="s">
        <v>110</v>
      </c>
      <c r="E26" s="26" t="s">
        <v>45</v>
      </c>
      <c r="F26" s="27" t="s">
        <v>45</v>
      </c>
      <c r="G26" s="28" t="s">
        <v>45</v>
      </c>
      <c r="H26" s="29"/>
      <c r="I26" s="29" t="s">
        <v>46</v>
      </c>
      <c r="J26" s="30">
        <v>1</v>
      </c>
      <c r="K26" s="31">
        <f>16065</f>
        <v>16065</v>
      </c>
      <c r="L26" s="32" t="s">
        <v>995</v>
      </c>
      <c r="M26" s="31">
        <f>16065</f>
        <v>16065</v>
      </c>
      <c r="N26" s="32" t="s">
        <v>995</v>
      </c>
      <c r="O26" s="31">
        <f>15265</f>
        <v>15265</v>
      </c>
      <c r="P26" s="32" t="s">
        <v>789</v>
      </c>
      <c r="Q26" s="31">
        <f>15455</f>
        <v>15455</v>
      </c>
      <c r="R26" s="32" t="s">
        <v>1017</v>
      </c>
      <c r="S26" s="33">
        <f>15586.67</f>
        <v>15586.67</v>
      </c>
      <c r="T26" s="30">
        <f>945</f>
        <v>945</v>
      </c>
      <c r="U26" s="30" t="str">
        <f>"－"</f>
        <v>－</v>
      </c>
      <c r="V26" s="30">
        <f>14644310</f>
        <v>14644310</v>
      </c>
      <c r="W26" s="30" t="str">
        <f>"－"</f>
        <v>－</v>
      </c>
      <c r="X26" s="34">
        <f>21</f>
        <v>21</v>
      </c>
    </row>
    <row r="27" spans="1:24" x14ac:dyDescent="0.15">
      <c r="A27" s="25" t="s">
        <v>1237</v>
      </c>
      <c r="B27" s="25" t="s">
        <v>111</v>
      </c>
      <c r="C27" s="25" t="s">
        <v>112</v>
      </c>
      <c r="D27" s="25" t="s">
        <v>113</v>
      </c>
      <c r="E27" s="26" t="s">
        <v>45</v>
      </c>
      <c r="F27" s="27" t="s">
        <v>45</v>
      </c>
      <c r="G27" s="28" t="s">
        <v>45</v>
      </c>
      <c r="H27" s="29"/>
      <c r="I27" s="29" t="s">
        <v>46</v>
      </c>
      <c r="J27" s="30">
        <v>10</v>
      </c>
      <c r="K27" s="31">
        <f>537</f>
        <v>537</v>
      </c>
      <c r="L27" s="32" t="s">
        <v>995</v>
      </c>
      <c r="M27" s="31">
        <f>578</f>
        <v>578</v>
      </c>
      <c r="N27" s="32" t="s">
        <v>788</v>
      </c>
      <c r="O27" s="31">
        <f>534.6</f>
        <v>534.6</v>
      </c>
      <c r="P27" s="32" t="s">
        <v>78</v>
      </c>
      <c r="Q27" s="31">
        <f>542.8</f>
        <v>542.79999999999995</v>
      </c>
      <c r="R27" s="32" t="s">
        <v>1017</v>
      </c>
      <c r="S27" s="33">
        <f>552.8</f>
        <v>552.79999999999995</v>
      </c>
      <c r="T27" s="30">
        <f>20728800</f>
        <v>20728800</v>
      </c>
      <c r="U27" s="30">
        <f>891000</f>
        <v>891000</v>
      </c>
      <c r="V27" s="30">
        <f>11507719878</f>
        <v>11507719878</v>
      </c>
      <c r="W27" s="30">
        <f>506969700</f>
        <v>506969700</v>
      </c>
      <c r="X27" s="34">
        <f>21</f>
        <v>21</v>
      </c>
    </row>
    <row r="28" spans="1:24" x14ac:dyDescent="0.15">
      <c r="A28" s="25" t="s">
        <v>1237</v>
      </c>
      <c r="B28" s="25" t="s">
        <v>114</v>
      </c>
      <c r="C28" s="25" t="s">
        <v>115</v>
      </c>
      <c r="D28" s="25" t="s">
        <v>1116</v>
      </c>
      <c r="E28" s="26" t="s">
        <v>45</v>
      </c>
      <c r="F28" s="27" t="s">
        <v>45</v>
      </c>
      <c r="G28" s="28" t="s">
        <v>45</v>
      </c>
      <c r="H28" s="29"/>
      <c r="I28" s="29" t="s">
        <v>46</v>
      </c>
      <c r="J28" s="30">
        <v>1</v>
      </c>
      <c r="K28" s="31">
        <f>210</f>
        <v>210</v>
      </c>
      <c r="L28" s="32" t="s">
        <v>995</v>
      </c>
      <c r="M28" s="31">
        <f>227</f>
        <v>227</v>
      </c>
      <c r="N28" s="32" t="s">
        <v>1000</v>
      </c>
      <c r="O28" s="31">
        <f>204</f>
        <v>204</v>
      </c>
      <c r="P28" s="32" t="s">
        <v>80</v>
      </c>
      <c r="Q28" s="31">
        <f>208</f>
        <v>208</v>
      </c>
      <c r="R28" s="32" t="s">
        <v>1017</v>
      </c>
      <c r="S28" s="33">
        <f>214.19</f>
        <v>214.19</v>
      </c>
      <c r="T28" s="30">
        <f>1105261035</f>
        <v>1105261035</v>
      </c>
      <c r="U28" s="30">
        <f>7202050</f>
        <v>7202050</v>
      </c>
      <c r="V28" s="30">
        <f>237036525811</f>
        <v>237036525811</v>
      </c>
      <c r="W28" s="30">
        <f>1526225066</f>
        <v>1526225066</v>
      </c>
      <c r="X28" s="34">
        <f>21</f>
        <v>21</v>
      </c>
    </row>
    <row r="29" spans="1:24" x14ac:dyDescent="0.15">
      <c r="A29" s="25" t="s">
        <v>1237</v>
      </c>
      <c r="B29" s="25" t="s">
        <v>117</v>
      </c>
      <c r="C29" s="25" t="s">
        <v>118</v>
      </c>
      <c r="D29" s="25" t="s">
        <v>119</v>
      </c>
      <c r="E29" s="26" t="s">
        <v>45</v>
      </c>
      <c r="F29" s="27" t="s">
        <v>45</v>
      </c>
      <c r="G29" s="28" t="s">
        <v>45</v>
      </c>
      <c r="H29" s="29"/>
      <c r="I29" s="29" t="s">
        <v>46</v>
      </c>
      <c r="J29" s="30">
        <v>1</v>
      </c>
      <c r="K29" s="31">
        <f>39480</f>
        <v>39480</v>
      </c>
      <c r="L29" s="32" t="s">
        <v>995</v>
      </c>
      <c r="M29" s="31">
        <f>39970</f>
        <v>39970</v>
      </c>
      <c r="N29" s="32" t="s">
        <v>80</v>
      </c>
      <c r="O29" s="31">
        <f>36270</f>
        <v>36270</v>
      </c>
      <c r="P29" s="32" t="s">
        <v>1000</v>
      </c>
      <c r="Q29" s="31">
        <f>39050</f>
        <v>39050</v>
      </c>
      <c r="R29" s="32" t="s">
        <v>1017</v>
      </c>
      <c r="S29" s="33">
        <f>38324.76</f>
        <v>38324.76</v>
      </c>
      <c r="T29" s="30">
        <f>369490</f>
        <v>369490</v>
      </c>
      <c r="U29" s="30">
        <f>7</f>
        <v>7</v>
      </c>
      <c r="V29" s="30">
        <f>14175488430</f>
        <v>14175488430</v>
      </c>
      <c r="W29" s="30">
        <f>272900</f>
        <v>272900</v>
      </c>
      <c r="X29" s="34">
        <f>21</f>
        <v>21</v>
      </c>
    </row>
    <row r="30" spans="1:24" x14ac:dyDescent="0.15">
      <c r="A30" s="25" t="s">
        <v>1237</v>
      </c>
      <c r="B30" s="25" t="s">
        <v>120</v>
      </c>
      <c r="C30" s="25" t="s">
        <v>121</v>
      </c>
      <c r="D30" s="25" t="s">
        <v>122</v>
      </c>
      <c r="E30" s="26" t="s">
        <v>45</v>
      </c>
      <c r="F30" s="27" t="s">
        <v>45</v>
      </c>
      <c r="G30" s="28" t="s">
        <v>45</v>
      </c>
      <c r="H30" s="29"/>
      <c r="I30" s="29" t="s">
        <v>46</v>
      </c>
      <c r="J30" s="30">
        <v>10</v>
      </c>
      <c r="K30" s="31">
        <f>511.9</f>
        <v>511.9</v>
      </c>
      <c r="L30" s="32" t="s">
        <v>995</v>
      </c>
      <c r="M30" s="31">
        <f>554.2</f>
        <v>554.20000000000005</v>
      </c>
      <c r="N30" s="32" t="s">
        <v>1000</v>
      </c>
      <c r="O30" s="31">
        <f>500.6</f>
        <v>500.6</v>
      </c>
      <c r="P30" s="32" t="s">
        <v>80</v>
      </c>
      <c r="Q30" s="31">
        <f>510.7</f>
        <v>510.7</v>
      </c>
      <c r="R30" s="32" t="s">
        <v>1017</v>
      </c>
      <c r="S30" s="33">
        <f>523.75</f>
        <v>523.75</v>
      </c>
      <c r="T30" s="30">
        <f>423718920</f>
        <v>423718920</v>
      </c>
      <c r="U30" s="30">
        <f>17680</f>
        <v>17680</v>
      </c>
      <c r="V30" s="30">
        <f>222618476408</f>
        <v>222618476408</v>
      </c>
      <c r="W30" s="30">
        <f>9106586</f>
        <v>9106586</v>
      </c>
      <c r="X30" s="34">
        <f>21</f>
        <v>21</v>
      </c>
    </row>
    <row r="31" spans="1:24" x14ac:dyDescent="0.15">
      <c r="A31" s="25" t="s">
        <v>1237</v>
      </c>
      <c r="B31" s="25" t="s">
        <v>123</v>
      </c>
      <c r="C31" s="25" t="s">
        <v>124</v>
      </c>
      <c r="D31" s="25" t="s">
        <v>125</v>
      </c>
      <c r="E31" s="26" t="s">
        <v>45</v>
      </c>
      <c r="F31" s="27" t="s">
        <v>45</v>
      </c>
      <c r="G31" s="28" t="s">
        <v>45</v>
      </c>
      <c r="H31" s="29"/>
      <c r="I31" s="29" t="s">
        <v>46</v>
      </c>
      <c r="J31" s="30">
        <v>1</v>
      </c>
      <c r="K31" s="31">
        <f>22120</f>
        <v>22120</v>
      </c>
      <c r="L31" s="32" t="s">
        <v>995</v>
      </c>
      <c r="M31" s="31">
        <f>22235</f>
        <v>22235</v>
      </c>
      <c r="N31" s="32" t="s">
        <v>1017</v>
      </c>
      <c r="O31" s="31">
        <f>21305</f>
        <v>21305</v>
      </c>
      <c r="P31" s="32" t="s">
        <v>788</v>
      </c>
      <c r="Q31" s="31">
        <f>22235</f>
        <v>22235</v>
      </c>
      <c r="R31" s="32" t="s">
        <v>1017</v>
      </c>
      <c r="S31" s="33">
        <f>21821.43</f>
        <v>21821.43</v>
      </c>
      <c r="T31" s="30">
        <f>21407</f>
        <v>21407</v>
      </c>
      <c r="U31" s="30">
        <f>8711</f>
        <v>8711</v>
      </c>
      <c r="V31" s="30">
        <f>467861698</f>
        <v>467861698</v>
      </c>
      <c r="W31" s="30">
        <f>189666463</f>
        <v>189666463</v>
      </c>
      <c r="X31" s="34">
        <f>21</f>
        <v>21</v>
      </c>
    </row>
    <row r="32" spans="1:24" x14ac:dyDescent="0.15">
      <c r="A32" s="25" t="s">
        <v>1237</v>
      </c>
      <c r="B32" s="25" t="s">
        <v>126</v>
      </c>
      <c r="C32" s="25" t="s">
        <v>1037</v>
      </c>
      <c r="D32" s="25" t="s">
        <v>1038</v>
      </c>
      <c r="E32" s="26" t="s">
        <v>45</v>
      </c>
      <c r="F32" s="27" t="s">
        <v>45</v>
      </c>
      <c r="G32" s="28" t="s">
        <v>45</v>
      </c>
      <c r="H32" s="29"/>
      <c r="I32" s="29" t="s">
        <v>46</v>
      </c>
      <c r="J32" s="30">
        <v>1</v>
      </c>
      <c r="K32" s="31">
        <f>32800</f>
        <v>32800</v>
      </c>
      <c r="L32" s="32" t="s">
        <v>995</v>
      </c>
      <c r="M32" s="31">
        <f>33200</f>
        <v>33200</v>
      </c>
      <c r="N32" s="32" t="s">
        <v>80</v>
      </c>
      <c r="O32" s="31">
        <f>30130</f>
        <v>30130</v>
      </c>
      <c r="P32" s="32" t="s">
        <v>1000</v>
      </c>
      <c r="Q32" s="31">
        <f>32450</f>
        <v>32450</v>
      </c>
      <c r="R32" s="32" t="s">
        <v>1017</v>
      </c>
      <c r="S32" s="33">
        <f>31836.19</f>
        <v>31836.19</v>
      </c>
      <c r="T32" s="30">
        <f>702641</f>
        <v>702641</v>
      </c>
      <c r="U32" s="30">
        <f>63</f>
        <v>63</v>
      </c>
      <c r="V32" s="30">
        <f>22370595930</f>
        <v>22370595930</v>
      </c>
      <c r="W32" s="30">
        <f>2046360</f>
        <v>2046360</v>
      </c>
      <c r="X32" s="34">
        <f>21</f>
        <v>21</v>
      </c>
    </row>
    <row r="33" spans="1:24" x14ac:dyDescent="0.15">
      <c r="A33" s="25" t="s">
        <v>1237</v>
      </c>
      <c r="B33" s="25" t="s">
        <v>129</v>
      </c>
      <c r="C33" s="25" t="s">
        <v>1039</v>
      </c>
      <c r="D33" s="25" t="s">
        <v>1040</v>
      </c>
      <c r="E33" s="26" t="s">
        <v>45</v>
      </c>
      <c r="F33" s="27" t="s">
        <v>45</v>
      </c>
      <c r="G33" s="28" t="s">
        <v>45</v>
      </c>
      <c r="H33" s="29"/>
      <c r="I33" s="29" t="s">
        <v>46</v>
      </c>
      <c r="J33" s="30">
        <v>1</v>
      </c>
      <c r="K33" s="31">
        <f>545</f>
        <v>545</v>
      </c>
      <c r="L33" s="32" t="s">
        <v>995</v>
      </c>
      <c r="M33" s="31">
        <f>590</f>
        <v>590</v>
      </c>
      <c r="N33" s="32" t="s">
        <v>1000</v>
      </c>
      <c r="O33" s="31">
        <f>532</f>
        <v>532</v>
      </c>
      <c r="P33" s="32" t="s">
        <v>80</v>
      </c>
      <c r="Q33" s="31">
        <f>544</f>
        <v>544</v>
      </c>
      <c r="R33" s="32" t="s">
        <v>1017</v>
      </c>
      <c r="S33" s="33">
        <f>556.48</f>
        <v>556.48</v>
      </c>
      <c r="T33" s="30">
        <f>34676945</f>
        <v>34676945</v>
      </c>
      <c r="U33" s="30">
        <f>5970</f>
        <v>5970</v>
      </c>
      <c r="V33" s="30">
        <f>19369838114</f>
        <v>19369838114</v>
      </c>
      <c r="W33" s="30">
        <f>3225801</f>
        <v>3225801</v>
      </c>
      <c r="X33" s="34">
        <f>21</f>
        <v>21</v>
      </c>
    </row>
    <row r="34" spans="1:24" x14ac:dyDescent="0.15">
      <c r="A34" s="25" t="s">
        <v>1237</v>
      </c>
      <c r="B34" s="25" t="s">
        <v>132</v>
      </c>
      <c r="C34" s="25" t="s">
        <v>1041</v>
      </c>
      <c r="D34" s="25" t="s">
        <v>1042</v>
      </c>
      <c r="E34" s="26" t="s">
        <v>45</v>
      </c>
      <c r="F34" s="27" t="s">
        <v>45</v>
      </c>
      <c r="G34" s="28" t="s">
        <v>45</v>
      </c>
      <c r="H34" s="29"/>
      <c r="I34" s="29" t="s">
        <v>46</v>
      </c>
      <c r="J34" s="30">
        <v>1</v>
      </c>
      <c r="K34" s="31">
        <f>28740</f>
        <v>28740</v>
      </c>
      <c r="L34" s="32" t="s">
        <v>995</v>
      </c>
      <c r="M34" s="31">
        <f>28810</f>
        <v>28810</v>
      </c>
      <c r="N34" s="32" t="s">
        <v>78</v>
      </c>
      <c r="O34" s="31">
        <f>26525</f>
        <v>26525</v>
      </c>
      <c r="P34" s="32" t="s">
        <v>788</v>
      </c>
      <c r="Q34" s="31">
        <f>28235</f>
        <v>28235</v>
      </c>
      <c r="R34" s="32" t="s">
        <v>1017</v>
      </c>
      <c r="S34" s="33">
        <f>27784.52</f>
        <v>27784.52</v>
      </c>
      <c r="T34" s="30">
        <f>145347</f>
        <v>145347</v>
      </c>
      <c r="U34" s="30" t="str">
        <f>"－"</f>
        <v>－</v>
      </c>
      <c r="V34" s="30">
        <f>4029177575</f>
        <v>4029177575</v>
      </c>
      <c r="W34" s="30" t="str">
        <f>"－"</f>
        <v>－</v>
      </c>
      <c r="X34" s="34">
        <f>21</f>
        <v>21</v>
      </c>
    </row>
    <row r="35" spans="1:24" x14ac:dyDescent="0.15">
      <c r="A35" s="25" t="s">
        <v>1237</v>
      </c>
      <c r="B35" s="25" t="s">
        <v>135</v>
      </c>
      <c r="C35" s="25" t="s">
        <v>1043</v>
      </c>
      <c r="D35" s="25" t="s">
        <v>1044</v>
      </c>
      <c r="E35" s="26" t="s">
        <v>45</v>
      </c>
      <c r="F35" s="27" t="s">
        <v>45</v>
      </c>
      <c r="G35" s="28" t="s">
        <v>45</v>
      </c>
      <c r="H35" s="29"/>
      <c r="I35" s="29" t="s">
        <v>46</v>
      </c>
      <c r="J35" s="30">
        <v>1</v>
      </c>
      <c r="K35" s="31">
        <f>780</f>
        <v>780</v>
      </c>
      <c r="L35" s="32" t="s">
        <v>995</v>
      </c>
      <c r="M35" s="31">
        <f>839</f>
        <v>839</v>
      </c>
      <c r="N35" s="32" t="s">
        <v>788</v>
      </c>
      <c r="O35" s="31">
        <f>776</f>
        <v>776</v>
      </c>
      <c r="P35" s="32" t="s">
        <v>78</v>
      </c>
      <c r="Q35" s="31">
        <f>785</f>
        <v>785</v>
      </c>
      <c r="R35" s="32" t="s">
        <v>1017</v>
      </c>
      <c r="S35" s="33">
        <f>801.9</f>
        <v>801.9</v>
      </c>
      <c r="T35" s="30">
        <f>1322401</f>
        <v>1322401</v>
      </c>
      <c r="U35" s="30" t="str">
        <f>"－"</f>
        <v>－</v>
      </c>
      <c r="V35" s="30">
        <f>1061156944</f>
        <v>1061156944</v>
      </c>
      <c r="W35" s="30" t="str">
        <f>"－"</f>
        <v>－</v>
      </c>
      <c r="X35" s="34">
        <f>21</f>
        <v>21</v>
      </c>
    </row>
    <row r="36" spans="1:24" x14ac:dyDescent="0.15">
      <c r="A36" s="25" t="s">
        <v>1237</v>
      </c>
      <c r="B36" s="25" t="s">
        <v>138</v>
      </c>
      <c r="C36" s="25" t="s">
        <v>139</v>
      </c>
      <c r="D36" s="25" t="s">
        <v>140</v>
      </c>
      <c r="E36" s="26" t="s">
        <v>45</v>
      </c>
      <c r="F36" s="27" t="s">
        <v>45</v>
      </c>
      <c r="G36" s="28" t="s">
        <v>45</v>
      </c>
      <c r="H36" s="29"/>
      <c r="I36" s="29" t="s">
        <v>46</v>
      </c>
      <c r="J36" s="30">
        <v>1</v>
      </c>
      <c r="K36" s="31">
        <f>33830</f>
        <v>33830</v>
      </c>
      <c r="L36" s="32" t="s">
        <v>995</v>
      </c>
      <c r="M36" s="31">
        <f>34100</f>
        <v>34100</v>
      </c>
      <c r="N36" s="32" t="s">
        <v>80</v>
      </c>
      <c r="O36" s="31">
        <f>32500</f>
        <v>32500</v>
      </c>
      <c r="P36" s="32" t="s">
        <v>1000</v>
      </c>
      <c r="Q36" s="31">
        <f>33710</f>
        <v>33710</v>
      </c>
      <c r="R36" s="32" t="s">
        <v>1017</v>
      </c>
      <c r="S36" s="33">
        <f>33379.52</f>
        <v>33379.519999999997</v>
      </c>
      <c r="T36" s="30">
        <f>190471</f>
        <v>190471</v>
      </c>
      <c r="U36" s="30">
        <f>20000</f>
        <v>20000</v>
      </c>
      <c r="V36" s="30">
        <f>6353570290</f>
        <v>6353570290</v>
      </c>
      <c r="W36" s="30">
        <f>678069000</f>
        <v>678069000</v>
      </c>
      <c r="X36" s="34">
        <f>21</f>
        <v>21</v>
      </c>
    </row>
    <row r="37" spans="1:24" x14ac:dyDescent="0.15">
      <c r="A37" s="25" t="s">
        <v>1237</v>
      </c>
      <c r="B37" s="25" t="s">
        <v>171</v>
      </c>
      <c r="C37" s="25" t="s">
        <v>172</v>
      </c>
      <c r="D37" s="25" t="s">
        <v>173</v>
      </c>
      <c r="E37" s="26" t="s">
        <v>45</v>
      </c>
      <c r="F37" s="27" t="s">
        <v>45</v>
      </c>
      <c r="G37" s="28" t="s">
        <v>45</v>
      </c>
      <c r="H37" s="29"/>
      <c r="I37" s="29" t="s">
        <v>46</v>
      </c>
      <c r="J37" s="30">
        <v>1</v>
      </c>
      <c r="K37" s="31">
        <f>33910</f>
        <v>33910</v>
      </c>
      <c r="L37" s="32" t="s">
        <v>995</v>
      </c>
      <c r="M37" s="31">
        <f>34120</f>
        <v>34120</v>
      </c>
      <c r="N37" s="32" t="s">
        <v>80</v>
      </c>
      <c r="O37" s="31">
        <f>32520</f>
        <v>32520</v>
      </c>
      <c r="P37" s="32" t="s">
        <v>1000</v>
      </c>
      <c r="Q37" s="31">
        <f>33760</f>
        <v>33760</v>
      </c>
      <c r="R37" s="32" t="s">
        <v>1017</v>
      </c>
      <c r="S37" s="33">
        <f>33423.81</f>
        <v>33423.81</v>
      </c>
      <c r="T37" s="30">
        <f>219290</f>
        <v>219290</v>
      </c>
      <c r="U37" s="30">
        <f>134924</f>
        <v>134924</v>
      </c>
      <c r="V37" s="30">
        <f>7384314189</f>
        <v>7384314189</v>
      </c>
      <c r="W37" s="30">
        <f>4578654849</f>
        <v>4578654849</v>
      </c>
      <c r="X37" s="34">
        <f>21</f>
        <v>21</v>
      </c>
    </row>
    <row r="38" spans="1:24" x14ac:dyDescent="0.15">
      <c r="A38" s="25" t="s">
        <v>1237</v>
      </c>
      <c r="B38" s="25" t="s">
        <v>174</v>
      </c>
      <c r="C38" s="25" t="s">
        <v>175</v>
      </c>
      <c r="D38" s="25" t="s">
        <v>176</v>
      </c>
      <c r="E38" s="26" t="s">
        <v>45</v>
      </c>
      <c r="F38" s="27" t="s">
        <v>45</v>
      </c>
      <c r="G38" s="28" t="s">
        <v>45</v>
      </c>
      <c r="H38" s="29"/>
      <c r="I38" s="29" t="s">
        <v>46</v>
      </c>
      <c r="J38" s="30">
        <v>10</v>
      </c>
      <c r="K38" s="31">
        <f>1890</f>
        <v>1890</v>
      </c>
      <c r="L38" s="32" t="s">
        <v>995</v>
      </c>
      <c r="M38" s="31">
        <f>1890</f>
        <v>1890</v>
      </c>
      <c r="N38" s="32" t="s">
        <v>995</v>
      </c>
      <c r="O38" s="31">
        <f>1804</f>
        <v>1804</v>
      </c>
      <c r="P38" s="32" t="s">
        <v>786</v>
      </c>
      <c r="Q38" s="31">
        <f>1856.5</f>
        <v>1856.5</v>
      </c>
      <c r="R38" s="32" t="s">
        <v>1017</v>
      </c>
      <c r="S38" s="33">
        <f>1843.62</f>
        <v>1843.62</v>
      </c>
      <c r="T38" s="30">
        <f>987370</f>
        <v>987370</v>
      </c>
      <c r="U38" s="30">
        <f>15360</f>
        <v>15360</v>
      </c>
      <c r="V38" s="30">
        <f>1833720380</f>
        <v>1833720380</v>
      </c>
      <c r="W38" s="30">
        <f>28466400</f>
        <v>28466400</v>
      </c>
      <c r="X38" s="34">
        <f>21</f>
        <v>21</v>
      </c>
    </row>
    <row r="39" spans="1:24" x14ac:dyDescent="0.15">
      <c r="A39" s="25" t="s">
        <v>1237</v>
      </c>
      <c r="B39" s="25" t="s">
        <v>177</v>
      </c>
      <c r="C39" s="25" t="s">
        <v>178</v>
      </c>
      <c r="D39" s="25" t="s">
        <v>179</v>
      </c>
      <c r="E39" s="26" t="s">
        <v>45</v>
      </c>
      <c r="F39" s="27" t="s">
        <v>45</v>
      </c>
      <c r="G39" s="28" t="s">
        <v>45</v>
      </c>
      <c r="H39" s="29"/>
      <c r="I39" s="29" t="s">
        <v>46</v>
      </c>
      <c r="J39" s="30">
        <v>10</v>
      </c>
      <c r="K39" s="31">
        <f>1986.5</f>
        <v>1986.5</v>
      </c>
      <c r="L39" s="32" t="s">
        <v>995</v>
      </c>
      <c r="M39" s="31">
        <f>2177.5</f>
        <v>2177.5</v>
      </c>
      <c r="N39" s="32" t="s">
        <v>255</v>
      </c>
      <c r="O39" s="31">
        <f>1919</f>
        <v>1919</v>
      </c>
      <c r="P39" s="32" t="s">
        <v>1002</v>
      </c>
      <c r="Q39" s="31">
        <f>2078</f>
        <v>2078</v>
      </c>
      <c r="R39" s="32" t="s">
        <v>1017</v>
      </c>
      <c r="S39" s="33">
        <f>2000.53</f>
        <v>2000.53</v>
      </c>
      <c r="T39" s="30">
        <f>14140</f>
        <v>14140</v>
      </c>
      <c r="U39" s="30" t="str">
        <f>"－"</f>
        <v>－</v>
      </c>
      <c r="V39" s="30">
        <f>28057675</f>
        <v>28057675</v>
      </c>
      <c r="W39" s="30" t="str">
        <f>"－"</f>
        <v>－</v>
      </c>
      <c r="X39" s="34">
        <f>19</f>
        <v>19</v>
      </c>
    </row>
    <row r="40" spans="1:24" x14ac:dyDescent="0.15">
      <c r="A40" s="25" t="s">
        <v>1237</v>
      </c>
      <c r="B40" s="25" t="s">
        <v>180</v>
      </c>
      <c r="C40" s="25" t="s">
        <v>1045</v>
      </c>
      <c r="D40" s="25" t="s">
        <v>1046</v>
      </c>
      <c r="E40" s="26" t="s">
        <v>45</v>
      </c>
      <c r="F40" s="27" t="s">
        <v>45</v>
      </c>
      <c r="G40" s="28" t="s">
        <v>45</v>
      </c>
      <c r="H40" s="29"/>
      <c r="I40" s="29" t="s">
        <v>46</v>
      </c>
      <c r="J40" s="30">
        <v>1</v>
      </c>
      <c r="K40" s="31">
        <f>3180</f>
        <v>3180</v>
      </c>
      <c r="L40" s="32" t="s">
        <v>995</v>
      </c>
      <c r="M40" s="31">
        <f>3315</f>
        <v>3315</v>
      </c>
      <c r="N40" s="32" t="s">
        <v>1000</v>
      </c>
      <c r="O40" s="31">
        <f>3150</f>
        <v>3150</v>
      </c>
      <c r="P40" s="32" t="s">
        <v>80</v>
      </c>
      <c r="Q40" s="31">
        <f>3180</f>
        <v>3180</v>
      </c>
      <c r="R40" s="32" t="s">
        <v>1017</v>
      </c>
      <c r="S40" s="33">
        <f>3222.14</f>
        <v>3222.14</v>
      </c>
      <c r="T40" s="30">
        <f>989026</f>
        <v>989026</v>
      </c>
      <c r="U40" s="30">
        <f>40000</f>
        <v>40000</v>
      </c>
      <c r="V40" s="30">
        <f>3195410450</f>
        <v>3195410450</v>
      </c>
      <c r="W40" s="30">
        <f>132192000</f>
        <v>132192000</v>
      </c>
      <c r="X40" s="34">
        <f>21</f>
        <v>21</v>
      </c>
    </row>
    <row r="41" spans="1:24" x14ac:dyDescent="0.15">
      <c r="A41" s="25" t="s">
        <v>1237</v>
      </c>
      <c r="B41" s="25" t="s">
        <v>183</v>
      </c>
      <c r="C41" s="25" t="s">
        <v>1047</v>
      </c>
      <c r="D41" s="25" t="s">
        <v>1048</v>
      </c>
      <c r="E41" s="26" t="s">
        <v>45</v>
      </c>
      <c r="F41" s="27" t="s">
        <v>45</v>
      </c>
      <c r="G41" s="28" t="s">
        <v>45</v>
      </c>
      <c r="H41" s="29"/>
      <c r="I41" s="29" t="s">
        <v>46</v>
      </c>
      <c r="J41" s="30">
        <v>1</v>
      </c>
      <c r="K41" s="31">
        <f>3730</f>
        <v>3730</v>
      </c>
      <c r="L41" s="32" t="s">
        <v>995</v>
      </c>
      <c r="M41" s="31">
        <f>3870</f>
        <v>3870</v>
      </c>
      <c r="N41" s="32" t="s">
        <v>788</v>
      </c>
      <c r="O41" s="31">
        <f>3720</f>
        <v>3720</v>
      </c>
      <c r="P41" s="32" t="s">
        <v>78</v>
      </c>
      <c r="Q41" s="31">
        <f>3765</f>
        <v>3765</v>
      </c>
      <c r="R41" s="32" t="s">
        <v>1017</v>
      </c>
      <c r="S41" s="33">
        <f>3783.33</f>
        <v>3783.33</v>
      </c>
      <c r="T41" s="30">
        <f>259353</f>
        <v>259353</v>
      </c>
      <c r="U41" s="30">
        <f>38000</f>
        <v>38000</v>
      </c>
      <c r="V41" s="30">
        <f>987086175</f>
        <v>987086175</v>
      </c>
      <c r="W41" s="30">
        <f>143553600</f>
        <v>143553600</v>
      </c>
      <c r="X41" s="34">
        <f>21</f>
        <v>21</v>
      </c>
    </row>
    <row r="42" spans="1:24" x14ac:dyDescent="0.15">
      <c r="A42" s="25" t="s">
        <v>1237</v>
      </c>
      <c r="B42" s="25" t="s">
        <v>186</v>
      </c>
      <c r="C42" s="25" t="s">
        <v>187</v>
      </c>
      <c r="D42" s="25" t="s">
        <v>188</v>
      </c>
      <c r="E42" s="26" t="s">
        <v>45</v>
      </c>
      <c r="F42" s="27" t="s">
        <v>45</v>
      </c>
      <c r="G42" s="28" t="s">
        <v>45</v>
      </c>
      <c r="H42" s="29"/>
      <c r="I42" s="29" t="s">
        <v>46</v>
      </c>
      <c r="J42" s="30">
        <v>1</v>
      </c>
      <c r="K42" s="31">
        <f>24985</f>
        <v>24985</v>
      </c>
      <c r="L42" s="32" t="s">
        <v>995</v>
      </c>
      <c r="M42" s="31">
        <f>25315</f>
        <v>25315</v>
      </c>
      <c r="N42" s="32" t="s">
        <v>80</v>
      </c>
      <c r="O42" s="31">
        <f>22960</f>
        <v>22960</v>
      </c>
      <c r="P42" s="32" t="s">
        <v>1000</v>
      </c>
      <c r="Q42" s="31">
        <f>24745</f>
        <v>24745</v>
      </c>
      <c r="R42" s="32" t="s">
        <v>1017</v>
      </c>
      <c r="S42" s="33">
        <f>24276.67</f>
        <v>24276.67</v>
      </c>
      <c r="T42" s="30">
        <f>8968921</f>
        <v>8968921</v>
      </c>
      <c r="U42" s="30">
        <f>98</f>
        <v>98</v>
      </c>
      <c r="V42" s="30">
        <f>217943263150</f>
        <v>217943263150</v>
      </c>
      <c r="W42" s="30">
        <f>2436920</f>
        <v>2436920</v>
      </c>
      <c r="X42" s="34">
        <f>21</f>
        <v>21</v>
      </c>
    </row>
    <row r="43" spans="1:24" x14ac:dyDescent="0.15">
      <c r="A43" s="25" t="s">
        <v>1237</v>
      </c>
      <c r="B43" s="25" t="s">
        <v>189</v>
      </c>
      <c r="C43" s="25" t="s">
        <v>190</v>
      </c>
      <c r="D43" s="25" t="s">
        <v>191</v>
      </c>
      <c r="E43" s="26" t="s">
        <v>45</v>
      </c>
      <c r="F43" s="27" t="s">
        <v>45</v>
      </c>
      <c r="G43" s="28" t="s">
        <v>45</v>
      </c>
      <c r="H43" s="29"/>
      <c r="I43" s="29" t="s">
        <v>46</v>
      </c>
      <c r="J43" s="30">
        <v>1</v>
      </c>
      <c r="K43" s="31">
        <f>843</f>
        <v>843</v>
      </c>
      <c r="L43" s="32" t="s">
        <v>995</v>
      </c>
      <c r="M43" s="31">
        <f>913</f>
        <v>913</v>
      </c>
      <c r="N43" s="32" t="s">
        <v>1000</v>
      </c>
      <c r="O43" s="31">
        <f>825</f>
        <v>825</v>
      </c>
      <c r="P43" s="32" t="s">
        <v>80</v>
      </c>
      <c r="Q43" s="31">
        <f>842</f>
        <v>842</v>
      </c>
      <c r="R43" s="32" t="s">
        <v>1017</v>
      </c>
      <c r="S43" s="33">
        <f>863.1</f>
        <v>863.1</v>
      </c>
      <c r="T43" s="30">
        <f>215532414</f>
        <v>215532414</v>
      </c>
      <c r="U43" s="30">
        <f>363753</f>
        <v>363753</v>
      </c>
      <c r="V43" s="30">
        <f>186597112403</f>
        <v>186597112403</v>
      </c>
      <c r="W43" s="30">
        <f>314474307</f>
        <v>314474307</v>
      </c>
      <c r="X43" s="34">
        <f>21</f>
        <v>21</v>
      </c>
    </row>
    <row r="44" spans="1:24" x14ac:dyDescent="0.15">
      <c r="A44" s="25" t="s">
        <v>1237</v>
      </c>
      <c r="B44" s="25" t="s">
        <v>192</v>
      </c>
      <c r="C44" s="25" t="s">
        <v>1049</v>
      </c>
      <c r="D44" s="25" t="s">
        <v>1050</v>
      </c>
      <c r="E44" s="26" t="s">
        <v>45</v>
      </c>
      <c r="F44" s="27" t="s">
        <v>45</v>
      </c>
      <c r="G44" s="28" t="s">
        <v>45</v>
      </c>
      <c r="H44" s="29"/>
      <c r="I44" s="29" t="s">
        <v>46</v>
      </c>
      <c r="J44" s="30">
        <v>1</v>
      </c>
      <c r="K44" s="31">
        <f>22830</f>
        <v>22830</v>
      </c>
      <c r="L44" s="32" t="s">
        <v>995</v>
      </c>
      <c r="M44" s="31">
        <f>23000</f>
        <v>23000</v>
      </c>
      <c r="N44" s="32" t="s">
        <v>78</v>
      </c>
      <c r="O44" s="31">
        <f>21230</f>
        <v>21230</v>
      </c>
      <c r="P44" s="32" t="s">
        <v>788</v>
      </c>
      <c r="Q44" s="31">
        <f>22600</f>
        <v>22600</v>
      </c>
      <c r="R44" s="32" t="s">
        <v>1017</v>
      </c>
      <c r="S44" s="33">
        <f>22222.86</f>
        <v>22222.86</v>
      </c>
      <c r="T44" s="30">
        <f>2224</f>
        <v>2224</v>
      </c>
      <c r="U44" s="30" t="str">
        <f>"－"</f>
        <v>－</v>
      </c>
      <c r="V44" s="30">
        <f>49446960</f>
        <v>49446960</v>
      </c>
      <c r="W44" s="30" t="str">
        <f>"－"</f>
        <v>－</v>
      </c>
      <c r="X44" s="34">
        <f>21</f>
        <v>21</v>
      </c>
    </row>
    <row r="45" spans="1:24" x14ac:dyDescent="0.15">
      <c r="A45" s="25" t="s">
        <v>1237</v>
      </c>
      <c r="B45" s="25" t="s">
        <v>195</v>
      </c>
      <c r="C45" s="25" t="s">
        <v>1051</v>
      </c>
      <c r="D45" s="25" t="s">
        <v>1052</v>
      </c>
      <c r="E45" s="26" t="s">
        <v>45</v>
      </c>
      <c r="F45" s="27" t="s">
        <v>45</v>
      </c>
      <c r="G45" s="28" t="s">
        <v>45</v>
      </c>
      <c r="H45" s="29"/>
      <c r="I45" s="29" t="s">
        <v>46</v>
      </c>
      <c r="J45" s="30">
        <v>1</v>
      </c>
      <c r="K45" s="31">
        <f>3630</f>
        <v>3630</v>
      </c>
      <c r="L45" s="32" t="s">
        <v>995</v>
      </c>
      <c r="M45" s="31">
        <f>3675</f>
        <v>3675</v>
      </c>
      <c r="N45" s="32" t="s">
        <v>790</v>
      </c>
      <c r="O45" s="31">
        <f>3580</f>
        <v>3580</v>
      </c>
      <c r="P45" s="32" t="s">
        <v>255</v>
      </c>
      <c r="Q45" s="31">
        <f>3595</f>
        <v>3595</v>
      </c>
      <c r="R45" s="32" t="s">
        <v>997</v>
      </c>
      <c r="S45" s="33">
        <f>3615</f>
        <v>3615</v>
      </c>
      <c r="T45" s="30">
        <f>295</f>
        <v>295</v>
      </c>
      <c r="U45" s="30" t="str">
        <f>"－"</f>
        <v>－</v>
      </c>
      <c r="V45" s="30">
        <f>1068930</f>
        <v>1068930</v>
      </c>
      <c r="W45" s="30" t="str">
        <f>"－"</f>
        <v>－</v>
      </c>
      <c r="X45" s="34">
        <f>7</f>
        <v>7</v>
      </c>
    </row>
    <row r="46" spans="1:24" x14ac:dyDescent="0.15">
      <c r="A46" s="25" t="s">
        <v>1237</v>
      </c>
      <c r="B46" s="25" t="s">
        <v>198</v>
      </c>
      <c r="C46" s="25" t="s">
        <v>1053</v>
      </c>
      <c r="D46" s="25" t="s">
        <v>1054</v>
      </c>
      <c r="E46" s="26" t="s">
        <v>45</v>
      </c>
      <c r="F46" s="27" t="s">
        <v>45</v>
      </c>
      <c r="G46" s="28" t="s">
        <v>45</v>
      </c>
      <c r="H46" s="29"/>
      <c r="I46" s="29" t="s">
        <v>46</v>
      </c>
      <c r="J46" s="30">
        <v>1</v>
      </c>
      <c r="K46" s="31">
        <f>1001</f>
        <v>1001</v>
      </c>
      <c r="L46" s="32" t="s">
        <v>995</v>
      </c>
      <c r="M46" s="31">
        <f>1069</f>
        <v>1069</v>
      </c>
      <c r="N46" s="32" t="s">
        <v>790</v>
      </c>
      <c r="O46" s="31">
        <f>989</f>
        <v>989</v>
      </c>
      <c r="P46" s="32" t="s">
        <v>995</v>
      </c>
      <c r="Q46" s="31">
        <f>1002</f>
        <v>1002</v>
      </c>
      <c r="R46" s="32" t="s">
        <v>1017</v>
      </c>
      <c r="S46" s="33">
        <f>1027.1</f>
        <v>1027.0999999999999</v>
      </c>
      <c r="T46" s="30">
        <f>19022</f>
        <v>19022</v>
      </c>
      <c r="U46" s="30" t="str">
        <f>"－"</f>
        <v>－</v>
      </c>
      <c r="V46" s="30">
        <f>19489136</f>
        <v>19489136</v>
      </c>
      <c r="W46" s="30" t="str">
        <f>"－"</f>
        <v>－</v>
      </c>
      <c r="X46" s="34">
        <f>21</f>
        <v>21</v>
      </c>
    </row>
    <row r="47" spans="1:24" x14ac:dyDescent="0.15">
      <c r="A47" s="25" t="s">
        <v>1237</v>
      </c>
      <c r="B47" s="25" t="s">
        <v>207</v>
      </c>
      <c r="C47" s="25" t="s">
        <v>208</v>
      </c>
      <c r="D47" s="25" t="s">
        <v>209</v>
      </c>
      <c r="E47" s="26" t="s">
        <v>45</v>
      </c>
      <c r="F47" s="27" t="s">
        <v>45</v>
      </c>
      <c r="G47" s="28" t="s">
        <v>45</v>
      </c>
      <c r="H47" s="29"/>
      <c r="I47" s="29" t="s">
        <v>46</v>
      </c>
      <c r="J47" s="30">
        <v>10</v>
      </c>
      <c r="K47" s="31">
        <f>984</f>
        <v>984</v>
      </c>
      <c r="L47" s="32" t="s">
        <v>995</v>
      </c>
      <c r="M47" s="31">
        <f>1053</f>
        <v>1053</v>
      </c>
      <c r="N47" s="32" t="s">
        <v>788</v>
      </c>
      <c r="O47" s="31">
        <f>975</f>
        <v>975</v>
      </c>
      <c r="P47" s="32" t="s">
        <v>1000</v>
      </c>
      <c r="Q47" s="31">
        <f>991</f>
        <v>991</v>
      </c>
      <c r="R47" s="32" t="s">
        <v>1017</v>
      </c>
      <c r="S47" s="33">
        <f>1003.8</f>
        <v>1003.8</v>
      </c>
      <c r="T47" s="30">
        <f>129950</f>
        <v>129950</v>
      </c>
      <c r="U47" s="30" t="str">
        <f>"－"</f>
        <v>－</v>
      </c>
      <c r="V47" s="30">
        <f>131546873</f>
        <v>131546873</v>
      </c>
      <c r="W47" s="30" t="str">
        <f>"－"</f>
        <v>－</v>
      </c>
      <c r="X47" s="34">
        <f>21</f>
        <v>21</v>
      </c>
    </row>
    <row r="48" spans="1:24" x14ac:dyDescent="0.15">
      <c r="A48" s="25" t="s">
        <v>1237</v>
      </c>
      <c r="B48" s="25" t="s">
        <v>210</v>
      </c>
      <c r="C48" s="25" t="s">
        <v>211</v>
      </c>
      <c r="D48" s="25" t="s">
        <v>212</v>
      </c>
      <c r="E48" s="26" t="s">
        <v>45</v>
      </c>
      <c r="F48" s="27" t="s">
        <v>45</v>
      </c>
      <c r="G48" s="28" t="s">
        <v>45</v>
      </c>
      <c r="H48" s="29"/>
      <c r="I48" s="29" t="s">
        <v>46</v>
      </c>
      <c r="J48" s="30">
        <v>1</v>
      </c>
      <c r="K48" s="31">
        <f>402</f>
        <v>402</v>
      </c>
      <c r="L48" s="32" t="s">
        <v>995</v>
      </c>
      <c r="M48" s="31">
        <f>429</f>
        <v>429</v>
      </c>
      <c r="N48" s="32" t="s">
        <v>788</v>
      </c>
      <c r="O48" s="31">
        <f>396</f>
        <v>396</v>
      </c>
      <c r="P48" s="32" t="s">
        <v>784</v>
      </c>
      <c r="Q48" s="31">
        <f>406</f>
        <v>406</v>
      </c>
      <c r="R48" s="32" t="s">
        <v>1017</v>
      </c>
      <c r="S48" s="33">
        <f>410.1</f>
        <v>410.1</v>
      </c>
      <c r="T48" s="30">
        <f>33266</f>
        <v>33266</v>
      </c>
      <c r="U48" s="30" t="str">
        <f>"－"</f>
        <v>－</v>
      </c>
      <c r="V48" s="30">
        <f>13661555</f>
        <v>13661555</v>
      </c>
      <c r="W48" s="30" t="str">
        <f>"－"</f>
        <v>－</v>
      </c>
      <c r="X48" s="34">
        <f>21</f>
        <v>21</v>
      </c>
    </row>
    <row r="49" spans="1:24" x14ac:dyDescent="0.15">
      <c r="A49" s="25" t="s">
        <v>1237</v>
      </c>
      <c r="B49" s="25" t="s">
        <v>213</v>
      </c>
      <c r="C49" s="25" t="s">
        <v>214</v>
      </c>
      <c r="D49" s="25" t="s">
        <v>215</v>
      </c>
      <c r="E49" s="26" t="s">
        <v>45</v>
      </c>
      <c r="F49" s="27" t="s">
        <v>45</v>
      </c>
      <c r="G49" s="28" t="s">
        <v>45</v>
      </c>
      <c r="H49" s="29"/>
      <c r="I49" s="29" t="s">
        <v>46</v>
      </c>
      <c r="J49" s="30">
        <v>10</v>
      </c>
      <c r="K49" s="31">
        <f>2434</f>
        <v>2434</v>
      </c>
      <c r="L49" s="32" t="s">
        <v>995</v>
      </c>
      <c r="M49" s="31">
        <f>2449.5</f>
        <v>2449.5</v>
      </c>
      <c r="N49" s="32" t="s">
        <v>1017</v>
      </c>
      <c r="O49" s="31">
        <f>2348</f>
        <v>2348</v>
      </c>
      <c r="P49" s="32" t="s">
        <v>788</v>
      </c>
      <c r="Q49" s="31">
        <f>2421.5</f>
        <v>2421.5</v>
      </c>
      <c r="R49" s="32" t="s">
        <v>1017</v>
      </c>
      <c r="S49" s="33">
        <f>2404.48</f>
        <v>2404.48</v>
      </c>
      <c r="T49" s="30">
        <f>693660</f>
        <v>693660</v>
      </c>
      <c r="U49" s="30">
        <f>30100</f>
        <v>30100</v>
      </c>
      <c r="V49" s="30">
        <f>1659819975</f>
        <v>1659819975</v>
      </c>
      <c r="W49" s="30">
        <f>73867680</f>
        <v>73867680</v>
      </c>
      <c r="X49" s="34">
        <f>21</f>
        <v>21</v>
      </c>
    </row>
    <row r="50" spans="1:24" x14ac:dyDescent="0.15">
      <c r="A50" s="25" t="s">
        <v>1237</v>
      </c>
      <c r="B50" s="25" t="s">
        <v>216</v>
      </c>
      <c r="C50" s="25" t="s">
        <v>217</v>
      </c>
      <c r="D50" s="25" t="s">
        <v>218</v>
      </c>
      <c r="E50" s="26" t="s">
        <v>45</v>
      </c>
      <c r="F50" s="27" t="s">
        <v>45</v>
      </c>
      <c r="G50" s="28" t="s">
        <v>45</v>
      </c>
      <c r="H50" s="29"/>
      <c r="I50" s="29" t="s">
        <v>46</v>
      </c>
      <c r="J50" s="30">
        <v>1</v>
      </c>
      <c r="K50" s="31">
        <f>21910</f>
        <v>21910</v>
      </c>
      <c r="L50" s="32" t="s">
        <v>995</v>
      </c>
      <c r="M50" s="31">
        <f>21910</f>
        <v>21910</v>
      </c>
      <c r="N50" s="32" t="s">
        <v>995</v>
      </c>
      <c r="O50" s="31">
        <f>21080</f>
        <v>21080</v>
      </c>
      <c r="P50" s="32" t="s">
        <v>788</v>
      </c>
      <c r="Q50" s="31">
        <f>21690</f>
        <v>21690</v>
      </c>
      <c r="R50" s="32" t="s">
        <v>1017</v>
      </c>
      <c r="S50" s="33">
        <f>21565.95</f>
        <v>21565.95</v>
      </c>
      <c r="T50" s="30">
        <f>30719</f>
        <v>30719</v>
      </c>
      <c r="U50" s="30">
        <f>6041</f>
        <v>6041</v>
      </c>
      <c r="V50" s="30">
        <f>658700332</f>
        <v>658700332</v>
      </c>
      <c r="W50" s="30">
        <f>130067562</f>
        <v>130067562</v>
      </c>
      <c r="X50" s="34">
        <f>21</f>
        <v>21</v>
      </c>
    </row>
    <row r="51" spans="1:24" x14ac:dyDescent="0.15">
      <c r="A51" s="25" t="s">
        <v>1237</v>
      </c>
      <c r="B51" s="25" t="s">
        <v>219</v>
      </c>
      <c r="C51" s="25" t="s">
        <v>220</v>
      </c>
      <c r="D51" s="25" t="s">
        <v>221</v>
      </c>
      <c r="E51" s="26" t="s">
        <v>45</v>
      </c>
      <c r="F51" s="27" t="s">
        <v>45</v>
      </c>
      <c r="G51" s="28" t="s">
        <v>45</v>
      </c>
      <c r="H51" s="29"/>
      <c r="I51" s="29" t="s">
        <v>46</v>
      </c>
      <c r="J51" s="30">
        <v>1</v>
      </c>
      <c r="K51" s="31">
        <f>2466</f>
        <v>2466</v>
      </c>
      <c r="L51" s="32" t="s">
        <v>995</v>
      </c>
      <c r="M51" s="31">
        <f>2467</f>
        <v>2467</v>
      </c>
      <c r="N51" s="32" t="s">
        <v>78</v>
      </c>
      <c r="O51" s="31">
        <f>2370</f>
        <v>2370</v>
      </c>
      <c r="P51" s="32" t="s">
        <v>788</v>
      </c>
      <c r="Q51" s="31">
        <f>2447</f>
        <v>2447</v>
      </c>
      <c r="R51" s="32" t="s">
        <v>1017</v>
      </c>
      <c r="S51" s="33">
        <f>2424.86</f>
        <v>2424.86</v>
      </c>
      <c r="T51" s="30">
        <f>8922424</f>
        <v>8922424</v>
      </c>
      <c r="U51" s="30">
        <f>4354948</f>
        <v>4354948</v>
      </c>
      <c r="V51" s="30">
        <f>21584531456</f>
        <v>21584531456</v>
      </c>
      <c r="W51" s="30">
        <f>10531344599</f>
        <v>10531344599</v>
      </c>
      <c r="X51" s="34">
        <f>21</f>
        <v>21</v>
      </c>
    </row>
    <row r="52" spans="1:24" x14ac:dyDescent="0.15">
      <c r="A52" s="25" t="s">
        <v>1237</v>
      </c>
      <c r="B52" s="25" t="s">
        <v>222</v>
      </c>
      <c r="C52" s="25" t="s">
        <v>223</v>
      </c>
      <c r="D52" s="25" t="s">
        <v>224</v>
      </c>
      <c r="E52" s="26" t="s">
        <v>45</v>
      </c>
      <c r="F52" s="27" t="s">
        <v>45</v>
      </c>
      <c r="G52" s="28" t="s">
        <v>45</v>
      </c>
      <c r="H52" s="29"/>
      <c r="I52" s="29" t="s">
        <v>46</v>
      </c>
      <c r="J52" s="30">
        <v>1</v>
      </c>
      <c r="K52" s="31">
        <f>1893</f>
        <v>1893</v>
      </c>
      <c r="L52" s="32" t="s">
        <v>995</v>
      </c>
      <c r="M52" s="31">
        <f>1893</f>
        <v>1893</v>
      </c>
      <c r="N52" s="32" t="s">
        <v>995</v>
      </c>
      <c r="O52" s="31">
        <f>1816</f>
        <v>1816</v>
      </c>
      <c r="P52" s="32" t="s">
        <v>786</v>
      </c>
      <c r="Q52" s="31">
        <f>1869</f>
        <v>1869</v>
      </c>
      <c r="R52" s="32" t="s">
        <v>1017</v>
      </c>
      <c r="S52" s="33">
        <f>1856.71</f>
        <v>1856.71</v>
      </c>
      <c r="T52" s="30">
        <f>3419863</f>
        <v>3419863</v>
      </c>
      <c r="U52" s="30">
        <f>799374</f>
        <v>799374</v>
      </c>
      <c r="V52" s="30">
        <f>6353684741</f>
        <v>6353684741</v>
      </c>
      <c r="W52" s="30">
        <f>1489499024</f>
        <v>1489499024</v>
      </c>
      <c r="X52" s="34">
        <f>21</f>
        <v>21</v>
      </c>
    </row>
    <row r="53" spans="1:24" x14ac:dyDescent="0.15">
      <c r="A53" s="25" t="s">
        <v>1237</v>
      </c>
      <c r="B53" s="25" t="s">
        <v>225</v>
      </c>
      <c r="C53" s="25" t="s">
        <v>226</v>
      </c>
      <c r="D53" s="25" t="s">
        <v>227</v>
      </c>
      <c r="E53" s="26" t="s">
        <v>45</v>
      </c>
      <c r="F53" s="27" t="s">
        <v>45</v>
      </c>
      <c r="G53" s="28" t="s">
        <v>45</v>
      </c>
      <c r="H53" s="29"/>
      <c r="I53" s="29" t="s">
        <v>46</v>
      </c>
      <c r="J53" s="30">
        <v>1</v>
      </c>
      <c r="K53" s="31">
        <f>2320</f>
        <v>2320</v>
      </c>
      <c r="L53" s="32" t="s">
        <v>995</v>
      </c>
      <c r="M53" s="31">
        <f>2341</f>
        <v>2341</v>
      </c>
      <c r="N53" s="32" t="s">
        <v>56</v>
      </c>
      <c r="O53" s="31">
        <f>2237</f>
        <v>2237</v>
      </c>
      <c r="P53" s="32" t="s">
        <v>788</v>
      </c>
      <c r="Q53" s="31">
        <f>2288</f>
        <v>2288</v>
      </c>
      <c r="R53" s="32" t="s">
        <v>1017</v>
      </c>
      <c r="S53" s="33">
        <f>2290.38</f>
        <v>2290.38</v>
      </c>
      <c r="T53" s="30">
        <f>23847</f>
        <v>23847</v>
      </c>
      <c r="U53" s="30">
        <f>7093</f>
        <v>7093</v>
      </c>
      <c r="V53" s="30">
        <f>54638141</f>
        <v>54638141</v>
      </c>
      <c r="W53" s="30">
        <f>16245538</f>
        <v>16245538</v>
      </c>
      <c r="X53" s="34">
        <f>21</f>
        <v>21</v>
      </c>
    </row>
    <row r="54" spans="1:24" x14ac:dyDescent="0.15">
      <c r="A54" s="25" t="s">
        <v>1237</v>
      </c>
      <c r="B54" s="25" t="s">
        <v>228</v>
      </c>
      <c r="C54" s="25" t="s">
        <v>229</v>
      </c>
      <c r="D54" s="25" t="s">
        <v>230</v>
      </c>
      <c r="E54" s="26" t="s">
        <v>45</v>
      </c>
      <c r="F54" s="27" t="s">
        <v>45</v>
      </c>
      <c r="G54" s="28" t="s">
        <v>45</v>
      </c>
      <c r="H54" s="29"/>
      <c r="I54" s="29" t="s">
        <v>46</v>
      </c>
      <c r="J54" s="30">
        <v>1</v>
      </c>
      <c r="K54" s="31">
        <f>3195</f>
        <v>3195</v>
      </c>
      <c r="L54" s="32" t="s">
        <v>995</v>
      </c>
      <c r="M54" s="31">
        <f>3205</f>
        <v>3205</v>
      </c>
      <c r="N54" s="32" t="s">
        <v>78</v>
      </c>
      <c r="O54" s="31">
        <f>3035</f>
        <v>3035</v>
      </c>
      <c r="P54" s="32" t="s">
        <v>788</v>
      </c>
      <c r="Q54" s="31">
        <f>3150</f>
        <v>3150</v>
      </c>
      <c r="R54" s="32" t="s">
        <v>1017</v>
      </c>
      <c r="S54" s="33">
        <f>3130.71</f>
        <v>3130.71</v>
      </c>
      <c r="T54" s="30">
        <f>2634564</f>
        <v>2634564</v>
      </c>
      <c r="U54" s="30">
        <f>1981003</f>
        <v>1981003</v>
      </c>
      <c r="V54" s="30">
        <f>8255175245</f>
        <v>8255175245</v>
      </c>
      <c r="W54" s="30">
        <f>6208609035</f>
        <v>6208609035</v>
      </c>
      <c r="X54" s="34">
        <f>21</f>
        <v>21</v>
      </c>
    </row>
    <row r="55" spans="1:24" x14ac:dyDescent="0.15">
      <c r="A55" s="25" t="s">
        <v>1237</v>
      </c>
      <c r="B55" s="25" t="s">
        <v>231</v>
      </c>
      <c r="C55" s="25" t="s">
        <v>1055</v>
      </c>
      <c r="D55" s="25" t="s">
        <v>1056</v>
      </c>
      <c r="E55" s="26" t="s">
        <v>45</v>
      </c>
      <c r="F55" s="27" t="s">
        <v>45</v>
      </c>
      <c r="G55" s="28" t="s">
        <v>45</v>
      </c>
      <c r="H55" s="29"/>
      <c r="I55" s="29" t="s">
        <v>46</v>
      </c>
      <c r="J55" s="30">
        <v>1</v>
      </c>
      <c r="K55" s="31">
        <f>30100</f>
        <v>30100</v>
      </c>
      <c r="L55" s="32" t="s">
        <v>785</v>
      </c>
      <c r="M55" s="31">
        <f>30100</f>
        <v>30100</v>
      </c>
      <c r="N55" s="32" t="s">
        <v>785</v>
      </c>
      <c r="O55" s="31">
        <f>29620</f>
        <v>29620</v>
      </c>
      <c r="P55" s="32" t="s">
        <v>784</v>
      </c>
      <c r="Q55" s="31">
        <f>29630</f>
        <v>29630</v>
      </c>
      <c r="R55" s="32" t="s">
        <v>998</v>
      </c>
      <c r="S55" s="33">
        <f>29783.33</f>
        <v>29783.33</v>
      </c>
      <c r="T55" s="30">
        <f>304</f>
        <v>304</v>
      </c>
      <c r="U55" s="30" t="str">
        <f>"－"</f>
        <v>－</v>
      </c>
      <c r="V55" s="30">
        <f>9008740</f>
        <v>9008740</v>
      </c>
      <c r="W55" s="30" t="str">
        <f>"－"</f>
        <v>－</v>
      </c>
      <c r="X55" s="34">
        <f>3</f>
        <v>3</v>
      </c>
    </row>
    <row r="56" spans="1:24" x14ac:dyDescent="0.15">
      <c r="A56" s="25" t="s">
        <v>1237</v>
      </c>
      <c r="B56" s="25" t="s">
        <v>234</v>
      </c>
      <c r="C56" s="25" t="s">
        <v>235</v>
      </c>
      <c r="D56" s="25" t="s">
        <v>236</v>
      </c>
      <c r="E56" s="26" t="s">
        <v>45</v>
      </c>
      <c r="F56" s="27" t="s">
        <v>45</v>
      </c>
      <c r="G56" s="28" t="s">
        <v>45</v>
      </c>
      <c r="H56" s="29"/>
      <c r="I56" s="29" t="s">
        <v>46</v>
      </c>
      <c r="J56" s="30">
        <v>1</v>
      </c>
      <c r="K56" s="31">
        <f>23810</f>
        <v>23810</v>
      </c>
      <c r="L56" s="32" t="s">
        <v>785</v>
      </c>
      <c r="M56" s="31">
        <f>23900</f>
        <v>23900</v>
      </c>
      <c r="N56" s="32" t="s">
        <v>255</v>
      </c>
      <c r="O56" s="31">
        <f>23010</f>
        <v>23010</v>
      </c>
      <c r="P56" s="32" t="s">
        <v>794</v>
      </c>
      <c r="Q56" s="31">
        <f>23640</f>
        <v>23640</v>
      </c>
      <c r="R56" s="32" t="s">
        <v>1017</v>
      </c>
      <c r="S56" s="33">
        <f>23447.73</f>
        <v>23447.73</v>
      </c>
      <c r="T56" s="30">
        <f>309</f>
        <v>309</v>
      </c>
      <c r="U56" s="30" t="str">
        <f>"－"</f>
        <v>－</v>
      </c>
      <c r="V56" s="30">
        <f>7265230</f>
        <v>7265230</v>
      </c>
      <c r="W56" s="30" t="str">
        <f>"－"</f>
        <v>－</v>
      </c>
      <c r="X56" s="34">
        <f>11</f>
        <v>11</v>
      </c>
    </row>
    <row r="57" spans="1:24" x14ac:dyDescent="0.15">
      <c r="A57" s="25" t="s">
        <v>1237</v>
      </c>
      <c r="B57" s="25" t="s">
        <v>237</v>
      </c>
      <c r="C57" s="25" t="s">
        <v>238</v>
      </c>
      <c r="D57" s="25" t="s">
        <v>239</v>
      </c>
      <c r="E57" s="26" t="s">
        <v>45</v>
      </c>
      <c r="F57" s="27" t="s">
        <v>45</v>
      </c>
      <c r="G57" s="28" t="s">
        <v>45</v>
      </c>
      <c r="H57" s="29"/>
      <c r="I57" s="29" t="s">
        <v>46</v>
      </c>
      <c r="J57" s="30">
        <v>1</v>
      </c>
      <c r="K57" s="31">
        <f>2468</f>
        <v>2468</v>
      </c>
      <c r="L57" s="32" t="s">
        <v>995</v>
      </c>
      <c r="M57" s="31">
        <f>2500</f>
        <v>2500</v>
      </c>
      <c r="N57" s="32" t="s">
        <v>255</v>
      </c>
      <c r="O57" s="31">
        <f>2388</f>
        <v>2388</v>
      </c>
      <c r="P57" s="32" t="s">
        <v>788</v>
      </c>
      <c r="Q57" s="31">
        <f>2422</f>
        <v>2422</v>
      </c>
      <c r="R57" s="32" t="s">
        <v>1017</v>
      </c>
      <c r="S57" s="33">
        <f>2428.55</f>
        <v>2428.5500000000002</v>
      </c>
      <c r="T57" s="30">
        <f>1361</f>
        <v>1361</v>
      </c>
      <c r="U57" s="30" t="str">
        <f>"－"</f>
        <v>－</v>
      </c>
      <c r="V57" s="30">
        <f>3297130</f>
        <v>3297130</v>
      </c>
      <c r="W57" s="30" t="str">
        <f>"－"</f>
        <v>－</v>
      </c>
      <c r="X57" s="34">
        <f>20</f>
        <v>20</v>
      </c>
    </row>
    <row r="58" spans="1:24" x14ac:dyDescent="0.15">
      <c r="A58" s="25" t="s">
        <v>1237</v>
      </c>
      <c r="B58" s="25" t="s">
        <v>240</v>
      </c>
      <c r="C58" s="25" t="s">
        <v>241</v>
      </c>
      <c r="D58" s="25" t="s">
        <v>242</v>
      </c>
      <c r="E58" s="26" t="s">
        <v>45</v>
      </c>
      <c r="F58" s="27" t="s">
        <v>45</v>
      </c>
      <c r="G58" s="28" t="s">
        <v>45</v>
      </c>
      <c r="H58" s="29"/>
      <c r="I58" s="29" t="s">
        <v>46</v>
      </c>
      <c r="J58" s="30">
        <v>1</v>
      </c>
      <c r="K58" s="31">
        <f>1758</f>
        <v>1758</v>
      </c>
      <c r="L58" s="32" t="s">
        <v>995</v>
      </c>
      <c r="M58" s="31">
        <f>1823</f>
        <v>1823</v>
      </c>
      <c r="N58" s="32" t="s">
        <v>997</v>
      </c>
      <c r="O58" s="31">
        <f>1755</f>
        <v>1755</v>
      </c>
      <c r="P58" s="32" t="s">
        <v>995</v>
      </c>
      <c r="Q58" s="31">
        <f>1817</f>
        <v>1817</v>
      </c>
      <c r="R58" s="32" t="s">
        <v>1017</v>
      </c>
      <c r="S58" s="33">
        <f>1794.1</f>
        <v>1794.1</v>
      </c>
      <c r="T58" s="30">
        <f>7334819</f>
        <v>7334819</v>
      </c>
      <c r="U58" s="30">
        <f>3020813</f>
        <v>3020813</v>
      </c>
      <c r="V58" s="30">
        <f>13175999695</f>
        <v>13175999695</v>
      </c>
      <c r="W58" s="30">
        <f>5438867068</f>
        <v>5438867068</v>
      </c>
      <c r="X58" s="34">
        <f>21</f>
        <v>21</v>
      </c>
    </row>
    <row r="59" spans="1:24" x14ac:dyDescent="0.15">
      <c r="A59" s="25" t="s">
        <v>1237</v>
      </c>
      <c r="B59" s="25" t="s">
        <v>243</v>
      </c>
      <c r="C59" s="25" t="s">
        <v>244</v>
      </c>
      <c r="D59" s="25" t="s">
        <v>245</v>
      </c>
      <c r="E59" s="26" t="s">
        <v>45</v>
      </c>
      <c r="F59" s="27" t="s">
        <v>45</v>
      </c>
      <c r="G59" s="28" t="s">
        <v>45</v>
      </c>
      <c r="H59" s="29"/>
      <c r="I59" s="29" t="s">
        <v>46</v>
      </c>
      <c r="J59" s="30">
        <v>1</v>
      </c>
      <c r="K59" s="31">
        <f>2511</f>
        <v>2511</v>
      </c>
      <c r="L59" s="32" t="s">
        <v>995</v>
      </c>
      <c r="M59" s="31">
        <f>2511</f>
        <v>2511</v>
      </c>
      <c r="N59" s="32" t="s">
        <v>995</v>
      </c>
      <c r="O59" s="31">
        <f>2367</f>
        <v>2367</v>
      </c>
      <c r="P59" s="32" t="s">
        <v>788</v>
      </c>
      <c r="Q59" s="31">
        <f>2426</f>
        <v>2426</v>
      </c>
      <c r="R59" s="32" t="s">
        <v>1017</v>
      </c>
      <c r="S59" s="33">
        <f>2421.9</f>
        <v>2421.9</v>
      </c>
      <c r="T59" s="30">
        <f>720</f>
        <v>720</v>
      </c>
      <c r="U59" s="30" t="str">
        <f>"－"</f>
        <v>－</v>
      </c>
      <c r="V59" s="30">
        <f>1739081</f>
        <v>1739081</v>
      </c>
      <c r="W59" s="30" t="str">
        <f>"－"</f>
        <v>－</v>
      </c>
      <c r="X59" s="34">
        <f>20</f>
        <v>20</v>
      </c>
    </row>
    <row r="60" spans="1:24" x14ac:dyDescent="0.15">
      <c r="A60" s="25" t="s">
        <v>1237</v>
      </c>
      <c r="B60" s="25" t="s">
        <v>246</v>
      </c>
      <c r="C60" s="25" t="s">
        <v>247</v>
      </c>
      <c r="D60" s="25" t="s">
        <v>248</v>
      </c>
      <c r="E60" s="26" t="s">
        <v>45</v>
      </c>
      <c r="F60" s="27" t="s">
        <v>45</v>
      </c>
      <c r="G60" s="28" t="s">
        <v>45</v>
      </c>
      <c r="H60" s="29"/>
      <c r="I60" s="29" t="s">
        <v>46</v>
      </c>
      <c r="J60" s="30">
        <v>10</v>
      </c>
      <c r="K60" s="31">
        <f>2426</f>
        <v>2426</v>
      </c>
      <c r="L60" s="32" t="s">
        <v>995</v>
      </c>
      <c r="M60" s="31">
        <f>2455.5</f>
        <v>2455.5</v>
      </c>
      <c r="N60" s="32" t="s">
        <v>1005</v>
      </c>
      <c r="O60" s="31">
        <f>2344</f>
        <v>2344</v>
      </c>
      <c r="P60" s="32" t="s">
        <v>255</v>
      </c>
      <c r="Q60" s="31">
        <f>2391</f>
        <v>2391</v>
      </c>
      <c r="R60" s="32" t="s">
        <v>1017</v>
      </c>
      <c r="S60" s="33">
        <f>2389.9</f>
        <v>2389.9</v>
      </c>
      <c r="T60" s="30">
        <f>190300</f>
        <v>190300</v>
      </c>
      <c r="U60" s="30" t="str">
        <f>"－"</f>
        <v>－</v>
      </c>
      <c r="V60" s="30">
        <f>455260085</f>
        <v>455260085</v>
      </c>
      <c r="W60" s="30" t="str">
        <f>"－"</f>
        <v>－</v>
      </c>
      <c r="X60" s="34">
        <f>21</f>
        <v>21</v>
      </c>
    </row>
    <row r="61" spans="1:24" x14ac:dyDescent="0.15">
      <c r="A61" s="25" t="s">
        <v>1237</v>
      </c>
      <c r="B61" s="25" t="s">
        <v>249</v>
      </c>
      <c r="C61" s="25" t="s">
        <v>250</v>
      </c>
      <c r="D61" s="25" t="s">
        <v>251</v>
      </c>
      <c r="E61" s="26" t="s">
        <v>45</v>
      </c>
      <c r="F61" s="27" t="s">
        <v>45</v>
      </c>
      <c r="G61" s="28" t="s">
        <v>45</v>
      </c>
      <c r="H61" s="29"/>
      <c r="I61" s="29" t="s">
        <v>46</v>
      </c>
      <c r="J61" s="30">
        <v>1</v>
      </c>
      <c r="K61" s="31">
        <f>35970</f>
        <v>35970</v>
      </c>
      <c r="L61" s="32" t="s">
        <v>784</v>
      </c>
      <c r="M61" s="31">
        <f>37290</f>
        <v>37290</v>
      </c>
      <c r="N61" s="32" t="s">
        <v>790</v>
      </c>
      <c r="O61" s="31">
        <f>35840</f>
        <v>35840</v>
      </c>
      <c r="P61" s="32" t="s">
        <v>790</v>
      </c>
      <c r="Q61" s="31">
        <f>36500</f>
        <v>36500</v>
      </c>
      <c r="R61" s="32" t="s">
        <v>1017</v>
      </c>
      <c r="S61" s="33">
        <f>36227.5</f>
        <v>36227.5</v>
      </c>
      <c r="T61" s="30">
        <f>22</f>
        <v>22</v>
      </c>
      <c r="U61" s="30" t="str">
        <f>"－"</f>
        <v>－</v>
      </c>
      <c r="V61" s="30">
        <f>798950</f>
        <v>798950</v>
      </c>
      <c r="W61" s="30" t="str">
        <f>"－"</f>
        <v>－</v>
      </c>
      <c r="X61" s="34">
        <f>4</f>
        <v>4</v>
      </c>
    </row>
    <row r="62" spans="1:24" x14ac:dyDescent="0.15">
      <c r="A62" s="25" t="s">
        <v>1237</v>
      </c>
      <c r="B62" s="25" t="s">
        <v>252</v>
      </c>
      <c r="C62" s="25" t="s">
        <v>253</v>
      </c>
      <c r="D62" s="25" t="s">
        <v>254</v>
      </c>
      <c r="E62" s="26" t="s">
        <v>45</v>
      </c>
      <c r="F62" s="27" t="s">
        <v>45</v>
      </c>
      <c r="G62" s="28" t="s">
        <v>45</v>
      </c>
      <c r="H62" s="29"/>
      <c r="I62" s="29" t="s">
        <v>46</v>
      </c>
      <c r="J62" s="30">
        <v>1</v>
      </c>
      <c r="K62" s="31">
        <f>22975</f>
        <v>22975</v>
      </c>
      <c r="L62" s="32" t="s">
        <v>995</v>
      </c>
      <c r="M62" s="31">
        <f>23200</f>
        <v>23200</v>
      </c>
      <c r="N62" s="32" t="s">
        <v>1003</v>
      </c>
      <c r="O62" s="31">
        <f>22455</f>
        <v>22455</v>
      </c>
      <c r="P62" s="32" t="s">
        <v>1000</v>
      </c>
      <c r="Q62" s="31">
        <f>22805</f>
        <v>22805</v>
      </c>
      <c r="R62" s="32" t="s">
        <v>1017</v>
      </c>
      <c r="S62" s="33">
        <f>22874.52</f>
        <v>22874.52</v>
      </c>
      <c r="T62" s="30">
        <f>741256</f>
        <v>741256</v>
      </c>
      <c r="U62" s="30">
        <f>676200</f>
        <v>676200</v>
      </c>
      <c r="V62" s="30">
        <f>16987249630</f>
        <v>16987249630</v>
      </c>
      <c r="W62" s="30">
        <f>15495489260</f>
        <v>15495489260</v>
      </c>
      <c r="X62" s="34">
        <f>21</f>
        <v>21</v>
      </c>
    </row>
    <row r="63" spans="1:24" x14ac:dyDescent="0.15">
      <c r="A63" s="25" t="s">
        <v>1237</v>
      </c>
      <c r="B63" s="25" t="s">
        <v>256</v>
      </c>
      <c r="C63" s="25" t="s">
        <v>257</v>
      </c>
      <c r="D63" s="25" t="s">
        <v>258</v>
      </c>
      <c r="E63" s="26" t="s">
        <v>45</v>
      </c>
      <c r="F63" s="27" t="s">
        <v>45</v>
      </c>
      <c r="G63" s="28" t="s">
        <v>45</v>
      </c>
      <c r="H63" s="29"/>
      <c r="I63" s="29" t="s">
        <v>46</v>
      </c>
      <c r="J63" s="30">
        <v>1</v>
      </c>
      <c r="K63" s="31">
        <f>13565</f>
        <v>13565</v>
      </c>
      <c r="L63" s="32" t="s">
        <v>995</v>
      </c>
      <c r="M63" s="31">
        <f>14100</f>
        <v>14100</v>
      </c>
      <c r="N63" s="32" t="s">
        <v>789</v>
      </c>
      <c r="O63" s="31">
        <f>13525</f>
        <v>13525</v>
      </c>
      <c r="P63" s="32" t="s">
        <v>995</v>
      </c>
      <c r="Q63" s="31">
        <f>13995</f>
        <v>13995</v>
      </c>
      <c r="R63" s="32" t="s">
        <v>1017</v>
      </c>
      <c r="S63" s="33">
        <f>13825.95</f>
        <v>13825.95</v>
      </c>
      <c r="T63" s="30">
        <f>876994</f>
        <v>876994</v>
      </c>
      <c r="U63" s="30">
        <f>524193</f>
        <v>524193</v>
      </c>
      <c r="V63" s="30">
        <f>12139489130</f>
        <v>12139489130</v>
      </c>
      <c r="W63" s="30">
        <f>7272857110</f>
        <v>7272857110</v>
      </c>
      <c r="X63" s="34">
        <f>21</f>
        <v>21</v>
      </c>
    </row>
    <row r="64" spans="1:24" x14ac:dyDescent="0.15">
      <c r="A64" s="25" t="s">
        <v>1237</v>
      </c>
      <c r="B64" s="25" t="s">
        <v>259</v>
      </c>
      <c r="C64" s="25" t="s">
        <v>1057</v>
      </c>
      <c r="D64" s="25" t="s">
        <v>1058</v>
      </c>
      <c r="E64" s="26" t="s">
        <v>45</v>
      </c>
      <c r="F64" s="27" t="s">
        <v>45</v>
      </c>
      <c r="G64" s="28" t="s">
        <v>45</v>
      </c>
      <c r="H64" s="29"/>
      <c r="I64" s="29" t="s">
        <v>46</v>
      </c>
      <c r="J64" s="30">
        <v>10</v>
      </c>
      <c r="K64" s="31">
        <f>1887</f>
        <v>1887</v>
      </c>
      <c r="L64" s="32" t="s">
        <v>995</v>
      </c>
      <c r="M64" s="31">
        <f>1892</f>
        <v>1892</v>
      </c>
      <c r="N64" s="32" t="s">
        <v>995</v>
      </c>
      <c r="O64" s="31">
        <f>1812.5</f>
        <v>1812.5</v>
      </c>
      <c r="P64" s="32" t="s">
        <v>786</v>
      </c>
      <c r="Q64" s="31">
        <f>1866.5</f>
        <v>1866.5</v>
      </c>
      <c r="R64" s="32" t="s">
        <v>1017</v>
      </c>
      <c r="S64" s="33">
        <f>1854.38</f>
        <v>1854.38</v>
      </c>
      <c r="T64" s="30">
        <f>3453110</f>
        <v>3453110</v>
      </c>
      <c r="U64" s="30">
        <f>900080</f>
        <v>900080</v>
      </c>
      <c r="V64" s="30">
        <f>6390036988</f>
        <v>6390036988</v>
      </c>
      <c r="W64" s="30">
        <f>1669144398</f>
        <v>1669144398</v>
      </c>
      <c r="X64" s="34">
        <f>21</f>
        <v>21</v>
      </c>
    </row>
    <row r="65" spans="1:24" x14ac:dyDescent="0.15">
      <c r="A65" s="25" t="s">
        <v>1237</v>
      </c>
      <c r="B65" s="25" t="s">
        <v>262</v>
      </c>
      <c r="C65" s="25" t="s">
        <v>263</v>
      </c>
      <c r="D65" s="25" t="s">
        <v>264</v>
      </c>
      <c r="E65" s="26" t="s">
        <v>45</v>
      </c>
      <c r="F65" s="27" t="s">
        <v>45</v>
      </c>
      <c r="G65" s="28" t="s">
        <v>45</v>
      </c>
      <c r="H65" s="29"/>
      <c r="I65" s="29" t="s">
        <v>46</v>
      </c>
      <c r="J65" s="30">
        <v>1</v>
      </c>
      <c r="K65" s="31">
        <f>58550</f>
        <v>58550</v>
      </c>
      <c r="L65" s="32" t="s">
        <v>995</v>
      </c>
      <c r="M65" s="31">
        <f>58770</f>
        <v>58770</v>
      </c>
      <c r="N65" s="32" t="s">
        <v>995</v>
      </c>
      <c r="O65" s="31">
        <f>55700</f>
        <v>55700</v>
      </c>
      <c r="P65" s="32" t="s">
        <v>788</v>
      </c>
      <c r="Q65" s="31">
        <f>57840</f>
        <v>57840</v>
      </c>
      <c r="R65" s="32" t="s">
        <v>1017</v>
      </c>
      <c r="S65" s="33">
        <f>57533.81</f>
        <v>57533.81</v>
      </c>
      <c r="T65" s="30">
        <f>599469</f>
        <v>599469</v>
      </c>
      <c r="U65" s="30">
        <f>28836</f>
        <v>28836</v>
      </c>
      <c r="V65" s="30">
        <f>34410116388</f>
        <v>34410116388</v>
      </c>
      <c r="W65" s="30">
        <f>1648325618</f>
        <v>1648325618</v>
      </c>
      <c r="X65" s="34">
        <f>21</f>
        <v>21</v>
      </c>
    </row>
    <row r="66" spans="1:24" x14ac:dyDescent="0.15">
      <c r="A66" s="25" t="s">
        <v>1237</v>
      </c>
      <c r="B66" s="25" t="s">
        <v>265</v>
      </c>
      <c r="C66" s="25" t="s">
        <v>266</v>
      </c>
      <c r="D66" s="25" t="s">
        <v>267</v>
      </c>
      <c r="E66" s="26" t="s">
        <v>45</v>
      </c>
      <c r="F66" s="27" t="s">
        <v>45</v>
      </c>
      <c r="G66" s="28" t="s">
        <v>45</v>
      </c>
      <c r="H66" s="29"/>
      <c r="I66" s="29" t="s">
        <v>46</v>
      </c>
      <c r="J66" s="30">
        <v>10</v>
      </c>
      <c r="K66" s="31">
        <f>7740</f>
        <v>7740</v>
      </c>
      <c r="L66" s="32" t="s">
        <v>995</v>
      </c>
      <c r="M66" s="31">
        <f>7884</f>
        <v>7884</v>
      </c>
      <c r="N66" s="32" t="s">
        <v>995</v>
      </c>
      <c r="O66" s="31">
        <f>7740</f>
        <v>7740</v>
      </c>
      <c r="P66" s="32" t="s">
        <v>995</v>
      </c>
      <c r="Q66" s="31">
        <f>7860</f>
        <v>7860</v>
      </c>
      <c r="R66" s="32" t="s">
        <v>255</v>
      </c>
      <c r="S66" s="33">
        <f>7841.5</f>
        <v>7841.5</v>
      </c>
      <c r="T66" s="30">
        <f>5610</f>
        <v>5610</v>
      </c>
      <c r="U66" s="30" t="str">
        <f>"－"</f>
        <v>－</v>
      </c>
      <c r="V66" s="30">
        <f>44196080</f>
        <v>44196080</v>
      </c>
      <c r="W66" s="30" t="str">
        <f>"－"</f>
        <v>－</v>
      </c>
      <c r="X66" s="34">
        <f>4</f>
        <v>4</v>
      </c>
    </row>
    <row r="67" spans="1:24" x14ac:dyDescent="0.15">
      <c r="A67" s="25" t="s">
        <v>1237</v>
      </c>
      <c r="B67" s="25" t="s">
        <v>268</v>
      </c>
      <c r="C67" s="25" t="s">
        <v>269</v>
      </c>
      <c r="D67" s="25" t="s">
        <v>270</v>
      </c>
      <c r="E67" s="26" t="s">
        <v>45</v>
      </c>
      <c r="F67" s="27" t="s">
        <v>45</v>
      </c>
      <c r="G67" s="28" t="s">
        <v>45</v>
      </c>
      <c r="H67" s="29" t="s">
        <v>316</v>
      </c>
      <c r="I67" s="29" t="s">
        <v>46</v>
      </c>
      <c r="J67" s="30">
        <v>1</v>
      </c>
      <c r="K67" s="31">
        <f>17555</f>
        <v>17555</v>
      </c>
      <c r="L67" s="32" t="s">
        <v>995</v>
      </c>
      <c r="M67" s="31">
        <f>17575</f>
        <v>17575</v>
      </c>
      <c r="N67" s="32" t="s">
        <v>995</v>
      </c>
      <c r="O67" s="31">
        <f>16275</f>
        <v>16275</v>
      </c>
      <c r="P67" s="32" t="s">
        <v>1000</v>
      </c>
      <c r="Q67" s="31">
        <f>17515</f>
        <v>17515</v>
      </c>
      <c r="R67" s="32" t="s">
        <v>1017</v>
      </c>
      <c r="S67" s="33">
        <f>17289</f>
        <v>17289</v>
      </c>
      <c r="T67" s="30">
        <f>1437</f>
        <v>1437</v>
      </c>
      <c r="U67" s="30" t="str">
        <f>"－"</f>
        <v>－</v>
      </c>
      <c r="V67" s="30">
        <f>24971060</f>
        <v>24971060</v>
      </c>
      <c r="W67" s="30" t="str">
        <f>"－"</f>
        <v>－</v>
      </c>
      <c r="X67" s="34">
        <f>20</f>
        <v>20</v>
      </c>
    </row>
    <row r="68" spans="1:24" x14ac:dyDescent="0.15">
      <c r="A68" s="25" t="s">
        <v>1237</v>
      </c>
      <c r="B68" s="25" t="s">
        <v>271</v>
      </c>
      <c r="C68" s="25" t="s">
        <v>272</v>
      </c>
      <c r="D68" s="25" t="s">
        <v>273</v>
      </c>
      <c r="E68" s="26" t="s">
        <v>45</v>
      </c>
      <c r="F68" s="27" t="s">
        <v>45</v>
      </c>
      <c r="G68" s="28" t="s">
        <v>45</v>
      </c>
      <c r="H68" s="29"/>
      <c r="I68" s="29" t="s">
        <v>46</v>
      </c>
      <c r="J68" s="30">
        <v>1</v>
      </c>
      <c r="K68" s="31">
        <f>17500</f>
        <v>17500</v>
      </c>
      <c r="L68" s="32" t="s">
        <v>995</v>
      </c>
      <c r="M68" s="31">
        <f>17670</f>
        <v>17670</v>
      </c>
      <c r="N68" s="32" t="s">
        <v>1017</v>
      </c>
      <c r="O68" s="31">
        <f>16885</f>
        <v>16885</v>
      </c>
      <c r="P68" s="32" t="s">
        <v>1000</v>
      </c>
      <c r="Q68" s="31">
        <f>17660</f>
        <v>17660</v>
      </c>
      <c r="R68" s="32" t="s">
        <v>1017</v>
      </c>
      <c r="S68" s="33">
        <f>17301.19</f>
        <v>17301.189999999999</v>
      </c>
      <c r="T68" s="30">
        <f>6088</f>
        <v>6088</v>
      </c>
      <c r="U68" s="30" t="str">
        <f>"－"</f>
        <v>－</v>
      </c>
      <c r="V68" s="30">
        <f>104879335</f>
        <v>104879335</v>
      </c>
      <c r="W68" s="30" t="str">
        <f>"－"</f>
        <v>－</v>
      </c>
      <c r="X68" s="34">
        <f>21</f>
        <v>21</v>
      </c>
    </row>
    <row r="69" spans="1:24" x14ac:dyDescent="0.15">
      <c r="A69" s="25" t="s">
        <v>1237</v>
      </c>
      <c r="B69" s="25" t="s">
        <v>274</v>
      </c>
      <c r="C69" s="25" t="s">
        <v>275</v>
      </c>
      <c r="D69" s="25" t="s">
        <v>276</v>
      </c>
      <c r="E69" s="26" t="s">
        <v>45</v>
      </c>
      <c r="F69" s="27" t="s">
        <v>45</v>
      </c>
      <c r="G69" s="28" t="s">
        <v>45</v>
      </c>
      <c r="H69" s="29"/>
      <c r="I69" s="29" t="s">
        <v>46</v>
      </c>
      <c r="J69" s="30">
        <v>1</v>
      </c>
      <c r="K69" s="31">
        <f>27000</f>
        <v>27000</v>
      </c>
      <c r="L69" s="32" t="s">
        <v>995</v>
      </c>
      <c r="M69" s="31">
        <f>27085</f>
        <v>27085</v>
      </c>
      <c r="N69" s="32" t="s">
        <v>787</v>
      </c>
      <c r="O69" s="31">
        <f>25660</f>
        <v>25660</v>
      </c>
      <c r="P69" s="32" t="s">
        <v>788</v>
      </c>
      <c r="Q69" s="31">
        <f>26535</f>
        <v>26535</v>
      </c>
      <c r="R69" s="32" t="s">
        <v>1017</v>
      </c>
      <c r="S69" s="33">
        <f>26479.76</f>
        <v>26479.759999999998</v>
      </c>
      <c r="T69" s="30">
        <f>9935</f>
        <v>9935</v>
      </c>
      <c r="U69" s="30">
        <f>7</f>
        <v>7</v>
      </c>
      <c r="V69" s="30">
        <f>263688185</f>
        <v>263688185</v>
      </c>
      <c r="W69" s="30">
        <f>184940</f>
        <v>184940</v>
      </c>
      <c r="X69" s="34">
        <f>21</f>
        <v>21</v>
      </c>
    </row>
    <row r="70" spans="1:24" x14ac:dyDescent="0.15">
      <c r="A70" s="25" t="s">
        <v>1237</v>
      </c>
      <c r="B70" s="25" t="s">
        <v>277</v>
      </c>
      <c r="C70" s="25" t="s">
        <v>278</v>
      </c>
      <c r="D70" s="25" t="s">
        <v>279</v>
      </c>
      <c r="E70" s="26" t="s">
        <v>45</v>
      </c>
      <c r="F70" s="27" t="s">
        <v>45</v>
      </c>
      <c r="G70" s="28" t="s">
        <v>45</v>
      </c>
      <c r="H70" s="29"/>
      <c r="I70" s="29" t="s">
        <v>46</v>
      </c>
      <c r="J70" s="30">
        <v>10</v>
      </c>
      <c r="K70" s="31">
        <f>10105</f>
        <v>10105</v>
      </c>
      <c r="L70" s="32" t="s">
        <v>995</v>
      </c>
      <c r="M70" s="31">
        <f>10600</f>
        <v>10600</v>
      </c>
      <c r="N70" s="32" t="s">
        <v>1017</v>
      </c>
      <c r="O70" s="31">
        <f>10020</f>
        <v>10020</v>
      </c>
      <c r="P70" s="32" t="s">
        <v>794</v>
      </c>
      <c r="Q70" s="31">
        <f>10600</f>
        <v>10600</v>
      </c>
      <c r="R70" s="32" t="s">
        <v>1017</v>
      </c>
      <c r="S70" s="33">
        <f>10270.71</f>
        <v>10270.709999999999</v>
      </c>
      <c r="T70" s="30">
        <f>10160</f>
        <v>10160</v>
      </c>
      <c r="U70" s="30" t="str">
        <f>"－"</f>
        <v>－</v>
      </c>
      <c r="V70" s="30">
        <f>104641000</f>
        <v>104641000</v>
      </c>
      <c r="W70" s="30" t="str">
        <f>"－"</f>
        <v>－</v>
      </c>
      <c r="X70" s="34">
        <f>21</f>
        <v>21</v>
      </c>
    </row>
    <row r="71" spans="1:24" x14ac:dyDescent="0.15">
      <c r="A71" s="25" t="s">
        <v>1237</v>
      </c>
      <c r="B71" s="25" t="s">
        <v>280</v>
      </c>
      <c r="C71" s="25" t="s">
        <v>281</v>
      </c>
      <c r="D71" s="25" t="s">
        <v>282</v>
      </c>
      <c r="E71" s="26" t="s">
        <v>45</v>
      </c>
      <c r="F71" s="27" t="s">
        <v>45</v>
      </c>
      <c r="G71" s="28" t="s">
        <v>45</v>
      </c>
      <c r="H71" s="29"/>
      <c r="I71" s="29" t="s">
        <v>46</v>
      </c>
      <c r="J71" s="30">
        <v>1</v>
      </c>
      <c r="K71" s="31">
        <f>1879</f>
        <v>1879</v>
      </c>
      <c r="L71" s="32" t="s">
        <v>995</v>
      </c>
      <c r="M71" s="31">
        <f>1958</f>
        <v>1958</v>
      </c>
      <c r="N71" s="32" t="s">
        <v>997</v>
      </c>
      <c r="O71" s="31">
        <f>1867</f>
        <v>1867</v>
      </c>
      <c r="P71" s="32" t="s">
        <v>995</v>
      </c>
      <c r="Q71" s="31">
        <f>1953</f>
        <v>1953</v>
      </c>
      <c r="R71" s="32" t="s">
        <v>1017</v>
      </c>
      <c r="S71" s="33">
        <f>1920.62</f>
        <v>1920.62</v>
      </c>
      <c r="T71" s="30">
        <f>1358860</f>
        <v>1358860</v>
      </c>
      <c r="U71" s="30">
        <f>812263</f>
        <v>812263</v>
      </c>
      <c r="V71" s="30">
        <f>2619078950</f>
        <v>2619078950</v>
      </c>
      <c r="W71" s="30">
        <f>1570704067</f>
        <v>1570704067</v>
      </c>
      <c r="X71" s="34">
        <f>21</f>
        <v>21</v>
      </c>
    </row>
    <row r="72" spans="1:24" x14ac:dyDescent="0.15">
      <c r="A72" s="25" t="s">
        <v>1237</v>
      </c>
      <c r="B72" s="25" t="s">
        <v>283</v>
      </c>
      <c r="C72" s="25" t="s">
        <v>284</v>
      </c>
      <c r="D72" s="25" t="s">
        <v>285</v>
      </c>
      <c r="E72" s="26" t="s">
        <v>45</v>
      </c>
      <c r="F72" s="27" t="s">
        <v>45</v>
      </c>
      <c r="G72" s="28" t="s">
        <v>45</v>
      </c>
      <c r="H72" s="29"/>
      <c r="I72" s="29" t="s">
        <v>46</v>
      </c>
      <c r="J72" s="30">
        <v>1</v>
      </c>
      <c r="K72" s="31">
        <f>1879</f>
        <v>1879</v>
      </c>
      <c r="L72" s="32" t="s">
        <v>995</v>
      </c>
      <c r="M72" s="31">
        <f>1942</f>
        <v>1942</v>
      </c>
      <c r="N72" s="32" t="s">
        <v>997</v>
      </c>
      <c r="O72" s="31">
        <f>1873</f>
        <v>1873</v>
      </c>
      <c r="P72" s="32" t="s">
        <v>995</v>
      </c>
      <c r="Q72" s="31">
        <f>1933</f>
        <v>1933</v>
      </c>
      <c r="R72" s="32" t="s">
        <v>1017</v>
      </c>
      <c r="S72" s="33">
        <f>1908.38</f>
        <v>1908.38</v>
      </c>
      <c r="T72" s="30">
        <f>727401</f>
        <v>727401</v>
      </c>
      <c r="U72" s="30">
        <f>106</f>
        <v>106</v>
      </c>
      <c r="V72" s="30">
        <f>1386425156</f>
        <v>1386425156</v>
      </c>
      <c r="W72" s="30">
        <f>193048</f>
        <v>193048</v>
      </c>
      <c r="X72" s="34">
        <f>21</f>
        <v>21</v>
      </c>
    </row>
    <row r="73" spans="1:24" x14ac:dyDescent="0.15">
      <c r="A73" s="25" t="s">
        <v>1237</v>
      </c>
      <c r="B73" s="25" t="s">
        <v>286</v>
      </c>
      <c r="C73" s="25" t="s">
        <v>287</v>
      </c>
      <c r="D73" s="25" t="s">
        <v>288</v>
      </c>
      <c r="E73" s="26" t="s">
        <v>45</v>
      </c>
      <c r="F73" s="27" t="s">
        <v>45</v>
      </c>
      <c r="G73" s="28" t="s">
        <v>45</v>
      </c>
      <c r="H73" s="29"/>
      <c r="I73" s="29" t="s">
        <v>46</v>
      </c>
      <c r="J73" s="30">
        <v>1</v>
      </c>
      <c r="K73" s="31">
        <f>18765</f>
        <v>18765</v>
      </c>
      <c r="L73" s="32" t="s">
        <v>995</v>
      </c>
      <c r="M73" s="31">
        <f>18880</f>
        <v>18880</v>
      </c>
      <c r="N73" s="32" t="s">
        <v>998</v>
      </c>
      <c r="O73" s="31">
        <f>18035</f>
        <v>18035</v>
      </c>
      <c r="P73" s="32" t="s">
        <v>788</v>
      </c>
      <c r="Q73" s="31">
        <f>18490</f>
        <v>18490</v>
      </c>
      <c r="R73" s="32" t="s">
        <v>1017</v>
      </c>
      <c r="S73" s="33">
        <f>18417.86</f>
        <v>18417.86</v>
      </c>
      <c r="T73" s="30">
        <f>9163</f>
        <v>9163</v>
      </c>
      <c r="U73" s="30" t="str">
        <f>"－"</f>
        <v>－</v>
      </c>
      <c r="V73" s="30">
        <f>169368140</f>
        <v>169368140</v>
      </c>
      <c r="W73" s="30" t="str">
        <f>"－"</f>
        <v>－</v>
      </c>
      <c r="X73" s="34">
        <f>21</f>
        <v>21</v>
      </c>
    </row>
    <row r="74" spans="1:24" x14ac:dyDescent="0.15">
      <c r="A74" s="25" t="s">
        <v>1237</v>
      </c>
      <c r="B74" s="25" t="s">
        <v>289</v>
      </c>
      <c r="C74" s="25" t="s">
        <v>290</v>
      </c>
      <c r="D74" s="25" t="s">
        <v>291</v>
      </c>
      <c r="E74" s="26" t="s">
        <v>45</v>
      </c>
      <c r="F74" s="27" t="s">
        <v>45</v>
      </c>
      <c r="G74" s="28" t="s">
        <v>45</v>
      </c>
      <c r="H74" s="29"/>
      <c r="I74" s="29" t="s">
        <v>46</v>
      </c>
      <c r="J74" s="30">
        <v>1</v>
      </c>
      <c r="K74" s="31">
        <f>9537</f>
        <v>9537</v>
      </c>
      <c r="L74" s="32" t="s">
        <v>995</v>
      </c>
      <c r="M74" s="31">
        <f>9720</f>
        <v>9720</v>
      </c>
      <c r="N74" s="32" t="s">
        <v>995</v>
      </c>
      <c r="O74" s="31">
        <f>9281</f>
        <v>9281</v>
      </c>
      <c r="P74" s="32" t="s">
        <v>788</v>
      </c>
      <c r="Q74" s="31">
        <f>9334</f>
        <v>9334</v>
      </c>
      <c r="R74" s="32" t="s">
        <v>1017</v>
      </c>
      <c r="S74" s="33">
        <f>9440.38</f>
        <v>9440.3799999999992</v>
      </c>
      <c r="T74" s="30">
        <f>3824</f>
        <v>3824</v>
      </c>
      <c r="U74" s="30" t="str">
        <f>"－"</f>
        <v>－</v>
      </c>
      <c r="V74" s="30">
        <f>35925897</f>
        <v>35925897</v>
      </c>
      <c r="W74" s="30" t="str">
        <f>"－"</f>
        <v>－</v>
      </c>
      <c r="X74" s="34">
        <f>21</f>
        <v>21</v>
      </c>
    </row>
    <row r="75" spans="1:24" x14ac:dyDescent="0.15">
      <c r="A75" s="25" t="s">
        <v>1237</v>
      </c>
      <c r="B75" s="25" t="s">
        <v>292</v>
      </c>
      <c r="C75" s="25" t="s">
        <v>293</v>
      </c>
      <c r="D75" s="25" t="s">
        <v>294</v>
      </c>
      <c r="E75" s="26" t="s">
        <v>45</v>
      </c>
      <c r="F75" s="27" t="s">
        <v>45</v>
      </c>
      <c r="G75" s="28" t="s">
        <v>45</v>
      </c>
      <c r="H75" s="29"/>
      <c r="I75" s="29" t="s">
        <v>46</v>
      </c>
      <c r="J75" s="30">
        <v>1</v>
      </c>
      <c r="K75" s="31">
        <f>9170</f>
        <v>9170</v>
      </c>
      <c r="L75" s="32" t="s">
        <v>995</v>
      </c>
      <c r="M75" s="31">
        <f>9393</f>
        <v>9393</v>
      </c>
      <c r="N75" s="32" t="s">
        <v>785</v>
      </c>
      <c r="O75" s="31">
        <f>8730</f>
        <v>8730</v>
      </c>
      <c r="P75" s="32" t="s">
        <v>1005</v>
      </c>
      <c r="Q75" s="31">
        <f>8933</f>
        <v>8933</v>
      </c>
      <c r="R75" s="32" t="s">
        <v>1017</v>
      </c>
      <c r="S75" s="33">
        <f>8931.48</f>
        <v>8931.48</v>
      </c>
      <c r="T75" s="30">
        <f>3434090</f>
        <v>3434090</v>
      </c>
      <c r="U75" s="30">
        <f>326035</f>
        <v>326035</v>
      </c>
      <c r="V75" s="30">
        <f>30631522331</f>
        <v>30631522331</v>
      </c>
      <c r="W75" s="30">
        <f>2894166358</f>
        <v>2894166358</v>
      </c>
      <c r="X75" s="34">
        <f>21</f>
        <v>21</v>
      </c>
    </row>
    <row r="76" spans="1:24" x14ac:dyDescent="0.15">
      <c r="A76" s="25" t="s">
        <v>1237</v>
      </c>
      <c r="B76" s="25" t="s">
        <v>295</v>
      </c>
      <c r="C76" s="25" t="s">
        <v>296</v>
      </c>
      <c r="D76" s="25" t="s">
        <v>297</v>
      </c>
      <c r="E76" s="26" t="s">
        <v>45</v>
      </c>
      <c r="F76" s="27" t="s">
        <v>45</v>
      </c>
      <c r="G76" s="28" t="s">
        <v>45</v>
      </c>
      <c r="H76" s="29"/>
      <c r="I76" s="29" t="s">
        <v>46</v>
      </c>
      <c r="J76" s="30">
        <v>1</v>
      </c>
      <c r="K76" s="31">
        <f>4045</f>
        <v>4045</v>
      </c>
      <c r="L76" s="32" t="s">
        <v>995</v>
      </c>
      <c r="M76" s="31">
        <f>4130</f>
        <v>4130</v>
      </c>
      <c r="N76" s="32" t="s">
        <v>1017</v>
      </c>
      <c r="O76" s="31">
        <f>3880</f>
        <v>3880</v>
      </c>
      <c r="P76" s="32" t="s">
        <v>1003</v>
      </c>
      <c r="Q76" s="31">
        <f>4115</f>
        <v>4115</v>
      </c>
      <c r="R76" s="32" t="s">
        <v>1017</v>
      </c>
      <c r="S76" s="33">
        <f>3988.57</f>
        <v>3988.57</v>
      </c>
      <c r="T76" s="30">
        <f>604696</f>
        <v>604696</v>
      </c>
      <c r="U76" s="30">
        <f>10374</f>
        <v>10374</v>
      </c>
      <c r="V76" s="30">
        <f>2415572465</f>
        <v>2415572465</v>
      </c>
      <c r="W76" s="30">
        <f>41189110</f>
        <v>41189110</v>
      </c>
      <c r="X76" s="34">
        <f>21</f>
        <v>21</v>
      </c>
    </row>
    <row r="77" spans="1:24" x14ac:dyDescent="0.15">
      <c r="A77" s="25" t="s">
        <v>1237</v>
      </c>
      <c r="B77" s="25" t="s">
        <v>298</v>
      </c>
      <c r="C77" s="25" t="s">
        <v>299</v>
      </c>
      <c r="D77" s="25" t="s">
        <v>300</v>
      </c>
      <c r="E77" s="26" t="s">
        <v>45</v>
      </c>
      <c r="F77" s="27" t="s">
        <v>45</v>
      </c>
      <c r="G77" s="28" t="s">
        <v>45</v>
      </c>
      <c r="H77" s="29"/>
      <c r="I77" s="29" t="s">
        <v>46</v>
      </c>
      <c r="J77" s="30">
        <v>1</v>
      </c>
      <c r="K77" s="31">
        <f>10695</f>
        <v>10695</v>
      </c>
      <c r="L77" s="32" t="s">
        <v>995</v>
      </c>
      <c r="M77" s="31">
        <f>10760</f>
        <v>10760</v>
      </c>
      <c r="N77" s="32" t="s">
        <v>785</v>
      </c>
      <c r="O77" s="31">
        <f>9641</f>
        <v>9641</v>
      </c>
      <c r="P77" s="32" t="s">
        <v>56</v>
      </c>
      <c r="Q77" s="31">
        <f>9815</f>
        <v>9815</v>
      </c>
      <c r="R77" s="32" t="s">
        <v>1017</v>
      </c>
      <c r="S77" s="33">
        <f>10052.14</f>
        <v>10052.14</v>
      </c>
      <c r="T77" s="30">
        <f>178929</f>
        <v>178929</v>
      </c>
      <c r="U77" s="30">
        <f>470</f>
        <v>470</v>
      </c>
      <c r="V77" s="30">
        <f>1792140807</f>
        <v>1792140807</v>
      </c>
      <c r="W77" s="30">
        <f>4767115</f>
        <v>4767115</v>
      </c>
      <c r="X77" s="34">
        <f>21</f>
        <v>21</v>
      </c>
    </row>
    <row r="78" spans="1:24" x14ac:dyDescent="0.15">
      <c r="A78" s="25" t="s">
        <v>1237</v>
      </c>
      <c r="B78" s="25" t="s">
        <v>301</v>
      </c>
      <c r="C78" s="25" t="s">
        <v>302</v>
      </c>
      <c r="D78" s="25" t="s">
        <v>303</v>
      </c>
      <c r="E78" s="26" t="s">
        <v>45</v>
      </c>
      <c r="F78" s="27" t="s">
        <v>45</v>
      </c>
      <c r="G78" s="28" t="s">
        <v>45</v>
      </c>
      <c r="H78" s="29"/>
      <c r="I78" s="29" t="s">
        <v>46</v>
      </c>
      <c r="J78" s="30">
        <v>1</v>
      </c>
      <c r="K78" s="31">
        <f>45710</f>
        <v>45710</v>
      </c>
      <c r="L78" s="32" t="s">
        <v>995</v>
      </c>
      <c r="M78" s="31">
        <f>51400</f>
        <v>51400</v>
      </c>
      <c r="N78" s="32" t="s">
        <v>80</v>
      </c>
      <c r="O78" s="31">
        <f>41400</f>
        <v>41400</v>
      </c>
      <c r="P78" s="32" t="s">
        <v>1000</v>
      </c>
      <c r="Q78" s="31">
        <f>45270</f>
        <v>45270</v>
      </c>
      <c r="R78" s="32" t="s">
        <v>1017</v>
      </c>
      <c r="S78" s="33">
        <f>45789.52</f>
        <v>45789.52</v>
      </c>
      <c r="T78" s="30">
        <f>24031</f>
        <v>24031</v>
      </c>
      <c r="U78" s="30">
        <f>45</f>
        <v>45</v>
      </c>
      <c r="V78" s="30">
        <f>1107516440</f>
        <v>1107516440</v>
      </c>
      <c r="W78" s="30">
        <f>1967110</f>
        <v>1967110</v>
      </c>
      <c r="X78" s="34">
        <f>21</f>
        <v>21</v>
      </c>
    </row>
    <row r="79" spans="1:24" x14ac:dyDescent="0.15">
      <c r="A79" s="25" t="s">
        <v>1237</v>
      </c>
      <c r="B79" s="25" t="s">
        <v>304</v>
      </c>
      <c r="C79" s="25" t="s">
        <v>895</v>
      </c>
      <c r="D79" s="25" t="s">
        <v>896</v>
      </c>
      <c r="E79" s="26" t="s">
        <v>45</v>
      </c>
      <c r="F79" s="27" t="s">
        <v>45</v>
      </c>
      <c r="G79" s="28" t="s">
        <v>45</v>
      </c>
      <c r="H79" s="29"/>
      <c r="I79" s="29" t="s">
        <v>46</v>
      </c>
      <c r="J79" s="30">
        <v>1</v>
      </c>
      <c r="K79" s="31">
        <f>23875</f>
        <v>23875</v>
      </c>
      <c r="L79" s="32" t="s">
        <v>995</v>
      </c>
      <c r="M79" s="31">
        <f>24545</f>
        <v>24545</v>
      </c>
      <c r="N79" s="32" t="s">
        <v>80</v>
      </c>
      <c r="O79" s="31">
        <f>23095</f>
        <v>23095</v>
      </c>
      <c r="P79" s="32" t="s">
        <v>1000</v>
      </c>
      <c r="Q79" s="31">
        <f>24215</f>
        <v>24215</v>
      </c>
      <c r="R79" s="32" t="s">
        <v>1017</v>
      </c>
      <c r="S79" s="33">
        <f>23960</f>
        <v>23960</v>
      </c>
      <c r="T79" s="30">
        <f>1358182</f>
        <v>1358182</v>
      </c>
      <c r="U79" s="30">
        <f>26625</f>
        <v>26625</v>
      </c>
      <c r="V79" s="30">
        <f>32454138513</f>
        <v>32454138513</v>
      </c>
      <c r="W79" s="30">
        <f>630958123</f>
        <v>630958123</v>
      </c>
      <c r="X79" s="34">
        <f>21</f>
        <v>21</v>
      </c>
    </row>
    <row r="80" spans="1:24" x14ac:dyDescent="0.15">
      <c r="A80" s="25" t="s">
        <v>1237</v>
      </c>
      <c r="B80" s="25" t="s">
        <v>305</v>
      </c>
      <c r="C80" s="25" t="s">
        <v>897</v>
      </c>
      <c r="D80" s="25" t="s">
        <v>898</v>
      </c>
      <c r="E80" s="26" t="s">
        <v>45</v>
      </c>
      <c r="F80" s="27" t="s">
        <v>45</v>
      </c>
      <c r="G80" s="28" t="s">
        <v>45</v>
      </c>
      <c r="H80" s="29"/>
      <c r="I80" s="29" t="s">
        <v>46</v>
      </c>
      <c r="J80" s="30">
        <v>1</v>
      </c>
      <c r="K80" s="31">
        <f>51840</f>
        <v>51840</v>
      </c>
      <c r="L80" s="32" t="s">
        <v>995</v>
      </c>
      <c r="M80" s="31">
        <f>52740</f>
        <v>52740</v>
      </c>
      <c r="N80" s="32" t="s">
        <v>80</v>
      </c>
      <c r="O80" s="31">
        <f>50210</f>
        <v>50210</v>
      </c>
      <c r="P80" s="32" t="s">
        <v>1000</v>
      </c>
      <c r="Q80" s="31">
        <f>52040</f>
        <v>52040</v>
      </c>
      <c r="R80" s="32" t="s">
        <v>1017</v>
      </c>
      <c r="S80" s="33">
        <f>51800.95</f>
        <v>51800.95</v>
      </c>
      <c r="T80" s="30">
        <f>76545</f>
        <v>76545</v>
      </c>
      <c r="U80" s="30">
        <f>1902</f>
        <v>1902</v>
      </c>
      <c r="V80" s="30">
        <f>3954215095</f>
        <v>3954215095</v>
      </c>
      <c r="W80" s="30">
        <f>98545495</f>
        <v>98545495</v>
      </c>
      <c r="X80" s="34">
        <f>21</f>
        <v>21</v>
      </c>
    </row>
    <row r="81" spans="1:24" x14ac:dyDescent="0.15">
      <c r="A81" s="25" t="s">
        <v>1237</v>
      </c>
      <c r="B81" s="25" t="s">
        <v>306</v>
      </c>
      <c r="C81" s="25" t="s">
        <v>307</v>
      </c>
      <c r="D81" s="25" t="s">
        <v>308</v>
      </c>
      <c r="E81" s="26" t="s">
        <v>45</v>
      </c>
      <c r="F81" s="27" t="s">
        <v>45</v>
      </c>
      <c r="G81" s="28" t="s">
        <v>45</v>
      </c>
      <c r="H81" s="29"/>
      <c r="I81" s="29" t="s">
        <v>46</v>
      </c>
      <c r="J81" s="30">
        <v>10</v>
      </c>
      <c r="K81" s="31">
        <f>7403</f>
        <v>7403</v>
      </c>
      <c r="L81" s="32" t="s">
        <v>995</v>
      </c>
      <c r="M81" s="31">
        <f>7529</f>
        <v>7529</v>
      </c>
      <c r="N81" s="32" t="s">
        <v>80</v>
      </c>
      <c r="O81" s="31">
        <f>7163</f>
        <v>7163</v>
      </c>
      <c r="P81" s="32" t="s">
        <v>1000</v>
      </c>
      <c r="Q81" s="31">
        <f>7428</f>
        <v>7428</v>
      </c>
      <c r="R81" s="32" t="s">
        <v>1017</v>
      </c>
      <c r="S81" s="33">
        <f>7388.95</f>
        <v>7388.95</v>
      </c>
      <c r="T81" s="30">
        <f>1889240</f>
        <v>1889240</v>
      </c>
      <c r="U81" s="30">
        <f>104520</f>
        <v>104520</v>
      </c>
      <c r="V81" s="30">
        <f>13918995190</f>
        <v>13918995190</v>
      </c>
      <c r="W81" s="30">
        <f>774547730</f>
        <v>774547730</v>
      </c>
      <c r="X81" s="34">
        <f>21</f>
        <v>21</v>
      </c>
    </row>
    <row r="82" spans="1:24" x14ac:dyDescent="0.15">
      <c r="A82" s="25" t="s">
        <v>1237</v>
      </c>
      <c r="B82" s="25" t="s">
        <v>309</v>
      </c>
      <c r="C82" s="25" t="s">
        <v>310</v>
      </c>
      <c r="D82" s="25" t="s">
        <v>311</v>
      </c>
      <c r="E82" s="26" t="s">
        <v>45</v>
      </c>
      <c r="F82" s="27" t="s">
        <v>45</v>
      </c>
      <c r="G82" s="28" t="s">
        <v>45</v>
      </c>
      <c r="H82" s="29"/>
      <c r="I82" s="29" t="s">
        <v>46</v>
      </c>
      <c r="J82" s="30">
        <v>10</v>
      </c>
      <c r="K82" s="31">
        <f>4655</f>
        <v>4655</v>
      </c>
      <c r="L82" s="32" t="s">
        <v>995</v>
      </c>
      <c r="M82" s="31">
        <f>4716</f>
        <v>4716</v>
      </c>
      <c r="N82" s="32" t="s">
        <v>784</v>
      </c>
      <c r="O82" s="31">
        <f>4489</f>
        <v>4489</v>
      </c>
      <c r="P82" s="32" t="s">
        <v>1000</v>
      </c>
      <c r="Q82" s="31">
        <f>4647</f>
        <v>4647</v>
      </c>
      <c r="R82" s="32" t="s">
        <v>1017</v>
      </c>
      <c r="S82" s="33">
        <f>4632.81</f>
        <v>4632.8100000000004</v>
      </c>
      <c r="T82" s="30">
        <f>210970</f>
        <v>210970</v>
      </c>
      <c r="U82" s="30" t="str">
        <f>"－"</f>
        <v>－</v>
      </c>
      <c r="V82" s="30">
        <f>978322860</f>
        <v>978322860</v>
      </c>
      <c r="W82" s="30" t="str">
        <f>"－"</f>
        <v>－</v>
      </c>
      <c r="X82" s="34">
        <f>21</f>
        <v>21</v>
      </c>
    </row>
    <row r="83" spans="1:24" x14ac:dyDescent="0.15">
      <c r="A83" s="25" t="s">
        <v>1237</v>
      </c>
      <c r="B83" s="25" t="s">
        <v>312</v>
      </c>
      <c r="C83" s="25" t="s">
        <v>970</v>
      </c>
      <c r="D83" s="25" t="s">
        <v>971</v>
      </c>
      <c r="E83" s="26" t="s">
        <v>45</v>
      </c>
      <c r="F83" s="27" t="s">
        <v>45</v>
      </c>
      <c r="G83" s="28" t="s">
        <v>45</v>
      </c>
      <c r="H83" s="29"/>
      <c r="I83" s="29" t="s">
        <v>46</v>
      </c>
      <c r="J83" s="30">
        <v>10</v>
      </c>
      <c r="K83" s="31">
        <f>4850</f>
        <v>4850</v>
      </c>
      <c r="L83" s="32" t="s">
        <v>995</v>
      </c>
      <c r="M83" s="31">
        <f>4888</f>
        <v>4888</v>
      </c>
      <c r="N83" s="32" t="s">
        <v>1017</v>
      </c>
      <c r="O83" s="31">
        <f>4703</f>
        <v>4703</v>
      </c>
      <c r="P83" s="32" t="s">
        <v>78</v>
      </c>
      <c r="Q83" s="31">
        <f>4870</f>
        <v>4870</v>
      </c>
      <c r="R83" s="32" t="s">
        <v>1017</v>
      </c>
      <c r="S83" s="33">
        <f>4821.86</f>
        <v>4821.8599999999997</v>
      </c>
      <c r="T83" s="30">
        <f>5840</f>
        <v>5840</v>
      </c>
      <c r="U83" s="30" t="str">
        <f>"－"</f>
        <v>－</v>
      </c>
      <c r="V83" s="30">
        <f>28143580</f>
        <v>28143580</v>
      </c>
      <c r="W83" s="30" t="str">
        <f>"－"</f>
        <v>－</v>
      </c>
      <c r="X83" s="34">
        <f>21</f>
        <v>21</v>
      </c>
    </row>
    <row r="84" spans="1:24" x14ac:dyDescent="0.15">
      <c r="A84" s="25" t="s">
        <v>1237</v>
      </c>
      <c r="B84" s="25" t="s">
        <v>313</v>
      </c>
      <c r="C84" s="25" t="s">
        <v>314</v>
      </c>
      <c r="D84" s="25" t="s">
        <v>315</v>
      </c>
      <c r="E84" s="26" t="s">
        <v>45</v>
      </c>
      <c r="F84" s="27" t="s">
        <v>45</v>
      </c>
      <c r="G84" s="28" t="s">
        <v>45</v>
      </c>
      <c r="H84" s="29" t="s">
        <v>316</v>
      </c>
      <c r="I84" s="29" t="s">
        <v>46</v>
      </c>
      <c r="J84" s="30">
        <v>1</v>
      </c>
      <c r="K84" s="31">
        <f>465</f>
        <v>465</v>
      </c>
      <c r="L84" s="32" t="s">
        <v>995</v>
      </c>
      <c r="M84" s="31">
        <f>470</f>
        <v>470</v>
      </c>
      <c r="N84" s="32" t="s">
        <v>784</v>
      </c>
      <c r="O84" s="31">
        <f>396</f>
        <v>396</v>
      </c>
      <c r="P84" s="32" t="s">
        <v>1017</v>
      </c>
      <c r="Q84" s="31">
        <f>397</f>
        <v>397</v>
      </c>
      <c r="R84" s="32" t="s">
        <v>1017</v>
      </c>
      <c r="S84" s="33">
        <f>432.29</f>
        <v>432.29</v>
      </c>
      <c r="T84" s="30">
        <f>37692471</f>
        <v>37692471</v>
      </c>
      <c r="U84" s="30">
        <f>137817</f>
        <v>137817</v>
      </c>
      <c r="V84" s="30">
        <f>16324864560</f>
        <v>16324864560</v>
      </c>
      <c r="W84" s="30">
        <f>57900846</f>
        <v>57900846</v>
      </c>
      <c r="X84" s="34">
        <f>21</f>
        <v>21</v>
      </c>
    </row>
    <row r="85" spans="1:24" x14ac:dyDescent="0.15">
      <c r="A85" s="25" t="s">
        <v>1237</v>
      </c>
      <c r="B85" s="25" t="s">
        <v>317</v>
      </c>
      <c r="C85" s="25" t="s">
        <v>318</v>
      </c>
      <c r="D85" s="25" t="s">
        <v>319</v>
      </c>
      <c r="E85" s="26" t="s">
        <v>45</v>
      </c>
      <c r="F85" s="27" t="s">
        <v>45</v>
      </c>
      <c r="G85" s="28" t="s">
        <v>45</v>
      </c>
      <c r="H85" s="29"/>
      <c r="I85" s="29" t="s">
        <v>46</v>
      </c>
      <c r="J85" s="30">
        <v>10</v>
      </c>
      <c r="K85" s="31">
        <f>3875</f>
        <v>3875</v>
      </c>
      <c r="L85" s="32" t="s">
        <v>995</v>
      </c>
      <c r="M85" s="31">
        <f>3937</f>
        <v>3937</v>
      </c>
      <c r="N85" s="32" t="s">
        <v>80</v>
      </c>
      <c r="O85" s="31">
        <f>3750</f>
        <v>3750</v>
      </c>
      <c r="P85" s="32" t="s">
        <v>1000</v>
      </c>
      <c r="Q85" s="31">
        <f>3897</f>
        <v>3897</v>
      </c>
      <c r="R85" s="32" t="s">
        <v>1017</v>
      </c>
      <c r="S85" s="33">
        <f>3864.48</f>
        <v>3864.48</v>
      </c>
      <c r="T85" s="30">
        <f>108560</f>
        <v>108560</v>
      </c>
      <c r="U85" s="30" t="str">
        <f>"－"</f>
        <v>－</v>
      </c>
      <c r="V85" s="30">
        <f>419377780</f>
        <v>419377780</v>
      </c>
      <c r="W85" s="30" t="str">
        <f>"－"</f>
        <v>－</v>
      </c>
      <c r="X85" s="34">
        <f>21</f>
        <v>21</v>
      </c>
    </row>
    <row r="86" spans="1:24" x14ac:dyDescent="0.15">
      <c r="A86" s="25" t="s">
        <v>1237</v>
      </c>
      <c r="B86" s="25" t="s">
        <v>320</v>
      </c>
      <c r="C86" s="25" t="s">
        <v>1118</v>
      </c>
      <c r="D86" s="25" t="s">
        <v>322</v>
      </c>
      <c r="E86" s="26" t="s">
        <v>45</v>
      </c>
      <c r="F86" s="27" t="s">
        <v>45</v>
      </c>
      <c r="G86" s="28" t="s">
        <v>45</v>
      </c>
      <c r="H86" s="29"/>
      <c r="I86" s="29" t="s">
        <v>46</v>
      </c>
      <c r="J86" s="30">
        <v>10</v>
      </c>
      <c r="K86" s="31">
        <f>1756</f>
        <v>1756</v>
      </c>
      <c r="L86" s="32" t="s">
        <v>995</v>
      </c>
      <c r="M86" s="31">
        <f>1950</f>
        <v>1950</v>
      </c>
      <c r="N86" s="32" t="s">
        <v>1017</v>
      </c>
      <c r="O86" s="31">
        <f>1747</f>
        <v>1747</v>
      </c>
      <c r="P86" s="32" t="s">
        <v>1000</v>
      </c>
      <c r="Q86" s="31">
        <f>1940</f>
        <v>1940</v>
      </c>
      <c r="R86" s="32" t="s">
        <v>1017</v>
      </c>
      <c r="S86" s="33">
        <f>1847.26</f>
        <v>1847.26</v>
      </c>
      <c r="T86" s="30">
        <f>167650</f>
        <v>167650</v>
      </c>
      <c r="U86" s="30">
        <f>730</f>
        <v>730</v>
      </c>
      <c r="V86" s="30">
        <f>310745790</f>
        <v>310745790</v>
      </c>
      <c r="W86" s="30">
        <f>1417880</f>
        <v>1417880</v>
      </c>
      <c r="X86" s="34">
        <f>21</f>
        <v>21</v>
      </c>
    </row>
    <row r="87" spans="1:24" x14ac:dyDescent="0.15">
      <c r="A87" s="25" t="s">
        <v>1237</v>
      </c>
      <c r="B87" s="25" t="s">
        <v>323</v>
      </c>
      <c r="C87" s="25" t="s">
        <v>324</v>
      </c>
      <c r="D87" s="25" t="s">
        <v>325</v>
      </c>
      <c r="E87" s="26" t="s">
        <v>45</v>
      </c>
      <c r="F87" s="27" t="s">
        <v>45</v>
      </c>
      <c r="G87" s="28" t="s">
        <v>45</v>
      </c>
      <c r="H87" s="29"/>
      <c r="I87" s="29" t="s">
        <v>46</v>
      </c>
      <c r="J87" s="30">
        <v>1</v>
      </c>
      <c r="K87" s="31">
        <f>67500</f>
        <v>67500</v>
      </c>
      <c r="L87" s="32" t="s">
        <v>995</v>
      </c>
      <c r="M87" s="31">
        <f>68400</f>
        <v>68400</v>
      </c>
      <c r="N87" s="32" t="s">
        <v>80</v>
      </c>
      <c r="O87" s="31">
        <f>65300</f>
        <v>65300</v>
      </c>
      <c r="P87" s="32" t="s">
        <v>1000</v>
      </c>
      <c r="Q87" s="31">
        <f>67450</f>
        <v>67450</v>
      </c>
      <c r="R87" s="32" t="s">
        <v>1017</v>
      </c>
      <c r="S87" s="33">
        <f>67241.43</f>
        <v>67241.429999999993</v>
      </c>
      <c r="T87" s="30">
        <f>96794</f>
        <v>96794</v>
      </c>
      <c r="U87" s="30" t="str">
        <f>"－"</f>
        <v>－</v>
      </c>
      <c r="V87" s="30">
        <f>6513730200</f>
        <v>6513730200</v>
      </c>
      <c r="W87" s="30" t="str">
        <f>"－"</f>
        <v>－</v>
      </c>
      <c r="X87" s="34">
        <f>21</f>
        <v>21</v>
      </c>
    </row>
    <row r="88" spans="1:24" x14ac:dyDescent="0.15">
      <c r="A88" s="25" t="s">
        <v>1237</v>
      </c>
      <c r="B88" s="25" t="s">
        <v>326</v>
      </c>
      <c r="C88" s="25" t="s">
        <v>327</v>
      </c>
      <c r="D88" s="25" t="s">
        <v>328</v>
      </c>
      <c r="E88" s="26" t="s">
        <v>45</v>
      </c>
      <c r="F88" s="27" t="s">
        <v>45</v>
      </c>
      <c r="G88" s="28" t="s">
        <v>45</v>
      </c>
      <c r="H88" s="29"/>
      <c r="I88" s="29" t="s">
        <v>46</v>
      </c>
      <c r="J88" s="30">
        <v>1</v>
      </c>
      <c r="K88" s="31">
        <f>3325</f>
        <v>3325</v>
      </c>
      <c r="L88" s="32" t="s">
        <v>995</v>
      </c>
      <c r="M88" s="31">
        <f>3345</f>
        <v>3345</v>
      </c>
      <c r="N88" s="32" t="s">
        <v>785</v>
      </c>
      <c r="O88" s="31">
        <f>3200</f>
        <v>3200</v>
      </c>
      <c r="P88" s="32" t="s">
        <v>788</v>
      </c>
      <c r="Q88" s="31">
        <f>3285</f>
        <v>3285</v>
      </c>
      <c r="R88" s="32" t="s">
        <v>1017</v>
      </c>
      <c r="S88" s="33">
        <f>3273.81</f>
        <v>3273.81</v>
      </c>
      <c r="T88" s="30">
        <f>7634</f>
        <v>7634</v>
      </c>
      <c r="U88" s="30" t="str">
        <f>"－"</f>
        <v>－</v>
      </c>
      <c r="V88" s="30">
        <f>24922040</f>
        <v>24922040</v>
      </c>
      <c r="W88" s="30" t="str">
        <f>"－"</f>
        <v>－</v>
      </c>
      <c r="X88" s="34">
        <f>21</f>
        <v>21</v>
      </c>
    </row>
    <row r="89" spans="1:24" x14ac:dyDescent="0.15">
      <c r="A89" s="25" t="s">
        <v>1237</v>
      </c>
      <c r="B89" s="25" t="s">
        <v>329</v>
      </c>
      <c r="C89" s="25" t="s">
        <v>330</v>
      </c>
      <c r="D89" s="25" t="s">
        <v>331</v>
      </c>
      <c r="E89" s="26" t="s">
        <v>45</v>
      </c>
      <c r="F89" s="27" t="s">
        <v>45</v>
      </c>
      <c r="G89" s="28" t="s">
        <v>45</v>
      </c>
      <c r="H89" s="29"/>
      <c r="I89" s="29" t="s">
        <v>46</v>
      </c>
      <c r="J89" s="30">
        <v>1</v>
      </c>
      <c r="K89" s="31">
        <f>4500</f>
        <v>4500</v>
      </c>
      <c r="L89" s="32" t="s">
        <v>995</v>
      </c>
      <c r="M89" s="31">
        <f>4500</f>
        <v>4500</v>
      </c>
      <c r="N89" s="32" t="s">
        <v>995</v>
      </c>
      <c r="O89" s="31">
        <f>4320</f>
        <v>4320</v>
      </c>
      <c r="P89" s="32" t="s">
        <v>1000</v>
      </c>
      <c r="Q89" s="31">
        <f>4450</f>
        <v>4450</v>
      </c>
      <c r="R89" s="32" t="s">
        <v>1017</v>
      </c>
      <c r="S89" s="33">
        <f>4408.57</f>
        <v>4408.57</v>
      </c>
      <c r="T89" s="30">
        <f>6661</f>
        <v>6661</v>
      </c>
      <c r="U89" s="30" t="str">
        <f>"－"</f>
        <v>－</v>
      </c>
      <c r="V89" s="30">
        <f>29297685</f>
        <v>29297685</v>
      </c>
      <c r="W89" s="30" t="str">
        <f>"－"</f>
        <v>－</v>
      </c>
      <c r="X89" s="34">
        <f>21</f>
        <v>21</v>
      </c>
    </row>
    <row r="90" spans="1:24" x14ac:dyDescent="0.15">
      <c r="A90" s="25" t="s">
        <v>1237</v>
      </c>
      <c r="B90" s="25" t="s">
        <v>332</v>
      </c>
      <c r="C90" s="25" t="s">
        <v>972</v>
      </c>
      <c r="D90" s="25" t="s">
        <v>973</v>
      </c>
      <c r="E90" s="26" t="s">
        <v>45</v>
      </c>
      <c r="F90" s="27" t="s">
        <v>45</v>
      </c>
      <c r="G90" s="28" t="s">
        <v>45</v>
      </c>
      <c r="H90" s="29"/>
      <c r="I90" s="29" t="s">
        <v>46</v>
      </c>
      <c r="J90" s="30">
        <v>1</v>
      </c>
      <c r="K90" s="31">
        <f>2560</f>
        <v>2560</v>
      </c>
      <c r="L90" s="32" t="s">
        <v>995</v>
      </c>
      <c r="M90" s="31">
        <f>2588</f>
        <v>2588</v>
      </c>
      <c r="N90" s="32" t="s">
        <v>1017</v>
      </c>
      <c r="O90" s="31">
        <f>2348</f>
        <v>2348</v>
      </c>
      <c r="P90" s="32" t="s">
        <v>787</v>
      </c>
      <c r="Q90" s="31">
        <f>2562</f>
        <v>2562</v>
      </c>
      <c r="R90" s="32" t="s">
        <v>1017</v>
      </c>
      <c r="S90" s="33">
        <f>2459.48</f>
        <v>2459.48</v>
      </c>
      <c r="T90" s="30">
        <f>2412892</f>
        <v>2412892</v>
      </c>
      <c r="U90" s="30">
        <f>34643</f>
        <v>34643</v>
      </c>
      <c r="V90" s="30">
        <f>5919843074</f>
        <v>5919843074</v>
      </c>
      <c r="W90" s="30">
        <f>85448509</f>
        <v>85448509</v>
      </c>
      <c r="X90" s="34">
        <f>21</f>
        <v>21</v>
      </c>
    </row>
    <row r="91" spans="1:24" x14ac:dyDescent="0.15">
      <c r="A91" s="25" t="s">
        <v>1237</v>
      </c>
      <c r="B91" s="25" t="s">
        <v>333</v>
      </c>
      <c r="C91" s="25" t="s">
        <v>334</v>
      </c>
      <c r="D91" s="25" t="s">
        <v>335</v>
      </c>
      <c r="E91" s="26" t="s">
        <v>45</v>
      </c>
      <c r="F91" s="27" t="s">
        <v>45</v>
      </c>
      <c r="G91" s="28" t="s">
        <v>45</v>
      </c>
      <c r="H91" s="29"/>
      <c r="I91" s="29" t="s">
        <v>46</v>
      </c>
      <c r="J91" s="30">
        <v>1</v>
      </c>
      <c r="K91" s="31">
        <f>48570</f>
        <v>48570</v>
      </c>
      <c r="L91" s="32" t="s">
        <v>995</v>
      </c>
      <c r="M91" s="31">
        <f>48800</f>
        <v>48800</v>
      </c>
      <c r="N91" s="32" t="s">
        <v>995</v>
      </c>
      <c r="O91" s="31">
        <f>47020</f>
        <v>47020</v>
      </c>
      <c r="P91" s="32" t="s">
        <v>1005</v>
      </c>
      <c r="Q91" s="31">
        <f>48170</f>
        <v>48170</v>
      </c>
      <c r="R91" s="32" t="s">
        <v>1017</v>
      </c>
      <c r="S91" s="33">
        <f>48078.1</f>
        <v>48078.1</v>
      </c>
      <c r="T91" s="30">
        <f>15090</f>
        <v>15090</v>
      </c>
      <c r="U91" s="30">
        <f>419</f>
        <v>419</v>
      </c>
      <c r="V91" s="30">
        <f>724574736</f>
        <v>724574736</v>
      </c>
      <c r="W91" s="30">
        <f>20097826</f>
        <v>20097826</v>
      </c>
      <c r="X91" s="34">
        <f>21</f>
        <v>21</v>
      </c>
    </row>
    <row r="92" spans="1:24" x14ac:dyDescent="0.15">
      <c r="A92" s="25" t="s">
        <v>1237</v>
      </c>
      <c r="B92" s="25" t="s">
        <v>336</v>
      </c>
      <c r="C92" s="25" t="s">
        <v>337</v>
      </c>
      <c r="D92" s="25" t="s">
        <v>338</v>
      </c>
      <c r="E92" s="26" t="s">
        <v>45</v>
      </c>
      <c r="F92" s="27" t="s">
        <v>45</v>
      </c>
      <c r="G92" s="28" t="s">
        <v>45</v>
      </c>
      <c r="H92" s="29"/>
      <c r="I92" s="29" t="s">
        <v>46</v>
      </c>
      <c r="J92" s="30">
        <v>10</v>
      </c>
      <c r="K92" s="31">
        <f>37080</f>
        <v>37080</v>
      </c>
      <c r="L92" s="32" t="s">
        <v>995</v>
      </c>
      <c r="M92" s="31">
        <f>37170</f>
        <v>37170</v>
      </c>
      <c r="N92" s="32" t="s">
        <v>78</v>
      </c>
      <c r="O92" s="31">
        <f>34210</f>
        <v>34210</v>
      </c>
      <c r="P92" s="32" t="s">
        <v>788</v>
      </c>
      <c r="Q92" s="31">
        <f>36390</f>
        <v>36390</v>
      </c>
      <c r="R92" s="32" t="s">
        <v>1017</v>
      </c>
      <c r="S92" s="33">
        <f>35840</f>
        <v>35840</v>
      </c>
      <c r="T92" s="30">
        <f>1659470</f>
        <v>1659470</v>
      </c>
      <c r="U92" s="30" t="str">
        <f>"－"</f>
        <v>－</v>
      </c>
      <c r="V92" s="30">
        <f>59449928600</f>
        <v>59449928600</v>
      </c>
      <c r="W92" s="30" t="str">
        <f>"－"</f>
        <v>－</v>
      </c>
      <c r="X92" s="34">
        <f>21</f>
        <v>21</v>
      </c>
    </row>
    <row r="93" spans="1:24" x14ac:dyDescent="0.15">
      <c r="A93" s="25" t="s">
        <v>1237</v>
      </c>
      <c r="B93" s="25" t="s">
        <v>339</v>
      </c>
      <c r="C93" s="25" t="s">
        <v>340</v>
      </c>
      <c r="D93" s="25" t="s">
        <v>341</v>
      </c>
      <c r="E93" s="26" t="s">
        <v>45</v>
      </c>
      <c r="F93" s="27" t="s">
        <v>45</v>
      </c>
      <c r="G93" s="28" t="s">
        <v>45</v>
      </c>
      <c r="H93" s="29"/>
      <c r="I93" s="29" t="s">
        <v>46</v>
      </c>
      <c r="J93" s="30">
        <v>10</v>
      </c>
      <c r="K93" s="31">
        <f>1561</f>
        <v>1561</v>
      </c>
      <c r="L93" s="32" t="s">
        <v>995</v>
      </c>
      <c r="M93" s="31">
        <f>1619.5</f>
        <v>1619.5</v>
      </c>
      <c r="N93" s="32" t="s">
        <v>788</v>
      </c>
      <c r="O93" s="31">
        <f>1557</f>
        <v>1557</v>
      </c>
      <c r="P93" s="32" t="s">
        <v>78</v>
      </c>
      <c r="Q93" s="31">
        <f>1568</f>
        <v>1568</v>
      </c>
      <c r="R93" s="32" t="s">
        <v>1017</v>
      </c>
      <c r="S93" s="33">
        <f>1583.33</f>
        <v>1583.33</v>
      </c>
      <c r="T93" s="30">
        <f>899420</f>
        <v>899420</v>
      </c>
      <c r="U93" s="30" t="str">
        <f>"－"</f>
        <v>－</v>
      </c>
      <c r="V93" s="30">
        <f>1427466040</f>
        <v>1427466040</v>
      </c>
      <c r="W93" s="30" t="str">
        <f>"－"</f>
        <v>－</v>
      </c>
      <c r="X93" s="34">
        <f>21</f>
        <v>21</v>
      </c>
    </row>
    <row r="94" spans="1:24" x14ac:dyDescent="0.15">
      <c r="A94" s="25" t="s">
        <v>1237</v>
      </c>
      <c r="B94" s="25" t="s">
        <v>342</v>
      </c>
      <c r="C94" s="25" t="s">
        <v>343</v>
      </c>
      <c r="D94" s="25" t="s">
        <v>344</v>
      </c>
      <c r="E94" s="26" t="s">
        <v>45</v>
      </c>
      <c r="F94" s="27" t="s">
        <v>45</v>
      </c>
      <c r="G94" s="28" t="s">
        <v>45</v>
      </c>
      <c r="H94" s="29"/>
      <c r="I94" s="29" t="s">
        <v>46</v>
      </c>
      <c r="J94" s="30">
        <v>1</v>
      </c>
      <c r="K94" s="31">
        <f>21240</f>
        <v>21240</v>
      </c>
      <c r="L94" s="32" t="s">
        <v>995</v>
      </c>
      <c r="M94" s="31">
        <f>21505</f>
        <v>21505</v>
      </c>
      <c r="N94" s="32" t="s">
        <v>80</v>
      </c>
      <c r="O94" s="31">
        <f>19520</f>
        <v>19520</v>
      </c>
      <c r="P94" s="32" t="s">
        <v>1000</v>
      </c>
      <c r="Q94" s="31">
        <f>21055</f>
        <v>21055</v>
      </c>
      <c r="R94" s="32" t="s">
        <v>1017</v>
      </c>
      <c r="S94" s="33">
        <f>20631.43</f>
        <v>20631.43</v>
      </c>
      <c r="T94" s="30">
        <f>109085949</f>
        <v>109085949</v>
      </c>
      <c r="U94" s="30">
        <f>50457</f>
        <v>50457</v>
      </c>
      <c r="V94" s="30">
        <f>2248090828474</f>
        <v>2248090828474</v>
      </c>
      <c r="W94" s="30">
        <f>1036787449</f>
        <v>1036787449</v>
      </c>
      <c r="X94" s="34">
        <f>21</f>
        <v>21</v>
      </c>
    </row>
    <row r="95" spans="1:24" x14ac:dyDescent="0.15">
      <c r="A95" s="25" t="s">
        <v>1237</v>
      </c>
      <c r="B95" s="25" t="s">
        <v>345</v>
      </c>
      <c r="C95" s="25" t="s">
        <v>346</v>
      </c>
      <c r="D95" s="25" t="s">
        <v>347</v>
      </c>
      <c r="E95" s="26" t="s">
        <v>45</v>
      </c>
      <c r="F95" s="27" t="s">
        <v>45</v>
      </c>
      <c r="G95" s="28" t="s">
        <v>45</v>
      </c>
      <c r="H95" s="29"/>
      <c r="I95" s="29" t="s">
        <v>46</v>
      </c>
      <c r="J95" s="30">
        <v>1</v>
      </c>
      <c r="K95" s="31">
        <f>743</f>
        <v>743</v>
      </c>
      <c r="L95" s="32" t="s">
        <v>995</v>
      </c>
      <c r="M95" s="31">
        <f>774</f>
        <v>774</v>
      </c>
      <c r="N95" s="32" t="s">
        <v>1000</v>
      </c>
      <c r="O95" s="31">
        <f>736</f>
        <v>736</v>
      </c>
      <c r="P95" s="32" t="s">
        <v>80</v>
      </c>
      <c r="Q95" s="31">
        <f>744</f>
        <v>744</v>
      </c>
      <c r="R95" s="32" t="s">
        <v>1017</v>
      </c>
      <c r="S95" s="33">
        <f>752.33</f>
        <v>752.33</v>
      </c>
      <c r="T95" s="30">
        <f>50276228</f>
        <v>50276228</v>
      </c>
      <c r="U95" s="30">
        <f>2363444</f>
        <v>2363444</v>
      </c>
      <c r="V95" s="30">
        <f>37826882569</f>
        <v>37826882569</v>
      </c>
      <c r="W95" s="30">
        <f>1792761142</f>
        <v>1792761142</v>
      </c>
      <c r="X95" s="34">
        <f>21</f>
        <v>21</v>
      </c>
    </row>
    <row r="96" spans="1:24" x14ac:dyDescent="0.15">
      <c r="A96" s="25" t="s">
        <v>1237</v>
      </c>
      <c r="B96" s="25" t="s">
        <v>348</v>
      </c>
      <c r="C96" s="25" t="s">
        <v>349</v>
      </c>
      <c r="D96" s="25" t="s">
        <v>350</v>
      </c>
      <c r="E96" s="26" t="s">
        <v>45</v>
      </c>
      <c r="F96" s="27" t="s">
        <v>45</v>
      </c>
      <c r="G96" s="28" t="s">
        <v>45</v>
      </c>
      <c r="H96" s="29"/>
      <c r="I96" s="29" t="s">
        <v>46</v>
      </c>
      <c r="J96" s="30">
        <v>10</v>
      </c>
      <c r="K96" s="31">
        <f>3810</f>
        <v>3810</v>
      </c>
      <c r="L96" s="32" t="s">
        <v>995</v>
      </c>
      <c r="M96" s="31">
        <f>3848</f>
        <v>3848</v>
      </c>
      <c r="N96" s="32" t="s">
        <v>995</v>
      </c>
      <c r="O96" s="31">
        <f>3154</f>
        <v>3154</v>
      </c>
      <c r="P96" s="32" t="s">
        <v>789</v>
      </c>
      <c r="Q96" s="31">
        <f>3401</f>
        <v>3401</v>
      </c>
      <c r="R96" s="32" t="s">
        <v>1017</v>
      </c>
      <c r="S96" s="33">
        <f>3358.52</f>
        <v>3358.52</v>
      </c>
      <c r="T96" s="30">
        <f>387160</f>
        <v>387160</v>
      </c>
      <c r="U96" s="30" t="str">
        <f>"－"</f>
        <v>－</v>
      </c>
      <c r="V96" s="30">
        <f>1307769700</f>
        <v>1307769700</v>
      </c>
      <c r="W96" s="30" t="str">
        <f>"－"</f>
        <v>－</v>
      </c>
      <c r="X96" s="34">
        <f>21</f>
        <v>21</v>
      </c>
    </row>
    <row r="97" spans="1:24" x14ac:dyDescent="0.15">
      <c r="A97" s="25" t="s">
        <v>1237</v>
      </c>
      <c r="B97" s="25" t="s">
        <v>351</v>
      </c>
      <c r="C97" s="25" t="s">
        <v>352</v>
      </c>
      <c r="D97" s="25" t="s">
        <v>353</v>
      </c>
      <c r="E97" s="26" t="s">
        <v>45</v>
      </c>
      <c r="F97" s="27" t="s">
        <v>45</v>
      </c>
      <c r="G97" s="28" t="s">
        <v>45</v>
      </c>
      <c r="H97" s="29"/>
      <c r="I97" s="29" t="s">
        <v>46</v>
      </c>
      <c r="J97" s="30">
        <v>10</v>
      </c>
      <c r="K97" s="31">
        <f>12640</f>
        <v>12640</v>
      </c>
      <c r="L97" s="32" t="s">
        <v>995</v>
      </c>
      <c r="M97" s="31">
        <f>13425</f>
        <v>13425</v>
      </c>
      <c r="N97" s="32" t="s">
        <v>794</v>
      </c>
      <c r="O97" s="31">
        <f>12255</f>
        <v>12255</v>
      </c>
      <c r="P97" s="32" t="s">
        <v>1017</v>
      </c>
      <c r="Q97" s="31">
        <f>12330</f>
        <v>12330</v>
      </c>
      <c r="R97" s="32" t="s">
        <v>1017</v>
      </c>
      <c r="S97" s="33">
        <f>12825.95</f>
        <v>12825.95</v>
      </c>
      <c r="T97" s="30">
        <f>51690</f>
        <v>51690</v>
      </c>
      <c r="U97" s="30">
        <f>20</f>
        <v>20</v>
      </c>
      <c r="V97" s="30">
        <f>662035000</f>
        <v>662035000</v>
      </c>
      <c r="W97" s="30">
        <f>255900</f>
        <v>255900</v>
      </c>
      <c r="X97" s="34">
        <f>21</f>
        <v>21</v>
      </c>
    </row>
    <row r="98" spans="1:24" x14ac:dyDescent="0.15">
      <c r="A98" s="25" t="s">
        <v>1237</v>
      </c>
      <c r="B98" s="25" t="s">
        <v>354</v>
      </c>
      <c r="C98" s="25" t="s">
        <v>355</v>
      </c>
      <c r="D98" s="25" t="s">
        <v>1119</v>
      </c>
      <c r="E98" s="26" t="s">
        <v>45</v>
      </c>
      <c r="F98" s="27" t="s">
        <v>45</v>
      </c>
      <c r="G98" s="28" t="s">
        <v>45</v>
      </c>
      <c r="H98" s="29"/>
      <c r="I98" s="29" t="s">
        <v>46</v>
      </c>
      <c r="J98" s="30">
        <v>1</v>
      </c>
      <c r="K98" s="31">
        <f>32480</f>
        <v>32480</v>
      </c>
      <c r="L98" s="32" t="s">
        <v>995</v>
      </c>
      <c r="M98" s="31">
        <f>32540</f>
        <v>32540</v>
      </c>
      <c r="N98" s="32" t="s">
        <v>78</v>
      </c>
      <c r="O98" s="31">
        <f>30730</f>
        <v>30730</v>
      </c>
      <c r="P98" s="32" t="s">
        <v>788</v>
      </c>
      <c r="Q98" s="31">
        <f>31970</f>
        <v>31970</v>
      </c>
      <c r="R98" s="32" t="s">
        <v>1017</v>
      </c>
      <c r="S98" s="33">
        <f>31734.29</f>
        <v>31734.29</v>
      </c>
      <c r="T98" s="30">
        <f>109972</f>
        <v>109972</v>
      </c>
      <c r="U98" s="30">
        <f>39816</f>
        <v>39816</v>
      </c>
      <c r="V98" s="30">
        <f>3468929916</f>
        <v>3468929916</v>
      </c>
      <c r="W98" s="30">
        <f>1253472316</f>
        <v>1253472316</v>
      </c>
      <c r="X98" s="34">
        <f>21</f>
        <v>21</v>
      </c>
    </row>
    <row r="99" spans="1:24" x14ac:dyDescent="0.15">
      <c r="A99" s="25" t="s">
        <v>1237</v>
      </c>
      <c r="B99" s="25" t="s">
        <v>357</v>
      </c>
      <c r="C99" s="25" t="s">
        <v>358</v>
      </c>
      <c r="D99" s="25" t="s">
        <v>359</v>
      </c>
      <c r="E99" s="26" t="s">
        <v>45</v>
      </c>
      <c r="F99" s="27" t="s">
        <v>45</v>
      </c>
      <c r="G99" s="28" t="s">
        <v>45</v>
      </c>
      <c r="H99" s="29"/>
      <c r="I99" s="29" t="s">
        <v>46</v>
      </c>
      <c r="J99" s="30">
        <v>1</v>
      </c>
      <c r="K99" s="31">
        <f>2693</f>
        <v>2693</v>
      </c>
      <c r="L99" s="32" t="s">
        <v>995</v>
      </c>
      <c r="M99" s="31">
        <f>2736</f>
        <v>2736</v>
      </c>
      <c r="N99" s="32" t="s">
        <v>997</v>
      </c>
      <c r="O99" s="31">
        <f>2582</f>
        <v>2582</v>
      </c>
      <c r="P99" s="32" t="s">
        <v>1000</v>
      </c>
      <c r="Q99" s="31">
        <f>2685</f>
        <v>2685</v>
      </c>
      <c r="R99" s="32" t="s">
        <v>1017</v>
      </c>
      <c r="S99" s="33">
        <f>2656.95</f>
        <v>2656.95</v>
      </c>
      <c r="T99" s="30">
        <f>690272</f>
        <v>690272</v>
      </c>
      <c r="U99" s="30">
        <f>561000</f>
        <v>561000</v>
      </c>
      <c r="V99" s="30">
        <f>1834349986</f>
        <v>1834349986</v>
      </c>
      <c r="W99" s="30">
        <f>1490021700</f>
        <v>1490021700</v>
      </c>
      <c r="X99" s="34">
        <f>21</f>
        <v>21</v>
      </c>
    </row>
    <row r="100" spans="1:24" x14ac:dyDescent="0.15">
      <c r="A100" s="25" t="s">
        <v>1237</v>
      </c>
      <c r="B100" s="25" t="s">
        <v>360</v>
      </c>
      <c r="C100" s="25" t="s">
        <v>361</v>
      </c>
      <c r="D100" s="25" t="s">
        <v>362</v>
      </c>
      <c r="E100" s="26" t="s">
        <v>45</v>
      </c>
      <c r="F100" s="27" t="s">
        <v>45</v>
      </c>
      <c r="G100" s="28" t="s">
        <v>45</v>
      </c>
      <c r="H100" s="29"/>
      <c r="I100" s="29" t="s">
        <v>46</v>
      </c>
      <c r="J100" s="30">
        <v>10</v>
      </c>
      <c r="K100" s="31">
        <f>22710</f>
        <v>22710</v>
      </c>
      <c r="L100" s="32" t="s">
        <v>995</v>
      </c>
      <c r="M100" s="31">
        <f>22990</f>
        <v>22990</v>
      </c>
      <c r="N100" s="32" t="s">
        <v>80</v>
      </c>
      <c r="O100" s="31">
        <f>20860</f>
        <v>20860</v>
      </c>
      <c r="P100" s="32" t="s">
        <v>1000</v>
      </c>
      <c r="Q100" s="31">
        <f>22495</f>
        <v>22495</v>
      </c>
      <c r="R100" s="32" t="s">
        <v>1017</v>
      </c>
      <c r="S100" s="33">
        <f>22050.24</f>
        <v>22050.240000000002</v>
      </c>
      <c r="T100" s="30">
        <f>9482730</f>
        <v>9482730</v>
      </c>
      <c r="U100" s="30">
        <f>70</f>
        <v>70</v>
      </c>
      <c r="V100" s="30">
        <f>208889826700</f>
        <v>208889826700</v>
      </c>
      <c r="W100" s="30">
        <f>1547150</f>
        <v>1547150</v>
      </c>
      <c r="X100" s="34">
        <f>21</f>
        <v>21</v>
      </c>
    </row>
    <row r="101" spans="1:24" x14ac:dyDescent="0.15">
      <c r="A101" s="25" t="s">
        <v>1237</v>
      </c>
      <c r="B101" s="25" t="s">
        <v>363</v>
      </c>
      <c r="C101" s="25" t="s">
        <v>364</v>
      </c>
      <c r="D101" s="25" t="s">
        <v>365</v>
      </c>
      <c r="E101" s="26" t="s">
        <v>45</v>
      </c>
      <c r="F101" s="27" t="s">
        <v>45</v>
      </c>
      <c r="G101" s="28" t="s">
        <v>45</v>
      </c>
      <c r="H101" s="29"/>
      <c r="I101" s="29" t="s">
        <v>46</v>
      </c>
      <c r="J101" s="30">
        <v>10</v>
      </c>
      <c r="K101" s="31">
        <f>1973</f>
        <v>1973</v>
      </c>
      <c r="L101" s="32" t="s">
        <v>995</v>
      </c>
      <c r="M101" s="31">
        <f>2054</f>
        <v>2054</v>
      </c>
      <c r="N101" s="32" t="s">
        <v>1000</v>
      </c>
      <c r="O101" s="31">
        <f>1953</f>
        <v>1953</v>
      </c>
      <c r="P101" s="32" t="s">
        <v>80</v>
      </c>
      <c r="Q101" s="31">
        <f>1974</f>
        <v>1974</v>
      </c>
      <c r="R101" s="32" t="s">
        <v>1017</v>
      </c>
      <c r="S101" s="33">
        <f>1997.07</f>
        <v>1997.07</v>
      </c>
      <c r="T101" s="30">
        <f>3204750</f>
        <v>3204750</v>
      </c>
      <c r="U101" s="30">
        <f>520000</f>
        <v>520000</v>
      </c>
      <c r="V101" s="30">
        <f>6394940305</f>
        <v>6394940305</v>
      </c>
      <c r="W101" s="30">
        <f>1036485000</f>
        <v>1036485000</v>
      </c>
      <c r="X101" s="34">
        <f>21</f>
        <v>21</v>
      </c>
    </row>
    <row r="102" spans="1:24" x14ac:dyDescent="0.15">
      <c r="A102" s="25" t="s">
        <v>1237</v>
      </c>
      <c r="B102" s="25" t="s">
        <v>369</v>
      </c>
      <c r="C102" s="25" t="s">
        <v>1059</v>
      </c>
      <c r="D102" s="25" t="s">
        <v>1060</v>
      </c>
      <c r="E102" s="26" t="s">
        <v>45</v>
      </c>
      <c r="F102" s="27" t="s">
        <v>45</v>
      </c>
      <c r="G102" s="28" t="s">
        <v>45</v>
      </c>
      <c r="H102" s="29"/>
      <c r="I102" s="29" t="s">
        <v>46</v>
      </c>
      <c r="J102" s="30">
        <v>10</v>
      </c>
      <c r="K102" s="31">
        <f>1671</f>
        <v>1671</v>
      </c>
      <c r="L102" s="32" t="s">
        <v>995</v>
      </c>
      <c r="M102" s="31">
        <f>1683</f>
        <v>1683</v>
      </c>
      <c r="N102" s="32" t="s">
        <v>995</v>
      </c>
      <c r="O102" s="31">
        <f>1626</f>
        <v>1626</v>
      </c>
      <c r="P102" s="32" t="s">
        <v>788</v>
      </c>
      <c r="Q102" s="31">
        <f>1670</f>
        <v>1670</v>
      </c>
      <c r="R102" s="32" t="s">
        <v>1017</v>
      </c>
      <c r="S102" s="33">
        <f>1656.88</f>
        <v>1656.88</v>
      </c>
      <c r="T102" s="30">
        <f>23820</f>
        <v>23820</v>
      </c>
      <c r="U102" s="30">
        <f>30</f>
        <v>30</v>
      </c>
      <c r="V102" s="30">
        <f>39491930</f>
        <v>39491930</v>
      </c>
      <c r="W102" s="30">
        <f>49660</f>
        <v>49660</v>
      </c>
      <c r="X102" s="34">
        <f>21</f>
        <v>21</v>
      </c>
    </row>
    <row r="103" spans="1:24" x14ac:dyDescent="0.15">
      <c r="A103" s="25" t="s">
        <v>1237</v>
      </c>
      <c r="B103" s="25" t="s">
        <v>372</v>
      </c>
      <c r="C103" s="25" t="s">
        <v>373</v>
      </c>
      <c r="D103" s="25" t="s">
        <v>374</v>
      </c>
      <c r="E103" s="26" t="s">
        <v>45</v>
      </c>
      <c r="F103" s="27" t="s">
        <v>45</v>
      </c>
      <c r="G103" s="28" t="s">
        <v>45</v>
      </c>
      <c r="H103" s="29"/>
      <c r="I103" s="29" t="s">
        <v>46</v>
      </c>
      <c r="J103" s="30">
        <v>1</v>
      </c>
      <c r="K103" s="31">
        <f>1940</f>
        <v>1940</v>
      </c>
      <c r="L103" s="32" t="s">
        <v>995</v>
      </c>
      <c r="M103" s="31">
        <f>2040</f>
        <v>2040</v>
      </c>
      <c r="N103" s="32" t="s">
        <v>56</v>
      </c>
      <c r="O103" s="31">
        <f>1871</f>
        <v>1871</v>
      </c>
      <c r="P103" s="32" t="s">
        <v>789</v>
      </c>
      <c r="Q103" s="31">
        <f>1940</f>
        <v>1940</v>
      </c>
      <c r="R103" s="32" t="s">
        <v>1017</v>
      </c>
      <c r="S103" s="33">
        <f>1925.57</f>
        <v>1925.57</v>
      </c>
      <c r="T103" s="30">
        <f>5965</f>
        <v>5965</v>
      </c>
      <c r="U103" s="30">
        <f>1</f>
        <v>1</v>
      </c>
      <c r="V103" s="30">
        <f>11549398</f>
        <v>11549398</v>
      </c>
      <c r="W103" s="30">
        <f>1900</f>
        <v>1900</v>
      </c>
      <c r="X103" s="34">
        <f>21</f>
        <v>21</v>
      </c>
    </row>
    <row r="104" spans="1:24" x14ac:dyDescent="0.15">
      <c r="A104" s="25" t="s">
        <v>1237</v>
      </c>
      <c r="B104" s="25" t="s">
        <v>375</v>
      </c>
      <c r="C104" s="25" t="s">
        <v>376</v>
      </c>
      <c r="D104" s="25" t="s">
        <v>377</v>
      </c>
      <c r="E104" s="26" t="s">
        <v>45</v>
      </c>
      <c r="F104" s="27" t="s">
        <v>45</v>
      </c>
      <c r="G104" s="28" t="s">
        <v>45</v>
      </c>
      <c r="H104" s="29"/>
      <c r="I104" s="29" t="s">
        <v>46</v>
      </c>
      <c r="J104" s="30">
        <v>1</v>
      </c>
      <c r="K104" s="31">
        <f>21615</f>
        <v>21615</v>
      </c>
      <c r="L104" s="32" t="s">
        <v>995</v>
      </c>
      <c r="M104" s="31">
        <f>21630</f>
        <v>21630</v>
      </c>
      <c r="N104" s="32" t="s">
        <v>995</v>
      </c>
      <c r="O104" s="31">
        <f>20765</f>
        <v>20765</v>
      </c>
      <c r="P104" s="32" t="s">
        <v>788</v>
      </c>
      <c r="Q104" s="31">
        <f>21365</f>
        <v>21365</v>
      </c>
      <c r="R104" s="32" t="s">
        <v>1017</v>
      </c>
      <c r="S104" s="33">
        <f>21256.19</f>
        <v>21256.19</v>
      </c>
      <c r="T104" s="30">
        <f>69526</f>
        <v>69526</v>
      </c>
      <c r="U104" s="30">
        <f>20230</f>
        <v>20230</v>
      </c>
      <c r="V104" s="30">
        <f>1476333425</f>
        <v>1476333425</v>
      </c>
      <c r="W104" s="30">
        <f>428178970</f>
        <v>428178970</v>
      </c>
      <c r="X104" s="34">
        <f>21</f>
        <v>21</v>
      </c>
    </row>
    <row r="105" spans="1:24" x14ac:dyDescent="0.15">
      <c r="A105" s="25" t="s">
        <v>1237</v>
      </c>
      <c r="B105" s="25" t="s">
        <v>378</v>
      </c>
      <c r="C105" s="25" t="s">
        <v>379</v>
      </c>
      <c r="D105" s="25" t="s">
        <v>380</v>
      </c>
      <c r="E105" s="26" t="s">
        <v>45</v>
      </c>
      <c r="F105" s="27" t="s">
        <v>45</v>
      </c>
      <c r="G105" s="28" t="s">
        <v>45</v>
      </c>
      <c r="H105" s="29"/>
      <c r="I105" s="29" t="s">
        <v>46</v>
      </c>
      <c r="J105" s="30">
        <v>1</v>
      </c>
      <c r="K105" s="31">
        <f>1994</f>
        <v>1994</v>
      </c>
      <c r="L105" s="32" t="s">
        <v>995</v>
      </c>
      <c r="M105" s="31">
        <f>1994</f>
        <v>1994</v>
      </c>
      <c r="N105" s="32" t="s">
        <v>995</v>
      </c>
      <c r="O105" s="31">
        <f>1917</f>
        <v>1917</v>
      </c>
      <c r="P105" s="32" t="s">
        <v>788</v>
      </c>
      <c r="Q105" s="31">
        <f>1978</f>
        <v>1978</v>
      </c>
      <c r="R105" s="32" t="s">
        <v>1017</v>
      </c>
      <c r="S105" s="33">
        <f>1962.1</f>
        <v>1962.1</v>
      </c>
      <c r="T105" s="30">
        <f>486213</f>
        <v>486213</v>
      </c>
      <c r="U105" s="30">
        <f>211448</f>
        <v>211448</v>
      </c>
      <c r="V105" s="30">
        <f>950348845</f>
        <v>950348845</v>
      </c>
      <c r="W105" s="30">
        <f>413262796</f>
        <v>413262796</v>
      </c>
      <c r="X105" s="34">
        <f>21</f>
        <v>21</v>
      </c>
    </row>
    <row r="106" spans="1:24" x14ac:dyDescent="0.15">
      <c r="A106" s="25" t="s">
        <v>1237</v>
      </c>
      <c r="B106" s="25" t="s">
        <v>381</v>
      </c>
      <c r="C106" s="25" t="s">
        <v>382</v>
      </c>
      <c r="D106" s="25" t="s">
        <v>383</v>
      </c>
      <c r="E106" s="26" t="s">
        <v>45</v>
      </c>
      <c r="F106" s="27" t="s">
        <v>45</v>
      </c>
      <c r="G106" s="28" t="s">
        <v>45</v>
      </c>
      <c r="H106" s="29"/>
      <c r="I106" s="29" t="s">
        <v>46</v>
      </c>
      <c r="J106" s="30">
        <v>1</v>
      </c>
      <c r="K106" s="31">
        <f>22280</f>
        <v>22280</v>
      </c>
      <c r="L106" s="32" t="s">
        <v>995</v>
      </c>
      <c r="M106" s="31">
        <f>22300</f>
        <v>22300</v>
      </c>
      <c r="N106" s="32" t="s">
        <v>995</v>
      </c>
      <c r="O106" s="31">
        <f>21440</f>
        <v>21440</v>
      </c>
      <c r="P106" s="32" t="s">
        <v>788</v>
      </c>
      <c r="Q106" s="31">
        <f>22090</f>
        <v>22090</v>
      </c>
      <c r="R106" s="32" t="s">
        <v>1017</v>
      </c>
      <c r="S106" s="33">
        <f>21932.38</f>
        <v>21932.38</v>
      </c>
      <c r="T106" s="30">
        <f>39516</f>
        <v>39516</v>
      </c>
      <c r="U106" s="30">
        <f>5400</f>
        <v>5400</v>
      </c>
      <c r="V106" s="30">
        <f>866582235</f>
        <v>866582235</v>
      </c>
      <c r="W106" s="30">
        <f>117849060</f>
        <v>117849060</v>
      </c>
      <c r="X106" s="34">
        <f>21</f>
        <v>21</v>
      </c>
    </row>
    <row r="107" spans="1:24" x14ac:dyDescent="0.15">
      <c r="A107" s="25" t="s">
        <v>1237</v>
      </c>
      <c r="B107" s="25" t="s">
        <v>384</v>
      </c>
      <c r="C107" s="25" t="s">
        <v>385</v>
      </c>
      <c r="D107" s="25" t="s">
        <v>386</v>
      </c>
      <c r="E107" s="26" t="s">
        <v>45</v>
      </c>
      <c r="F107" s="27" t="s">
        <v>45</v>
      </c>
      <c r="G107" s="28" t="s">
        <v>45</v>
      </c>
      <c r="H107" s="29"/>
      <c r="I107" s="29" t="s">
        <v>46</v>
      </c>
      <c r="J107" s="30">
        <v>10</v>
      </c>
      <c r="K107" s="31">
        <f>1875</f>
        <v>1875</v>
      </c>
      <c r="L107" s="32" t="s">
        <v>995</v>
      </c>
      <c r="M107" s="31">
        <f>1875</f>
        <v>1875</v>
      </c>
      <c r="N107" s="32" t="s">
        <v>995</v>
      </c>
      <c r="O107" s="31">
        <f>1799.5</f>
        <v>1799.5</v>
      </c>
      <c r="P107" s="32" t="s">
        <v>786</v>
      </c>
      <c r="Q107" s="31">
        <f>1851.5</f>
        <v>1851.5</v>
      </c>
      <c r="R107" s="32" t="s">
        <v>1017</v>
      </c>
      <c r="S107" s="33">
        <f>1839.83</f>
        <v>1839.83</v>
      </c>
      <c r="T107" s="30">
        <f>1547750</f>
        <v>1547750</v>
      </c>
      <c r="U107" s="30">
        <f>636700</f>
        <v>636700</v>
      </c>
      <c r="V107" s="30">
        <f>2826430289</f>
        <v>2826430289</v>
      </c>
      <c r="W107" s="30">
        <f>1156921004</f>
        <v>1156921004</v>
      </c>
      <c r="X107" s="34">
        <f>21</f>
        <v>21</v>
      </c>
    </row>
    <row r="108" spans="1:24" x14ac:dyDescent="0.15">
      <c r="A108" s="25" t="s">
        <v>1237</v>
      </c>
      <c r="B108" s="25" t="s">
        <v>387</v>
      </c>
      <c r="C108" s="25" t="s">
        <v>388</v>
      </c>
      <c r="D108" s="25" t="s">
        <v>389</v>
      </c>
      <c r="E108" s="26" t="s">
        <v>45</v>
      </c>
      <c r="F108" s="27" t="s">
        <v>45</v>
      </c>
      <c r="G108" s="28" t="s">
        <v>45</v>
      </c>
      <c r="H108" s="29"/>
      <c r="I108" s="29" t="s">
        <v>46</v>
      </c>
      <c r="J108" s="30">
        <v>10</v>
      </c>
      <c r="K108" s="31">
        <f>2000</f>
        <v>2000</v>
      </c>
      <c r="L108" s="32" t="s">
        <v>995</v>
      </c>
      <c r="M108" s="31">
        <f>2000</f>
        <v>2000</v>
      </c>
      <c r="N108" s="32" t="s">
        <v>995</v>
      </c>
      <c r="O108" s="31">
        <f>1965</f>
        <v>1965</v>
      </c>
      <c r="P108" s="32" t="s">
        <v>1002</v>
      </c>
      <c r="Q108" s="31">
        <f>1981</f>
        <v>1981</v>
      </c>
      <c r="R108" s="32" t="s">
        <v>786</v>
      </c>
      <c r="S108" s="33">
        <f>1980.25</f>
        <v>1980.25</v>
      </c>
      <c r="T108" s="30">
        <f>210</f>
        <v>210</v>
      </c>
      <c r="U108" s="30" t="str">
        <f>"－"</f>
        <v>－</v>
      </c>
      <c r="V108" s="30">
        <f>419210</f>
        <v>419210</v>
      </c>
      <c r="W108" s="30" t="str">
        <f>"－"</f>
        <v>－</v>
      </c>
      <c r="X108" s="34">
        <f>4</f>
        <v>4</v>
      </c>
    </row>
    <row r="109" spans="1:24" x14ac:dyDescent="0.15">
      <c r="A109" s="25" t="s">
        <v>1237</v>
      </c>
      <c r="B109" s="25" t="s">
        <v>390</v>
      </c>
      <c r="C109" s="25" t="s">
        <v>391</v>
      </c>
      <c r="D109" s="25" t="s">
        <v>392</v>
      </c>
      <c r="E109" s="26" t="s">
        <v>45</v>
      </c>
      <c r="F109" s="27" t="s">
        <v>45</v>
      </c>
      <c r="G109" s="28" t="s">
        <v>45</v>
      </c>
      <c r="H109" s="29"/>
      <c r="I109" s="29" t="s">
        <v>46</v>
      </c>
      <c r="J109" s="30">
        <v>10</v>
      </c>
      <c r="K109" s="31">
        <f>1889.5</f>
        <v>1889.5</v>
      </c>
      <c r="L109" s="32" t="s">
        <v>995</v>
      </c>
      <c r="M109" s="31">
        <f>1892</f>
        <v>1892</v>
      </c>
      <c r="N109" s="32" t="s">
        <v>995</v>
      </c>
      <c r="O109" s="31">
        <f>1804</f>
        <v>1804</v>
      </c>
      <c r="P109" s="32" t="s">
        <v>786</v>
      </c>
      <c r="Q109" s="31">
        <f>1858</f>
        <v>1858</v>
      </c>
      <c r="R109" s="32" t="s">
        <v>1017</v>
      </c>
      <c r="S109" s="33">
        <f>1847.1</f>
        <v>1847.1</v>
      </c>
      <c r="T109" s="30">
        <f>3798770</f>
        <v>3798770</v>
      </c>
      <c r="U109" s="30">
        <f>2204940</f>
        <v>2204940</v>
      </c>
      <c r="V109" s="30">
        <f>7011225248</f>
        <v>7011225248</v>
      </c>
      <c r="W109" s="30">
        <f>4068567728</f>
        <v>4068567728</v>
      </c>
      <c r="X109" s="34">
        <f>21</f>
        <v>21</v>
      </c>
    </row>
    <row r="110" spans="1:24" x14ac:dyDescent="0.15">
      <c r="A110" s="25" t="s">
        <v>1237</v>
      </c>
      <c r="B110" s="25" t="s">
        <v>393</v>
      </c>
      <c r="C110" s="25" t="s">
        <v>1061</v>
      </c>
      <c r="D110" s="25" t="s">
        <v>1062</v>
      </c>
      <c r="E110" s="26" t="s">
        <v>45</v>
      </c>
      <c r="F110" s="27" t="s">
        <v>45</v>
      </c>
      <c r="G110" s="28" t="s">
        <v>45</v>
      </c>
      <c r="H110" s="29"/>
      <c r="I110" s="29" t="s">
        <v>46</v>
      </c>
      <c r="J110" s="30">
        <v>1</v>
      </c>
      <c r="K110" s="31">
        <f>21920</f>
        <v>21920</v>
      </c>
      <c r="L110" s="32" t="s">
        <v>785</v>
      </c>
      <c r="M110" s="31">
        <f>22200</f>
        <v>22200</v>
      </c>
      <c r="N110" s="32" t="s">
        <v>788</v>
      </c>
      <c r="O110" s="31">
        <f>21325</f>
        <v>21325</v>
      </c>
      <c r="P110" s="32" t="s">
        <v>788</v>
      </c>
      <c r="Q110" s="31">
        <f>21905</f>
        <v>21905</v>
      </c>
      <c r="R110" s="32" t="s">
        <v>1017</v>
      </c>
      <c r="S110" s="33">
        <f>21746.76</f>
        <v>21746.76</v>
      </c>
      <c r="T110" s="30">
        <f>27280</f>
        <v>27280</v>
      </c>
      <c r="U110" s="30">
        <f>21300</f>
        <v>21300</v>
      </c>
      <c r="V110" s="30">
        <f>588425440</f>
        <v>588425440</v>
      </c>
      <c r="W110" s="30">
        <f>459331650</f>
        <v>459331650</v>
      </c>
      <c r="X110" s="34">
        <f>17</f>
        <v>17</v>
      </c>
    </row>
    <row r="111" spans="1:24" x14ac:dyDescent="0.15">
      <c r="A111" s="25" t="s">
        <v>1237</v>
      </c>
      <c r="B111" s="25" t="s">
        <v>396</v>
      </c>
      <c r="C111" s="25" t="s">
        <v>397</v>
      </c>
      <c r="D111" s="25" t="s">
        <v>398</v>
      </c>
      <c r="E111" s="26" t="s">
        <v>45</v>
      </c>
      <c r="F111" s="27" t="s">
        <v>45</v>
      </c>
      <c r="G111" s="28" t="s">
        <v>45</v>
      </c>
      <c r="H111" s="29"/>
      <c r="I111" s="29" t="s">
        <v>46</v>
      </c>
      <c r="J111" s="30">
        <v>100</v>
      </c>
      <c r="K111" s="31">
        <f>273.6</f>
        <v>273.60000000000002</v>
      </c>
      <c r="L111" s="32" t="s">
        <v>995</v>
      </c>
      <c r="M111" s="31">
        <f>278.4</f>
        <v>278.39999999999998</v>
      </c>
      <c r="N111" s="32" t="s">
        <v>794</v>
      </c>
      <c r="O111" s="31">
        <f>252.1</f>
        <v>252.1</v>
      </c>
      <c r="P111" s="32" t="s">
        <v>80</v>
      </c>
      <c r="Q111" s="31">
        <f>261.5</f>
        <v>261.5</v>
      </c>
      <c r="R111" s="32" t="s">
        <v>1017</v>
      </c>
      <c r="S111" s="33">
        <f>265.12</f>
        <v>265.12</v>
      </c>
      <c r="T111" s="30">
        <f>106335000</f>
        <v>106335000</v>
      </c>
      <c r="U111" s="30">
        <f>23517300</f>
        <v>23517300</v>
      </c>
      <c r="V111" s="30">
        <f>28320208100</f>
        <v>28320208100</v>
      </c>
      <c r="W111" s="30">
        <f>6261712100</f>
        <v>6261712100</v>
      </c>
      <c r="X111" s="34">
        <f>21</f>
        <v>21</v>
      </c>
    </row>
    <row r="112" spans="1:24" x14ac:dyDescent="0.15">
      <c r="A112" s="25" t="s">
        <v>1237</v>
      </c>
      <c r="B112" s="25" t="s">
        <v>399</v>
      </c>
      <c r="C112" s="25" t="s">
        <v>400</v>
      </c>
      <c r="D112" s="25" t="s">
        <v>401</v>
      </c>
      <c r="E112" s="26" t="s">
        <v>45</v>
      </c>
      <c r="F112" s="27" t="s">
        <v>45</v>
      </c>
      <c r="G112" s="28" t="s">
        <v>45</v>
      </c>
      <c r="H112" s="29"/>
      <c r="I112" s="29" t="s">
        <v>46</v>
      </c>
      <c r="J112" s="30">
        <v>1</v>
      </c>
      <c r="K112" s="31">
        <f>36210</f>
        <v>36210</v>
      </c>
      <c r="L112" s="32" t="s">
        <v>995</v>
      </c>
      <c r="M112" s="31">
        <f>36500</f>
        <v>36500</v>
      </c>
      <c r="N112" s="32" t="s">
        <v>1003</v>
      </c>
      <c r="O112" s="31">
        <f>34340</f>
        <v>34340</v>
      </c>
      <c r="P112" s="32" t="s">
        <v>788</v>
      </c>
      <c r="Q112" s="31">
        <f>35350</f>
        <v>35350</v>
      </c>
      <c r="R112" s="32" t="s">
        <v>1017</v>
      </c>
      <c r="S112" s="33">
        <f>35561.43</f>
        <v>35561.43</v>
      </c>
      <c r="T112" s="30">
        <f>4163</f>
        <v>4163</v>
      </c>
      <c r="U112" s="30" t="str">
        <f>"－"</f>
        <v>－</v>
      </c>
      <c r="V112" s="30">
        <f>145433910</f>
        <v>145433910</v>
      </c>
      <c r="W112" s="30" t="str">
        <f>"－"</f>
        <v>－</v>
      </c>
      <c r="X112" s="34">
        <f>21</f>
        <v>21</v>
      </c>
    </row>
    <row r="113" spans="1:24" x14ac:dyDescent="0.15">
      <c r="A113" s="25" t="s">
        <v>1237</v>
      </c>
      <c r="B113" s="25" t="s">
        <v>402</v>
      </c>
      <c r="C113" s="25" t="s">
        <v>403</v>
      </c>
      <c r="D113" s="25" t="s">
        <v>404</v>
      </c>
      <c r="E113" s="26" t="s">
        <v>45</v>
      </c>
      <c r="F113" s="27" t="s">
        <v>45</v>
      </c>
      <c r="G113" s="28" t="s">
        <v>45</v>
      </c>
      <c r="H113" s="29"/>
      <c r="I113" s="29" t="s">
        <v>46</v>
      </c>
      <c r="J113" s="30">
        <v>1</v>
      </c>
      <c r="K113" s="31">
        <f>18235</f>
        <v>18235</v>
      </c>
      <c r="L113" s="32" t="s">
        <v>995</v>
      </c>
      <c r="M113" s="31">
        <f>18270</f>
        <v>18270</v>
      </c>
      <c r="N113" s="32" t="s">
        <v>995</v>
      </c>
      <c r="O113" s="31">
        <f>16965</f>
        <v>16965</v>
      </c>
      <c r="P113" s="32" t="s">
        <v>788</v>
      </c>
      <c r="Q113" s="31">
        <f>17260</f>
        <v>17260</v>
      </c>
      <c r="R113" s="32" t="s">
        <v>1017</v>
      </c>
      <c r="S113" s="33">
        <f>17442.62</f>
        <v>17442.62</v>
      </c>
      <c r="T113" s="30">
        <f>5580</f>
        <v>5580</v>
      </c>
      <c r="U113" s="30">
        <f>3</f>
        <v>3</v>
      </c>
      <c r="V113" s="30">
        <f>97448665</f>
        <v>97448665</v>
      </c>
      <c r="W113" s="30">
        <f>51450</f>
        <v>51450</v>
      </c>
      <c r="X113" s="34">
        <f>21</f>
        <v>21</v>
      </c>
    </row>
    <row r="114" spans="1:24" x14ac:dyDescent="0.15">
      <c r="A114" s="25" t="s">
        <v>1237</v>
      </c>
      <c r="B114" s="25" t="s">
        <v>405</v>
      </c>
      <c r="C114" s="25" t="s">
        <v>406</v>
      </c>
      <c r="D114" s="25" t="s">
        <v>407</v>
      </c>
      <c r="E114" s="26" t="s">
        <v>45</v>
      </c>
      <c r="F114" s="27" t="s">
        <v>45</v>
      </c>
      <c r="G114" s="28" t="s">
        <v>45</v>
      </c>
      <c r="H114" s="29"/>
      <c r="I114" s="29" t="s">
        <v>46</v>
      </c>
      <c r="J114" s="30">
        <v>1</v>
      </c>
      <c r="K114" s="31">
        <f>26430</f>
        <v>26430</v>
      </c>
      <c r="L114" s="32" t="s">
        <v>995</v>
      </c>
      <c r="M114" s="31">
        <f>26610</f>
        <v>26610</v>
      </c>
      <c r="N114" s="32" t="s">
        <v>78</v>
      </c>
      <c r="O114" s="31">
        <f>25590</f>
        <v>25590</v>
      </c>
      <c r="P114" s="32" t="s">
        <v>788</v>
      </c>
      <c r="Q114" s="31">
        <f>26510</f>
        <v>26510</v>
      </c>
      <c r="R114" s="32" t="s">
        <v>1017</v>
      </c>
      <c r="S114" s="33">
        <f>26190.71</f>
        <v>26190.71</v>
      </c>
      <c r="T114" s="30">
        <f>1363</f>
        <v>1363</v>
      </c>
      <c r="U114" s="30" t="str">
        <f>"－"</f>
        <v>－</v>
      </c>
      <c r="V114" s="30">
        <f>35673845</f>
        <v>35673845</v>
      </c>
      <c r="W114" s="30" t="str">
        <f>"－"</f>
        <v>－</v>
      </c>
      <c r="X114" s="34">
        <f>21</f>
        <v>21</v>
      </c>
    </row>
    <row r="115" spans="1:24" x14ac:dyDescent="0.15">
      <c r="A115" s="25" t="s">
        <v>1237</v>
      </c>
      <c r="B115" s="25" t="s">
        <v>408</v>
      </c>
      <c r="C115" s="25" t="s">
        <v>409</v>
      </c>
      <c r="D115" s="25" t="s">
        <v>410</v>
      </c>
      <c r="E115" s="26" t="s">
        <v>45</v>
      </c>
      <c r="F115" s="27" t="s">
        <v>45</v>
      </c>
      <c r="G115" s="28" t="s">
        <v>45</v>
      </c>
      <c r="H115" s="29"/>
      <c r="I115" s="29" t="s">
        <v>46</v>
      </c>
      <c r="J115" s="30">
        <v>1</v>
      </c>
      <c r="K115" s="31">
        <f>28340</f>
        <v>28340</v>
      </c>
      <c r="L115" s="32" t="s">
        <v>995</v>
      </c>
      <c r="M115" s="31">
        <f>29015</f>
        <v>29015</v>
      </c>
      <c r="N115" s="32" t="s">
        <v>789</v>
      </c>
      <c r="O115" s="31">
        <f>27275</f>
        <v>27275</v>
      </c>
      <c r="P115" s="32" t="s">
        <v>1000</v>
      </c>
      <c r="Q115" s="31">
        <f>28810</f>
        <v>28810</v>
      </c>
      <c r="R115" s="32" t="s">
        <v>1017</v>
      </c>
      <c r="S115" s="33">
        <f>28070.71</f>
        <v>28070.71</v>
      </c>
      <c r="T115" s="30">
        <f>1414</f>
        <v>1414</v>
      </c>
      <c r="U115" s="30" t="str">
        <f>"－"</f>
        <v>－</v>
      </c>
      <c r="V115" s="30">
        <f>39828795</f>
        <v>39828795</v>
      </c>
      <c r="W115" s="30" t="str">
        <f>"－"</f>
        <v>－</v>
      </c>
      <c r="X115" s="34">
        <f>21</f>
        <v>21</v>
      </c>
    </row>
    <row r="116" spans="1:24" x14ac:dyDescent="0.15">
      <c r="A116" s="25" t="s">
        <v>1237</v>
      </c>
      <c r="B116" s="25" t="s">
        <v>411</v>
      </c>
      <c r="C116" s="25" t="s">
        <v>412</v>
      </c>
      <c r="D116" s="25" t="s">
        <v>413</v>
      </c>
      <c r="E116" s="26" t="s">
        <v>45</v>
      </c>
      <c r="F116" s="27" t="s">
        <v>45</v>
      </c>
      <c r="G116" s="28" t="s">
        <v>45</v>
      </c>
      <c r="H116" s="29"/>
      <c r="I116" s="29" t="s">
        <v>46</v>
      </c>
      <c r="J116" s="30">
        <v>1</v>
      </c>
      <c r="K116" s="31">
        <f>26555</f>
        <v>26555</v>
      </c>
      <c r="L116" s="32" t="s">
        <v>995</v>
      </c>
      <c r="M116" s="31">
        <f>26730</f>
        <v>26730</v>
      </c>
      <c r="N116" s="32" t="s">
        <v>78</v>
      </c>
      <c r="O116" s="31">
        <f>25040</f>
        <v>25040</v>
      </c>
      <c r="P116" s="32" t="s">
        <v>788</v>
      </c>
      <c r="Q116" s="31">
        <f>25405</f>
        <v>25405</v>
      </c>
      <c r="R116" s="32" t="s">
        <v>1017</v>
      </c>
      <c r="S116" s="33">
        <f>25763.33</f>
        <v>25763.33</v>
      </c>
      <c r="T116" s="30">
        <f>8564</f>
        <v>8564</v>
      </c>
      <c r="U116" s="30">
        <f>3000</f>
        <v>3000</v>
      </c>
      <c r="V116" s="30">
        <f>219498515</f>
        <v>219498515</v>
      </c>
      <c r="W116" s="30">
        <f>76167900</f>
        <v>76167900</v>
      </c>
      <c r="X116" s="34">
        <f>21</f>
        <v>21</v>
      </c>
    </row>
    <row r="117" spans="1:24" x14ac:dyDescent="0.15">
      <c r="A117" s="25" t="s">
        <v>1237</v>
      </c>
      <c r="B117" s="25" t="s">
        <v>414</v>
      </c>
      <c r="C117" s="25" t="s">
        <v>415</v>
      </c>
      <c r="D117" s="25" t="s">
        <v>416</v>
      </c>
      <c r="E117" s="26" t="s">
        <v>45</v>
      </c>
      <c r="F117" s="27" t="s">
        <v>45</v>
      </c>
      <c r="G117" s="28" t="s">
        <v>45</v>
      </c>
      <c r="H117" s="29"/>
      <c r="I117" s="29" t="s">
        <v>46</v>
      </c>
      <c r="J117" s="30">
        <v>1</v>
      </c>
      <c r="K117" s="31">
        <f>30490</f>
        <v>30490</v>
      </c>
      <c r="L117" s="32" t="s">
        <v>995</v>
      </c>
      <c r="M117" s="31">
        <f>30680</f>
        <v>30680</v>
      </c>
      <c r="N117" s="32" t="s">
        <v>995</v>
      </c>
      <c r="O117" s="31">
        <f>27725</f>
        <v>27725</v>
      </c>
      <c r="P117" s="32" t="s">
        <v>1005</v>
      </c>
      <c r="Q117" s="31">
        <f>28485</f>
        <v>28485</v>
      </c>
      <c r="R117" s="32" t="s">
        <v>1017</v>
      </c>
      <c r="S117" s="33">
        <f>28920.95</f>
        <v>28920.95</v>
      </c>
      <c r="T117" s="30">
        <f>16609</f>
        <v>16609</v>
      </c>
      <c r="U117" s="30" t="str">
        <f>"－"</f>
        <v>－</v>
      </c>
      <c r="V117" s="30">
        <f>477722850</f>
        <v>477722850</v>
      </c>
      <c r="W117" s="30" t="str">
        <f>"－"</f>
        <v>－</v>
      </c>
      <c r="X117" s="34">
        <f>21</f>
        <v>21</v>
      </c>
    </row>
    <row r="118" spans="1:24" x14ac:dyDescent="0.15">
      <c r="A118" s="25" t="s">
        <v>1237</v>
      </c>
      <c r="B118" s="25" t="s">
        <v>417</v>
      </c>
      <c r="C118" s="25" t="s">
        <v>418</v>
      </c>
      <c r="D118" s="25" t="s">
        <v>419</v>
      </c>
      <c r="E118" s="26" t="s">
        <v>45</v>
      </c>
      <c r="F118" s="27" t="s">
        <v>45</v>
      </c>
      <c r="G118" s="28" t="s">
        <v>45</v>
      </c>
      <c r="H118" s="29"/>
      <c r="I118" s="29" t="s">
        <v>46</v>
      </c>
      <c r="J118" s="30">
        <v>1</v>
      </c>
      <c r="K118" s="31">
        <f>23740</f>
        <v>23740</v>
      </c>
      <c r="L118" s="32" t="s">
        <v>995</v>
      </c>
      <c r="M118" s="31">
        <f>23740</f>
        <v>23740</v>
      </c>
      <c r="N118" s="32" t="s">
        <v>995</v>
      </c>
      <c r="O118" s="31">
        <f>22020</f>
        <v>22020</v>
      </c>
      <c r="P118" s="32" t="s">
        <v>790</v>
      </c>
      <c r="Q118" s="31">
        <f>23030</f>
        <v>23030</v>
      </c>
      <c r="R118" s="32" t="s">
        <v>1017</v>
      </c>
      <c r="S118" s="33">
        <f>22853.33</f>
        <v>22853.33</v>
      </c>
      <c r="T118" s="30">
        <f>6443</f>
        <v>6443</v>
      </c>
      <c r="U118" s="30">
        <f>1</f>
        <v>1</v>
      </c>
      <c r="V118" s="30">
        <f>146902525</f>
        <v>146902525</v>
      </c>
      <c r="W118" s="30">
        <f>24100</f>
        <v>24100</v>
      </c>
      <c r="X118" s="34">
        <f>21</f>
        <v>21</v>
      </c>
    </row>
    <row r="119" spans="1:24" x14ac:dyDescent="0.15">
      <c r="A119" s="25" t="s">
        <v>1237</v>
      </c>
      <c r="B119" s="25" t="s">
        <v>420</v>
      </c>
      <c r="C119" s="25" t="s">
        <v>421</v>
      </c>
      <c r="D119" s="25" t="s">
        <v>422</v>
      </c>
      <c r="E119" s="26" t="s">
        <v>45</v>
      </c>
      <c r="F119" s="27" t="s">
        <v>45</v>
      </c>
      <c r="G119" s="28" t="s">
        <v>45</v>
      </c>
      <c r="H119" s="29"/>
      <c r="I119" s="29" t="s">
        <v>46</v>
      </c>
      <c r="J119" s="30">
        <v>1</v>
      </c>
      <c r="K119" s="31">
        <f>47630</f>
        <v>47630</v>
      </c>
      <c r="L119" s="32" t="s">
        <v>995</v>
      </c>
      <c r="M119" s="31">
        <f>48400</f>
        <v>48400</v>
      </c>
      <c r="N119" s="32" t="s">
        <v>255</v>
      </c>
      <c r="O119" s="31">
        <f>44850</f>
        <v>44850</v>
      </c>
      <c r="P119" s="32" t="s">
        <v>1000</v>
      </c>
      <c r="Q119" s="31">
        <f>48210</f>
        <v>48210</v>
      </c>
      <c r="R119" s="32" t="s">
        <v>1017</v>
      </c>
      <c r="S119" s="33">
        <f>46810.95</f>
        <v>46810.95</v>
      </c>
      <c r="T119" s="30">
        <f>3458</f>
        <v>3458</v>
      </c>
      <c r="U119" s="30">
        <f>1000</f>
        <v>1000</v>
      </c>
      <c r="V119" s="30">
        <f>161460770</f>
        <v>161460770</v>
      </c>
      <c r="W119" s="30">
        <f>46202100</f>
        <v>46202100</v>
      </c>
      <c r="X119" s="34">
        <f>21</f>
        <v>21</v>
      </c>
    </row>
    <row r="120" spans="1:24" x14ac:dyDescent="0.15">
      <c r="A120" s="25" t="s">
        <v>1237</v>
      </c>
      <c r="B120" s="25" t="s">
        <v>423</v>
      </c>
      <c r="C120" s="25" t="s">
        <v>424</v>
      </c>
      <c r="D120" s="25" t="s">
        <v>425</v>
      </c>
      <c r="E120" s="26" t="s">
        <v>45</v>
      </c>
      <c r="F120" s="27" t="s">
        <v>45</v>
      </c>
      <c r="G120" s="28" t="s">
        <v>45</v>
      </c>
      <c r="H120" s="29"/>
      <c r="I120" s="29" t="s">
        <v>46</v>
      </c>
      <c r="J120" s="30">
        <v>1</v>
      </c>
      <c r="K120" s="31">
        <f>33040</f>
        <v>33040</v>
      </c>
      <c r="L120" s="32" t="s">
        <v>995</v>
      </c>
      <c r="M120" s="31">
        <f>33390</f>
        <v>33390</v>
      </c>
      <c r="N120" s="32" t="s">
        <v>997</v>
      </c>
      <c r="O120" s="31">
        <f>31750</f>
        <v>31750</v>
      </c>
      <c r="P120" s="32" t="s">
        <v>1000</v>
      </c>
      <c r="Q120" s="31">
        <f>33140</f>
        <v>33140</v>
      </c>
      <c r="R120" s="32" t="s">
        <v>1017</v>
      </c>
      <c r="S120" s="33">
        <f>32669.05</f>
        <v>32669.05</v>
      </c>
      <c r="T120" s="30">
        <f>18458</f>
        <v>18458</v>
      </c>
      <c r="U120" s="30" t="str">
        <f>"－"</f>
        <v>－</v>
      </c>
      <c r="V120" s="30">
        <f>600557250</f>
        <v>600557250</v>
      </c>
      <c r="W120" s="30" t="str">
        <f>"－"</f>
        <v>－</v>
      </c>
      <c r="X120" s="34">
        <f>21</f>
        <v>21</v>
      </c>
    </row>
    <row r="121" spans="1:24" x14ac:dyDescent="0.15">
      <c r="A121" s="25" t="s">
        <v>1237</v>
      </c>
      <c r="B121" s="25" t="s">
        <v>426</v>
      </c>
      <c r="C121" s="25" t="s">
        <v>427</v>
      </c>
      <c r="D121" s="25" t="s">
        <v>428</v>
      </c>
      <c r="E121" s="26" t="s">
        <v>45</v>
      </c>
      <c r="F121" s="27" t="s">
        <v>45</v>
      </c>
      <c r="G121" s="28" t="s">
        <v>45</v>
      </c>
      <c r="H121" s="29"/>
      <c r="I121" s="29" t="s">
        <v>46</v>
      </c>
      <c r="J121" s="30">
        <v>1</v>
      </c>
      <c r="K121" s="31">
        <f>31250</f>
        <v>31250</v>
      </c>
      <c r="L121" s="32" t="s">
        <v>995</v>
      </c>
      <c r="M121" s="31">
        <f>31700</f>
        <v>31700</v>
      </c>
      <c r="N121" s="32" t="s">
        <v>1017</v>
      </c>
      <c r="O121" s="31">
        <f>30500</f>
        <v>30500</v>
      </c>
      <c r="P121" s="32" t="s">
        <v>1000</v>
      </c>
      <c r="Q121" s="31">
        <f>31580</f>
        <v>31580</v>
      </c>
      <c r="R121" s="32" t="s">
        <v>1017</v>
      </c>
      <c r="S121" s="33">
        <f>31027.14</f>
        <v>31027.14</v>
      </c>
      <c r="T121" s="30">
        <f>1542</f>
        <v>1542</v>
      </c>
      <c r="U121" s="30">
        <f>1</f>
        <v>1</v>
      </c>
      <c r="V121" s="30">
        <f>48061080</f>
        <v>48061080</v>
      </c>
      <c r="W121" s="30">
        <f>31050</f>
        <v>31050</v>
      </c>
      <c r="X121" s="34">
        <f>21</f>
        <v>21</v>
      </c>
    </row>
    <row r="122" spans="1:24" x14ac:dyDescent="0.15">
      <c r="A122" s="25" t="s">
        <v>1237</v>
      </c>
      <c r="B122" s="25" t="s">
        <v>429</v>
      </c>
      <c r="C122" s="25" t="s">
        <v>430</v>
      </c>
      <c r="D122" s="25" t="s">
        <v>431</v>
      </c>
      <c r="E122" s="26" t="s">
        <v>45</v>
      </c>
      <c r="F122" s="27" t="s">
        <v>45</v>
      </c>
      <c r="G122" s="28" t="s">
        <v>45</v>
      </c>
      <c r="H122" s="29"/>
      <c r="I122" s="29" t="s">
        <v>46</v>
      </c>
      <c r="J122" s="30">
        <v>1</v>
      </c>
      <c r="K122" s="31">
        <f>7935</f>
        <v>7935</v>
      </c>
      <c r="L122" s="32" t="s">
        <v>995</v>
      </c>
      <c r="M122" s="31">
        <f>8717</f>
        <v>8717</v>
      </c>
      <c r="N122" s="32" t="s">
        <v>787</v>
      </c>
      <c r="O122" s="31">
        <f>7771</f>
        <v>7771</v>
      </c>
      <c r="P122" s="32" t="s">
        <v>786</v>
      </c>
      <c r="Q122" s="31">
        <f>7962</f>
        <v>7962</v>
      </c>
      <c r="R122" s="32" t="s">
        <v>1017</v>
      </c>
      <c r="S122" s="33">
        <f>8081.76</f>
        <v>8081.76</v>
      </c>
      <c r="T122" s="30">
        <f>49942</f>
        <v>49942</v>
      </c>
      <c r="U122" s="30">
        <f>6000</f>
        <v>6000</v>
      </c>
      <c r="V122" s="30">
        <f>407301726</f>
        <v>407301726</v>
      </c>
      <c r="W122" s="30">
        <f>47560200</f>
        <v>47560200</v>
      </c>
      <c r="X122" s="34">
        <f>21</f>
        <v>21</v>
      </c>
    </row>
    <row r="123" spans="1:24" x14ac:dyDescent="0.15">
      <c r="A123" s="25" t="s">
        <v>1237</v>
      </c>
      <c r="B123" s="25" t="s">
        <v>432</v>
      </c>
      <c r="C123" s="25" t="s">
        <v>433</v>
      </c>
      <c r="D123" s="25" t="s">
        <v>434</v>
      </c>
      <c r="E123" s="26" t="s">
        <v>45</v>
      </c>
      <c r="F123" s="27" t="s">
        <v>45</v>
      </c>
      <c r="G123" s="28" t="s">
        <v>45</v>
      </c>
      <c r="H123" s="29"/>
      <c r="I123" s="29" t="s">
        <v>46</v>
      </c>
      <c r="J123" s="30">
        <v>1</v>
      </c>
      <c r="K123" s="31">
        <f>17990</f>
        <v>17990</v>
      </c>
      <c r="L123" s="32" t="s">
        <v>995</v>
      </c>
      <c r="M123" s="31">
        <f>18785</f>
        <v>18785</v>
      </c>
      <c r="N123" s="32" t="s">
        <v>789</v>
      </c>
      <c r="O123" s="31">
        <f>17790</f>
        <v>17790</v>
      </c>
      <c r="P123" s="32" t="s">
        <v>785</v>
      </c>
      <c r="Q123" s="31">
        <f>18480</f>
        <v>18480</v>
      </c>
      <c r="R123" s="32" t="s">
        <v>1017</v>
      </c>
      <c r="S123" s="33">
        <f>18251.19</f>
        <v>18251.189999999999</v>
      </c>
      <c r="T123" s="30">
        <f>11048</f>
        <v>11048</v>
      </c>
      <c r="U123" s="30" t="str">
        <f>"－"</f>
        <v>－</v>
      </c>
      <c r="V123" s="30">
        <f>201988810</f>
        <v>201988810</v>
      </c>
      <c r="W123" s="30" t="str">
        <f>"－"</f>
        <v>－</v>
      </c>
      <c r="X123" s="34">
        <f>21</f>
        <v>21</v>
      </c>
    </row>
    <row r="124" spans="1:24" x14ac:dyDescent="0.15">
      <c r="A124" s="25" t="s">
        <v>1237</v>
      </c>
      <c r="B124" s="25" t="s">
        <v>435</v>
      </c>
      <c r="C124" s="25" t="s">
        <v>436</v>
      </c>
      <c r="D124" s="25" t="s">
        <v>437</v>
      </c>
      <c r="E124" s="26" t="s">
        <v>45</v>
      </c>
      <c r="F124" s="27" t="s">
        <v>45</v>
      </c>
      <c r="G124" s="28" t="s">
        <v>45</v>
      </c>
      <c r="H124" s="29"/>
      <c r="I124" s="29" t="s">
        <v>46</v>
      </c>
      <c r="J124" s="30">
        <v>1</v>
      </c>
      <c r="K124" s="31">
        <f>71540</f>
        <v>71540</v>
      </c>
      <c r="L124" s="32" t="s">
        <v>995</v>
      </c>
      <c r="M124" s="31">
        <f>72080</f>
        <v>72080</v>
      </c>
      <c r="N124" s="32" t="s">
        <v>995</v>
      </c>
      <c r="O124" s="31">
        <f>67730</f>
        <v>67730</v>
      </c>
      <c r="P124" s="32" t="s">
        <v>794</v>
      </c>
      <c r="Q124" s="31">
        <f>70330</f>
        <v>70330</v>
      </c>
      <c r="R124" s="32" t="s">
        <v>1017</v>
      </c>
      <c r="S124" s="33">
        <f>70022.38</f>
        <v>70022.38</v>
      </c>
      <c r="T124" s="30">
        <f>13722</f>
        <v>13722</v>
      </c>
      <c r="U124" s="30">
        <f>2</f>
        <v>2</v>
      </c>
      <c r="V124" s="30">
        <f>959291205</f>
        <v>959291205</v>
      </c>
      <c r="W124" s="30">
        <f>140945</f>
        <v>140945</v>
      </c>
      <c r="X124" s="34">
        <f>21</f>
        <v>21</v>
      </c>
    </row>
    <row r="125" spans="1:24" x14ac:dyDescent="0.15">
      <c r="A125" s="25" t="s">
        <v>1237</v>
      </c>
      <c r="B125" s="25" t="s">
        <v>438</v>
      </c>
      <c r="C125" s="25" t="s">
        <v>439</v>
      </c>
      <c r="D125" s="25" t="s">
        <v>440</v>
      </c>
      <c r="E125" s="26" t="s">
        <v>45</v>
      </c>
      <c r="F125" s="27" t="s">
        <v>45</v>
      </c>
      <c r="G125" s="28" t="s">
        <v>45</v>
      </c>
      <c r="H125" s="29"/>
      <c r="I125" s="29" t="s">
        <v>46</v>
      </c>
      <c r="J125" s="30">
        <v>1</v>
      </c>
      <c r="K125" s="31">
        <f>27045</f>
        <v>27045</v>
      </c>
      <c r="L125" s="32" t="s">
        <v>995</v>
      </c>
      <c r="M125" s="31">
        <f>27045</f>
        <v>27045</v>
      </c>
      <c r="N125" s="32" t="s">
        <v>995</v>
      </c>
      <c r="O125" s="31">
        <f>25850</f>
        <v>25850</v>
      </c>
      <c r="P125" s="32" t="s">
        <v>788</v>
      </c>
      <c r="Q125" s="31">
        <f>26555</f>
        <v>26555</v>
      </c>
      <c r="R125" s="32" t="s">
        <v>1017</v>
      </c>
      <c r="S125" s="33">
        <f>26548.1</f>
        <v>26548.1</v>
      </c>
      <c r="T125" s="30">
        <f>934</f>
        <v>934</v>
      </c>
      <c r="U125" s="30" t="str">
        <f>"－"</f>
        <v>－</v>
      </c>
      <c r="V125" s="30">
        <f>24787350</f>
        <v>24787350</v>
      </c>
      <c r="W125" s="30" t="str">
        <f>"－"</f>
        <v>－</v>
      </c>
      <c r="X125" s="34">
        <f>21</f>
        <v>21</v>
      </c>
    </row>
    <row r="126" spans="1:24" x14ac:dyDescent="0.15">
      <c r="A126" s="25" t="s">
        <v>1237</v>
      </c>
      <c r="B126" s="25" t="s">
        <v>441</v>
      </c>
      <c r="C126" s="25" t="s">
        <v>442</v>
      </c>
      <c r="D126" s="25" t="s">
        <v>443</v>
      </c>
      <c r="E126" s="26" t="s">
        <v>45</v>
      </c>
      <c r="F126" s="27" t="s">
        <v>45</v>
      </c>
      <c r="G126" s="28" t="s">
        <v>45</v>
      </c>
      <c r="H126" s="29"/>
      <c r="I126" s="29" t="s">
        <v>46</v>
      </c>
      <c r="J126" s="30">
        <v>1</v>
      </c>
      <c r="K126" s="31">
        <f>14380</f>
        <v>14380</v>
      </c>
      <c r="L126" s="32" t="s">
        <v>995</v>
      </c>
      <c r="M126" s="31">
        <f>14615</f>
        <v>14615</v>
      </c>
      <c r="N126" s="32" t="s">
        <v>794</v>
      </c>
      <c r="O126" s="31">
        <f>13205</f>
        <v>13205</v>
      </c>
      <c r="P126" s="32" t="s">
        <v>80</v>
      </c>
      <c r="Q126" s="31">
        <f>13725</f>
        <v>13725</v>
      </c>
      <c r="R126" s="32" t="s">
        <v>1017</v>
      </c>
      <c r="S126" s="33">
        <f>13913.33</f>
        <v>13913.33</v>
      </c>
      <c r="T126" s="30">
        <f>105568</f>
        <v>105568</v>
      </c>
      <c r="U126" s="30">
        <f>21293</f>
        <v>21293</v>
      </c>
      <c r="V126" s="30">
        <f>1448754789</f>
        <v>1448754789</v>
      </c>
      <c r="W126" s="30">
        <f>289997904</f>
        <v>289997904</v>
      </c>
      <c r="X126" s="34">
        <f>21</f>
        <v>21</v>
      </c>
    </row>
    <row r="127" spans="1:24" x14ac:dyDescent="0.15">
      <c r="A127" s="25" t="s">
        <v>1237</v>
      </c>
      <c r="B127" s="25" t="s">
        <v>444</v>
      </c>
      <c r="C127" s="25" t="s">
        <v>445</v>
      </c>
      <c r="D127" s="25" t="s">
        <v>446</v>
      </c>
      <c r="E127" s="26" t="s">
        <v>45</v>
      </c>
      <c r="F127" s="27" t="s">
        <v>45</v>
      </c>
      <c r="G127" s="28" t="s">
        <v>45</v>
      </c>
      <c r="H127" s="29"/>
      <c r="I127" s="29" t="s">
        <v>46</v>
      </c>
      <c r="J127" s="30">
        <v>1</v>
      </c>
      <c r="K127" s="31">
        <f>20095</f>
        <v>20095</v>
      </c>
      <c r="L127" s="32" t="s">
        <v>995</v>
      </c>
      <c r="M127" s="31">
        <f>20410</f>
        <v>20410</v>
      </c>
      <c r="N127" s="32" t="s">
        <v>1003</v>
      </c>
      <c r="O127" s="31">
        <f>18870</f>
        <v>18870</v>
      </c>
      <c r="P127" s="32" t="s">
        <v>788</v>
      </c>
      <c r="Q127" s="31">
        <f>19650</f>
        <v>19650</v>
      </c>
      <c r="R127" s="32" t="s">
        <v>1017</v>
      </c>
      <c r="S127" s="33">
        <f>19713.33</f>
        <v>19713.330000000002</v>
      </c>
      <c r="T127" s="30">
        <f>11966</f>
        <v>11966</v>
      </c>
      <c r="U127" s="30" t="str">
        <f>"－"</f>
        <v>－</v>
      </c>
      <c r="V127" s="30">
        <f>235312410</f>
        <v>235312410</v>
      </c>
      <c r="W127" s="30" t="str">
        <f>"－"</f>
        <v>－</v>
      </c>
      <c r="X127" s="34">
        <f>21</f>
        <v>21</v>
      </c>
    </row>
    <row r="128" spans="1:24" x14ac:dyDescent="0.15">
      <c r="A128" s="25" t="s">
        <v>1237</v>
      </c>
      <c r="B128" s="25" t="s">
        <v>447</v>
      </c>
      <c r="C128" s="25" t="s">
        <v>448</v>
      </c>
      <c r="D128" s="25" t="s">
        <v>449</v>
      </c>
      <c r="E128" s="26" t="s">
        <v>45</v>
      </c>
      <c r="F128" s="27" t="s">
        <v>45</v>
      </c>
      <c r="G128" s="28" t="s">
        <v>45</v>
      </c>
      <c r="H128" s="29"/>
      <c r="I128" s="29" t="s">
        <v>46</v>
      </c>
      <c r="J128" s="30">
        <v>1</v>
      </c>
      <c r="K128" s="31">
        <f>34500</f>
        <v>34500</v>
      </c>
      <c r="L128" s="32" t="s">
        <v>995</v>
      </c>
      <c r="M128" s="31">
        <f>35080</f>
        <v>35080</v>
      </c>
      <c r="N128" s="32" t="s">
        <v>78</v>
      </c>
      <c r="O128" s="31">
        <f>33330</f>
        <v>33330</v>
      </c>
      <c r="P128" s="32" t="s">
        <v>788</v>
      </c>
      <c r="Q128" s="31">
        <f>33900</f>
        <v>33900</v>
      </c>
      <c r="R128" s="32" t="s">
        <v>1017</v>
      </c>
      <c r="S128" s="33">
        <f>34101.9</f>
        <v>34101.9</v>
      </c>
      <c r="T128" s="30">
        <f>12209</f>
        <v>12209</v>
      </c>
      <c r="U128" s="30">
        <f>1</f>
        <v>1</v>
      </c>
      <c r="V128" s="30">
        <f>417695340</f>
        <v>417695340</v>
      </c>
      <c r="W128" s="30">
        <f>34150</f>
        <v>34150</v>
      </c>
      <c r="X128" s="34">
        <f>21</f>
        <v>21</v>
      </c>
    </row>
    <row r="129" spans="1:24" x14ac:dyDescent="0.15">
      <c r="A129" s="25" t="s">
        <v>1237</v>
      </c>
      <c r="B129" s="25" t="s">
        <v>450</v>
      </c>
      <c r="C129" s="25" t="s">
        <v>1063</v>
      </c>
      <c r="D129" s="25" t="s">
        <v>1064</v>
      </c>
      <c r="E129" s="26" t="s">
        <v>45</v>
      </c>
      <c r="F129" s="27" t="s">
        <v>45</v>
      </c>
      <c r="G129" s="28" t="s">
        <v>45</v>
      </c>
      <c r="H129" s="29"/>
      <c r="I129" s="29" t="s">
        <v>46</v>
      </c>
      <c r="J129" s="30">
        <v>10</v>
      </c>
      <c r="K129" s="31">
        <f>1692.5</f>
        <v>1692.5</v>
      </c>
      <c r="L129" s="32" t="s">
        <v>995</v>
      </c>
      <c r="M129" s="31">
        <f>1692.5</f>
        <v>1692.5</v>
      </c>
      <c r="N129" s="32" t="s">
        <v>995</v>
      </c>
      <c r="O129" s="31">
        <f>1590</f>
        <v>1590</v>
      </c>
      <c r="P129" s="32" t="s">
        <v>788</v>
      </c>
      <c r="Q129" s="31">
        <f>1641</f>
        <v>1641</v>
      </c>
      <c r="R129" s="32" t="s">
        <v>1017</v>
      </c>
      <c r="S129" s="33">
        <f>1643.1</f>
        <v>1643.1</v>
      </c>
      <c r="T129" s="30">
        <f>999380</f>
        <v>999380</v>
      </c>
      <c r="U129" s="30">
        <f>633930</f>
        <v>633930</v>
      </c>
      <c r="V129" s="30">
        <f>1648868285</f>
        <v>1648868285</v>
      </c>
      <c r="W129" s="30">
        <f>1049766525</f>
        <v>1049766525</v>
      </c>
      <c r="X129" s="34">
        <f>21</f>
        <v>21</v>
      </c>
    </row>
    <row r="130" spans="1:24" x14ac:dyDescent="0.15">
      <c r="A130" s="25" t="s">
        <v>1237</v>
      </c>
      <c r="B130" s="25" t="s">
        <v>453</v>
      </c>
      <c r="C130" s="25" t="s">
        <v>1065</v>
      </c>
      <c r="D130" s="25" t="s">
        <v>1066</v>
      </c>
      <c r="E130" s="26" t="s">
        <v>45</v>
      </c>
      <c r="F130" s="27" t="s">
        <v>45</v>
      </c>
      <c r="G130" s="28" t="s">
        <v>45</v>
      </c>
      <c r="H130" s="29"/>
      <c r="I130" s="29" t="s">
        <v>46</v>
      </c>
      <c r="J130" s="30">
        <v>10</v>
      </c>
      <c r="K130" s="31">
        <f>2699.5</f>
        <v>2699.5</v>
      </c>
      <c r="L130" s="32" t="s">
        <v>785</v>
      </c>
      <c r="M130" s="31">
        <f>2737</f>
        <v>2737</v>
      </c>
      <c r="N130" s="32" t="s">
        <v>787</v>
      </c>
      <c r="O130" s="31">
        <f>2639.5</f>
        <v>2639.5</v>
      </c>
      <c r="P130" s="32" t="s">
        <v>788</v>
      </c>
      <c r="Q130" s="31">
        <f>2717</f>
        <v>2717</v>
      </c>
      <c r="R130" s="32" t="s">
        <v>1017</v>
      </c>
      <c r="S130" s="33">
        <f>2696.08</f>
        <v>2696.08</v>
      </c>
      <c r="T130" s="30">
        <f>50580</f>
        <v>50580</v>
      </c>
      <c r="U130" s="30" t="str">
        <f>"－"</f>
        <v>－</v>
      </c>
      <c r="V130" s="30">
        <f>134421145</f>
        <v>134421145</v>
      </c>
      <c r="W130" s="30" t="str">
        <f>"－"</f>
        <v>－</v>
      </c>
      <c r="X130" s="34">
        <f>18</f>
        <v>18</v>
      </c>
    </row>
    <row r="131" spans="1:24" x14ac:dyDescent="0.15">
      <c r="A131" s="25" t="s">
        <v>1237</v>
      </c>
      <c r="B131" s="25" t="s">
        <v>456</v>
      </c>
      <c r="C131" s="25" t="s">
        <v>1067</v>
      </c>
      <c r="D131" s="25" t="s">
        <v>1068</v>
      </c>
      <c r="E131" s="26" t="s">
        <v>45</v>
      </c>
      <c r="F131" s="27" t="s">
        <v>45</v>
      </c>
      <c r="G131" s="28" t="s">
        <v>45</v>
      </c>
      <c r="H131" s="29"/>
      <c r="I131" s="29" t="s">
        <v>46</v>
      </c>
      <c r="J131" s="30">
        <v>10</v>
      </c>
      <c r="K131" s="31">
        <f>2971</f>
        <v>2971</v>
      </c>
      <c r="L131" s="32" t="s">
        <v>784</v>
      </c>
      <c r="M131" s="31">
        <f>3002</f>
        <v>3002</v>
      </c>
      <c r="N131" s="32" t="s">
        <v>78</v>
      </c>
      <c r="O131" s="31">
        <f>2930</f>
        <v>2930</v>
      </c>
      <c r="P131" s="32" t="s">
        <v>998</v>
      </c>
      <c r="Q131" s="31">
        <f>2992.5</f>
        <v>2992.5</v>
      </c>
      <c r="R131" s="32" t="s">
        <v>255</v>
      </c>
      <c r="S131" s="33">
        <f>2966.41</f>
        <v>2966.41</v>
      </c>
      <c r="T131" s="30">
        <f>437190</f>
        <v>437190</v>
      </c>
      <c r="U131" s="30">
        <f>403000</f>
        <v>403000</v>
      </c>
      <c r="V131" s="30">
        <f>1291330959</f>
        <v>1291330959</v>
      </c>
      <c r="W131" s="30">
        <f>1189809754</f>
        <v>1189809754</v>
      </c>
      <c r="X131" s="34">
        <f>11</f>
        <v>11</v>
      </c>
    </row>
    <row r="132" spans="1:24" x14ac:dyDescent="0.15">
      <c r="A132" s="25" t="s">
        <v>1237</v>
      </c>
      <c r="B132" s="25" t="s">
        <v>459</v>
      </c>
      <c r="C132" s="25" t="s">
        <v>1069</v>
      </c>
      <c r="D132" s="25" t="s">
        <v>1070</v>
      </c>
      <c r="E132" s="26" t="s">
        <v>45</v>
      </c>
      <c r="F132" s="27" t="s">
        <v>45</v>
      </c>
      <c r="G132" s="28" t="s">
        <v>45</v>
      </c>
      <c r="H132" s="29"/>
      <c r="I132" s="29" t="s">
        <v>46</v>
      </c>
      <c r="J132" s="30">
        <v>10</v>
      </c>
      <c r="K132" s="31">
        <f>1886</f>
        <v>1886</v>
      </c>
      <c r="L132" s="32" t="s">
        <v>785</v>
      </c>
      <c r="M132" s="31">
        <f>1886</f>
        <v>1886</v>
      </c>
      <c r="N132" s="32" t="s">
        <v>785</v>
      </c>
      <c r="O132" s="31">
        <f>1825.5</f>
        <v>1825.5</v>
      </c>
      <c r="P132" s="32" t="s">
        <v>788</v>
      </c>
      <c r="Q132" s="31">
        <f>1871.5</f>
        <v>1871.5</v>
      </c>
      <c r="R132" s="32" t="s">
        <v>1017</v>
      </c>
      <c r="S132" s="33">
        <f>1861.16</f>
        <v>1861.16</v>
      </c>
      <c r="T132" s="30">
        <f>118670</f>
        <v>118670</v>
      </c>
      <c r="U132" s="30" t="str">
        <f>"－"</f>
        <v>－</v>
      </c>
      <c r="V132" s="30">
        <f>219576580</f>
        <v>219576580</v>
      </c>
      <c r="W132" s="30" t="str">
        <f>"－"</f>
        <v>－</v>
      </c>
      <c r="X132" s="34">
        <f>16</f>
        <v>16</v>
      </c>
    </row>
    <row r="133" spans="1:24" x14ac:dyDescent="0.15">
      <c r="A133" s="25" t="s">
        <v>1237</v>
      </c>
      <c r="B133" s="25" t="s">
        <v>462</v>
      </c>
      <c r="C133" s="25" t="s">
        <v>463</v>
      </c>
      <c r="D133" s="25" t="s">
        <v>464</v>
      </c>
      <c r="E133" s="26" t="s">
        <v>45</v>
      </c>
      <c r="F133" s="27" t="s">
        <v>45</v>
      </c>
      <c r="G133" s="28" t="s">
        <v>45</v>
      </c>
      <c r="H133" s="29"/>
      <c r="I133" s="29" t="s">
        <v>46</v>
      </c>
      <c r="J133" s="30">
        <v>10</v>
      </c>
      <c r="K133" s="31">
        <f>487.5</f>
        <v>487.5</v>
      </c>
      <c r="L133" s="32" t="s">
        <v>995</v>
      </c>
      <c r="M133" s="31">
        <f>495.8</f>
        <v>495.8</v>
      </c>
      <c r="N133" s="32" t="s">
        <v>80</v>
      </c>
      <c r="O133" s="31">
        <f>471.5</f>
        <v>471.5</v>
      </c>
      <c r="P133" s="32" t="s">
        <v>1000</v>
      </c>
      <c r="Q133" s="31">
        <f>488.9</f>
        <v>488.9</v>
      </c>
      <c r="R133" s="32" t="s">
        <v>1017</v>
      </c>
      <c r="S133" s="33">
        <f>486.77</f>
        <v>486.77</v>
      </c>
      <c r="T133" s="30">
        <f>44754500</f>
        <v>44754500</v>
      </c>
      <c r="U133" s="30">
        <f>2103910</f>
        <v>2103910</v>
      </c>
      <c r="V133" s="30">
        <f>21748060210</f>
        <v>21748060210</v>
      </c>
      <c r="W133" s="30">
        <f>1028307519</f>
        <v>1028307519</v>
      </c>
      <c r="X133" s="34">
        <f>21</f>
        <v>21</v>
      </c>
    </row>
    <row r="134" spans="1:24" x14ac:dyDescent="0.15">
      <c r="A134" s="25" t="s">
        <v>1237</v>
      </c>
      <c r="B134" s="25" t="s">
        <v>465</v>
      </c>
      <c r="C134" s="25" t="s">
        <v>466</v>
      </c>
      <c r="D134" s="25" t="s">
        <v>467</v>
      </c>
      <c r="E134" s="26" t="s">
        <v>45</v>
      </c>
      <c r="F134" s="27" t="s">
        <v>45</v>
      </c>
      <c r="G134" s="28" t="s">
        <v>45</v>
      </c>
      <c r="H134" s="29"/>
      <c r="I134" s="29" t="s">
        <v>46</v>
      </c>
      <c r="J134" s="30">
        <v>10</v>
      </c>
      <c r="K134" s="31">
        <f>288.1</f>
        <v>288.10000000000002</v>
      </c>
      <c r="L134" s="32" t="s">
        <v>995</v>
      </c>
      <c r="M134" s="31">
        <f>291.3</f>
        <v>291.3</v>
      </c>
      <c r="N134" s="32" t="s">
        <v>1003</v>
      </c>
      <c r="O134" s="31">
        <f>281.3</f>
        <v>281.3</v>
      </c>
      <c r="P134" s="32" t="s">
        <v>1000</v>
      </c>
      <c r="Q134" s="31">
        <f>286.3</f>
        <v>286.3</v>
      </c>
      <c r="R134" s="32" t="s">
        <v>1017</v>
      </c>
      <c r="S134" s="33">
        <f>286.91</f>
        <v>286.91000000000003</v>
      </c>
      <c r="T134" s="30">
        <f>14864240</f>
        <v>14864240</v>
      </c>
      <c r="U134" s="30">
        <f>10210980</f>
        <v>10210980</v>
      </c>
      <c r="V134" s="30">
        <f>4228856646</f>
        <v>4228856646</v>
      </c>
      <c r="W134" s="30">
        <f>2894882431</f>
        <v>2894882431</v>
      </c>
      <c r="X134" s="34">
        <f>21</f>
        <v>21</v>
      </c>
    </row>
    <row r="135" spans="1:24" x14ac:dyDescent="0.15">
      <c r="A135" s="25" t="s">
        <v>1237</v>
      </c>
      <c r="B135" s="25" t="s">
        <v>468</v>
      </c>
      <c r="C135" s="25" t="s">
        <v>1120</v>
      </c>
      <c r="D135" s="25" t="s">
        <v>470</v>
      </c>
      <c r="E135" s="26" t="s">
        <v>45</v>
      </c>
      <c r="F135" s="27" t="s">
        <v>45</v>
      </c>
      <c r="G135" s="28" t="s">
        <v>45</v>
      </c>
      <c r="H135" s="29"/>
      <c r="I135" s="29" t="s">
        <v>46</v>
      </c>
      <c r="J135" s="30">
        <v>1</v>
      </c>
      <c r="K135" s="31">
        <f>4160</f>
        <v>4160</v>
      </c>
      <c r="L135" s="32" t="s">
        <v>995</v>
      </c>
      <c r="M135" s="31">
        <f>4385</f>
        <v>4385</v>
      </c>
      <c r="N135" s="32" t="s">
        <v>789</v>
      </c>
      <c r="O135" s="31">
        <f>3905</f>
        <v>3905</v>
      </c>
      <c r="P135" s="32" t="s">
        <v>1000</v>
      </c>
      <c r="Q135" s="31">
        <f>4180</f>
        <v>4180</v>
      </c>
      <c r="R135" s="32" t="s">
        <v>1017</v>
      </c>
      <c r="S135" s="33">
        <f>4154.76</f>
        <v>4154.76</v>
      </c>
      <c r="T135" s="30">
        <f>72322</f>
        <v>72322</v>
      </c>
      <c r="U135" s="30">
        <f>2950</f>
        <v>2950</v>
      </c>
      <c r="V135" s="30">
        <f>300706261</f>
        <v>300706261</v>
      </c>
      <c r="W135" s="30">
        <f>12323831</f>
        <v>12323831</v>
      </c>
      <c r="X135" s="34">
        <f>21</f>
        <v>21</v>
      </c>
    </row>
    <row r="136" spans="1:24" x14ac:dyDescent="0.15">
      <c r="A136" s="25" t="s">
        <v>1237</v>
      </c>
      <c r="B136" s="25" t="s">
        <v>471</v>
      </c>
      <c r="C136" s="25" t="s">
        <v>472</v>
      </c>
      <c r="D136" s="25" t="s">
        <v>473</v>
      </c>
      <c r="E136" s="26" t="s">
        <v>45</v>
      </c>
      <c r="F136" s="27" t="s">
        <v>45</v>
      </c>
      <c r="G136" s="28" t="s">
        <v>45</v>
      </c>
      <c r="H136" s="29"/>
      <c r="I136" s="29" t="s">
        <v>46</v>
      </c>
      <c r="J136" s="30">
        <v>1</v>
      </c>
      <c r="K136" s="31">
        <f>2465</f>
        <v>2465</v>
      </c>
      <c r="L136" s="32" t="s">
        <v>995</v>
      </c>
      <c r="M136" s="31">
        <f>2484</f>
        <v>2484</v>
      </c>
      <c r="N136" s="32" t="s">
        <v>786</v>
      </c>
      <c r="O136" s="31">
        <f>2352</f>
        <v>2352</v>
      </c>
      <c r="P136" s="32" t="s">
        <v>1000</v>
      </c>
      <c r="Q136" s="31">
        <f>2437</f>
        <v>2437</v>
      </c>
      <c r="R136" s="32" t="s">
        <v>1017</v>
      </c>
      <c r="S136" s="33">
        <f>2415.33</f>
        <v>2415.33</v>
      </c>
      <c r="T136" s="30">
        <f>143444</f>
        <v>143444</v>
      </c>
      <c r="U136" s="30">
        <f>4156</f>
        <v>4156</v>
      </c>
      <c r="V136" s="30">
        <f>345377175</f>
        <v>345377175</v>
      </c>
      <c r="W136" s="30">
        <f>9993924</f>
        <v>9993924</v>
      </c>
      <c r="X136" s="34">
        <f>21</f>
        <v>21</v>
      </c>
    </row>
    <row r="137" spans="1:24" x14ac:dyDescent="0.15">
      <c r="A137" s="25" t="s">
        <v>1237</v>
      </c>
      <c r="B137" s="25" t="s">
        <v>474</v>
      </c>
      <c r="C137" s="25" t="s">
        <v>475</v>
      </c>
      <c r="D137" s="25" t="s">
        <v>476</v>
      </c>
      <c r="E137" s="26" t="s">
        <v>45</v>
      </c>
      <c r="F137" s="27" t="s">
        <v>45</v>
      </c>
      <c r="G137" s="28" t="s">
        <v>45</v>
      </c>
      <c r="H137" s="29"/>
      <c r="I137" s="29" t="s">
        <v>46</v>
      </c>
      <c r="J137" s="30">
        <v>1</v>
      </c>
      <c r="K137" s="31">
        <f>2725</f>
        <v>2725</v>
      </c>
      <c r="L137" s="32" t="s">
        <v>995</v>
      </c>
      <c r="M137" s="31">
        <f>2914</f>
        <v>2914</v>
      </c>
      <c r="N137" s="32" t="s">
        <v>1017</v>
      </c>
      <c r="O137" s="31">
        <f>2709</f>
        <v>2709</v>
      </c>
      <c r="P137" s="32" t="s">
        <v>1000</v>
      </c>
      <c r="Q137" s="31">
        <f>2913</f>
        <v>2913</v>
      </c>
      <c r="R137" s="32" t="s">
        <v>1017</v>
      </c>
      <c r="S137" s="33">
        <f>2834.57</f>
        <v>2834.57</v>
      </c>
      <c r="T137" s="30">
        <f>234966</f>
        <v>234966</v>
      </c>
      <c r="U137" s="30">
        <f>237</f>
        <v>237</v>
      </c>
      <c r="V137" s="30">
        <f>671276992</f>
        <v>671276992</v>
      </c>
      <c r="W137" s="30">
        <f>718496</f>
        <v>718496</v>
      </c>
      <c r="X137" s="34">
        <f>21</f>
        <v>21</v>
      </c>
    </row>
    <row r="138" spans="1:24" x14ac:dyDescent="0.15">
      <c r="A138" s="25" t="s">
        <v>1237</v>
      </c>
      <c r="B138" s="25" t="s">
        <v>477</v>
      </c>
      <c r="C138" s="25" t="s">
        <v>478</v>
      </c>
      <c r="D138" s="25" t="s">
        <v>479</v>
      </c>
      <c r="E138" s="26" t="s">
        <v>45</v>
      </c>
      <c r="F138" s="27" t="s">
        <v>45</v>
      </c>
      <c r="G138" s="28" t="s">
        <v>45</v>
      </c>
      <c r="H138" s="29"/>
      <c r="I138" s="29" t="s">
        <v>46</v>
      </c>
      <c r="J138" s="30">
        <v>1</v>
      </c>
      <c r="K138" s="31">
        <f>10550</f>
        <v>10550</v>
      </c>
      <c r="L138" s="32" t="s">
        <v>995</v>
      </c>
      <c r="M138" s="31">
        <f>10575</f>
        <v>10575</v>
      </c>
      <c r="N138" s="32" t="s">
        <v>1000</v>
      </c>
      <c r="O138" s="31">
        <f>10150</f>
        <v>10150</v>
      </c>
      <c r="P138" s="32" t="s">
        <v>786</v>
      </c>
      <c r="Q138" s="31">
        <f>10430</f>
        <v>10430</v>
      </c>
      <c r="R138" s="32" t="s">
        <v>1017</v>
      </c>
      <c r="S138" s="33">
        <f>10362.86</f>
        <v>10362.86</v>
      </c>
      <c r="T138" s="30">
        <f>247857</f>
        <v>247857</v>
      </c>
      <c r="U138" s="30">
        <f>170588</f>
        <v>170588</v>
      </c>
      <c r="V138" s="30">
        <f>2556469939</f>
        <v>2556469939</v>
      </c>
      <c r="W138" s="30">
        <f>1759725509</f>
        <v>1759725509</v>
      </c>
      <c r="X138" s="34">
        <f>21</f>
        <v>21</v>
      </c>
    </row>
    <row r="139" spans="1:24" x14ac:dyDescent="0.15">
      <c r="A139" s="25" t="s">
        <v>1237</v>
      </c>
      <c r="B139" s="25" t="s">
        <v>480</v>
      </c>
      <c r="C139" s="25" t="s">
        <v>481</v>
      </c>
      <c r="D139" s="25" t="s">
        <v>482</v>
      </c>
      <c r="E139" s="26" t="s">
        <v>45</v>
      </c>
      <c r="F139" s="27" t="s">
        <v>45</v>
      </c>
      <c r="G139" s="28" t="s">
        <v>45</v>
      </c>
      <c r="H139" s="29"/>
      <c r="I139" s="29" t="s">
        <v>46</v>
      </c>
      <c r="J139" s="30">
        <v>1</v>
      </c>
      <c r="K139" s="31">
        <f>2880</f>
        <v>2880</v>
      </c>
      <c r="L139" s="32" t="s">
        <v>995</v>
      </c>
      <c r="M139" s="31">
        <f>2897</f>
        <v>2897</v>
      </c>
      <c r="N139" s="32" t="s">
        <v>995</v>
      </c>
      <c r="O139" s="31">
        <f>2536</f>
        <v>2536</v>
      </c>
      <c r="P139" s="32" t="s">
        <v>1005</v>
      </c>
      <c r="Q139" s="31">
        <f>2623</f>
        <v>2623</v>
      </c>
      <c r="R139" s="32" t="s">
        <v>1017</v>
      </c>
      <c r="S139" s="33">
        <f>2695.1</f>
        <v>2695.1</v>
      </c>
      <c r="T139" s="30">
        <f>7076535</f>
        <v>7076535</v>
      </c>
      <c r="U139" s="30">
        <f>40130</f>
        <v>40130</v>
      </c>
      <c r="V139" s="30">
        <f>19058206910</f>
        <v>19058206910</v>
      </c>
      <c r="W139" s="30">
        <f>108381632</f>
        <v>108381632</v>
      </c>
      <c r="X139" s="34">
        <f>21</f>
        <v>21</v>
      </c>
    </row>
    <row r="140" spans="1:24" x14ac:dyDescent="0.15">
      <c r="A140" s="25" t="s">
        <v>1237</v>
      </c>
      <c r="B140" s="25" t="s">
        <v>483</v>
      </c>
      <c r="C140" s="25" t="s">
        <v>484</v>
      </c>
      <c r="D140" s="25" t="s">
        <v>485</v>
      </c>
      <c r="E140" s="26" t="s">
        <v>45</v>
      </c>
      <c r="F140" s="27" t="s">
        <v>45</v>
      </c>
      <c r="G140" s="28" t="s">
        <v>45</v>
      </c>
      <c r="H140" s="29"/>
      <c r="I140" s="29" t="s">
        <v>46</v>
      </c>
      <c r="J140" s="30">
        <v>1</v>
      </c>
      <c r="K140" s="31">
        <f>28300</f>
        <v>28300</v>
      </c>
      <c r="L140" s="32" t="s">
        <v>995</v>
      </c>
      <c r="M140" s="31">
        <f>28880</f>
        <v>28880</v>
      </c>
      <c r="N140" s="32" t="s">
        <v>785</v>
      </c>
      <c r="O140" s="31">
        <f>26880</f>
        <v>26880</v>
      </c>
      <c r="P140" s="32" t="s">
        <v>1005</v>
      </c>
      <c r="Q140" s="31">
        <f>27435</f>
        <v>27435</v>
      </c>
      <c r="R140" s="32" t="s">
        <v>1017</v>
      </c>
      <c r="S140" s="33">
        <f>27495.48</f>
        <v>27495.48</v>
      </c>
      <c r="T140" s="30">
        <f>7287</f>
        <v>7287</v>
      </c>
      <c r="U140" s="30" t="str">
        <f>"－"</f>
        <v>－</v>
      </c>
      <c r="V140" s="30">
        <f>200685165</f>
        <v>200685165</v>
      </c>
      <c r="W140" s="30" t="str">
        <f>"－"</f>
        <v>－</v>
      </c>
      <c r="X140" s="34">
        <f>21</f>
        <v>21</v>
      </c>
    </row>
    <row r="141" spans="1:24" x14ac:dyDescent="0.15">
      <c r="A141" s="25" t="s">
        <v>1237</v>
      </c>
      <c r="B141" s="25" t="s">
        <v>486</v>
      </c>
      <c r="C141" s="25" t="s">
        <v>487</v>
      </c>
      <c r="D141" s="25" t="s">
        <v>488</v>
      </c>
      <c r="E141" s="26" t="s">
        <v>45</v>
      </c>
      <c r="F141" s="27" t="s">
        <v>45</v>
      </c>
      <c r="G141" s="28" t="s">
        <v>45</v>
      </c>
      <c r="H141" s="29"/>
      <c r="I141" s="29" t="s">
        <v>46</v>
      </c>
      <c r="J141" s="30">
        <v>10</v>
      </c>
      <c r="K141" s="31">
        <f>3389</f>
        <v>3389</v>
      </c>
      <c r="L141" s="32" t="s">
        <v>995</v>
      </c>
      <c r="M141" s="31">
        <f>3475</f>
        <v>3475</v>
      </c>
      <c r="N141" s="32" t="s">
        <v>785</v>
      </c>
      <c r="O141" s="31">
        <f>3012</f>
        <v>3012</v>
      </c>
      <c r="P141" s="32" t="s">
        <v>56</v>
      </c>
      <c r="Q141" s="31">
        <f>3101</f>
        <v>3101</v>
      </c>
      <c r="R141" s="32" t="s">
        <v>1017</v>
      </c>
      <c r="S141" s="33">
        <f>3195.38</f>
        <v>3195.38</v>
      </c>
      <c r="T141" s="30">
        <f>35440</f>
        <v>35440</v>
      </c>
      <c r="U141" s="30" t="str">
        <f>"－"</f>
        <v>－</v>
      </c>
      <c r="V141" s="30">
        <f>112956510</f>
        <v>112956510</v>
      </c>
      <c r="W141" s="30" t="str">
        <f>"－"</f>
        <v>－</v>
      </c>
      <c r="X141" s="34">
        <f>21</f>
        <v>21</v>
      </c>
    </row>
    <row r="142" spans="1:24" x14ac:dyDescent="0.15">
      <c r="A142" s="25" t="s">
        <v>1237</v>
      </c>
      <c r="B142" s="25" t="s">
        <v>489</v>
      </c>
      <c r="C142" s="25" t="s">
        <v>490</v>
      </c>
      <c r="D142" s="25" t="s">
        <v>491</v>
      </c>
      <c r="E142" s="26" t="s">
        <v>45</v>
      </c>
      <c r="F142" s="27" t="s">
        <v>45</v>
      </c>
      <c r="G142" s="28" t="s">
        <v>45</v>
      </c>
      <c r="H142" s="29"/>
      <c r="I142" s="29" t="s">
        <v>46</v>
      </c>
      <c r="J142" s="30">
        <v>1</v>
      </c>
      <c r="K142" s="31">
        <f>12680</f>
        <v>12680</v>
      </c>
      <c r="L142" s="32" t="s">
        <v>995</v>
      </c>
      <c r="M142" s="31">
        <f>13175</f>
        <v>13175</v>
      </c>
      <c r="N142" s="32" t="s">
        <v>1017</v>
      </c>
      <c r="O142" s="31">
        <f>12005</f>
        <v>12005</v>
      </c>
      <c r="P142" s="32" t="s">
        <v>1000</v>
      </c>
      <c r="Q142" s="31">
        <f>13115</f>
        <v>13115</v>
      </c>
      <c r="R142" s="32" t="s">
        <v>1017</v>
      </c>
      <c r="S142" s="33">
        <f>12571.19</f>
        <v>12571.19</v>
      </c>
      <c r="T142" s="30">
        <f>5676</f>
        <v>5676</v>
      </c>
      <c r="U142" s="30" t="str">
        <f>"－"</f>
        <v>－</v>
      </c>
      <c r="V142" s="30">
        <f>71516050</f>
        <v>71516050</v>
      </c>
      <c r="W142" s="30" t="str">
        <f>"－"</f>
        <v>－</v>
      </c>
      <c r="X142" s="34">
        <f>21</f>
        <v>21</v>
      </c>
    </row>
    <row r="143" spans="1:24" x14ac:dyDescent="0.15">
      <c r="A143" s="25" t="s">
        <v>1237</v>
      </c>
      <c r="B143" s="25" t="s">
        <v>492</v>
      </c>
      <c r="C143" s="25" t="s">
        <v>493</v>
      </c>
      <c r="D143" s="25" t="s">
        <v>494</v>
      </c>
      <c r="E143" s="26" t="s">
        <v>45</v>
      </c>
      <c r="F143" s="27" t="s">
        <v>45</v>
      </c>
      <c r="G143" s="28" t="s">
        <v>45</v>
      </c>
      <c r="H143" s="29"/>
      <c r="I143" s="29" t="s">
        <v>46</v>
      </c>
      <c r="J143" s="30">
        <v>1</v>
      </c>
      <c r="K143" s="31">
        <f>13855</f>
        <v>13855</v>
      </c>
      <c r="L143" s="32" t="s">
        <v>995</v>
      </c>
      <c r="M143" s="31">
        <f>16470</f>
        <v>16470</v>
      </c>
      <c r="N143" s="32" t="s">
        <v>80</v>
      </c>
      <c r="O143" s="31">
        <f>12630</f>
        <v>12630</v>
      </c>
      <c r="P143" s="32" t="s">
        <v>794</v>
      </c>
      <c r="Q143" s="31">
        <f>15390</f>
        <v>15390</v>
      </c>
      <c r="R143" s="32" t="s">
        <v>1017</v>
      </c>
      <c r="S143" s="33">
        <f>14544.29</f>
        <v>14544.29</v>
      </c>
      <c r="T143" s="30">
        <f>15916</f>
        <v>15916</v>
      </c>
      <c r="U143" s="30" t="str">
        <f>"－"</f>
        <v>－</v>
      </c>
      <c r="V143" s="30">
        <f>229189880</f>
        <v>229189880</v>
      </c>
      <c r="W143" s="30" t="str">
        <f>"－"</f>
        <v>－</v>
      </c>
      <c r="X143" s="34">
        <f>21</f>
        <v>21</v>
      </c>
    </row>
    <row r="144" spans="1:24" x14ac:dyDescent="0.15">
      <c r="A144" s="25" t="s">
        <v>1237</v>
      </c>
      <c r="B144" s="25" t="s">
        <v>495</v>
      </c>
      <c r="C144" s="25" t="s">
        <v>496</v>
      </c>
      <c r="D144" s="25" t="s">
        <v>497</v>
      </c>
      <c r="E144" s="26" t="s">
        <v>45</v>
      </c>
      <c r="F144" s="27" t="s">
        <v>45</v>
      </c>
      <c r="G144" s="28" t="s">
        <v>45</v>
      </c>
      <c r="H144" s="29"/>
      <c r="I144" s="29" t="s">
        <v>46</v>
      </c>
      <c r="J144" s="30">
        <v>1</v>
      </c>
      <c r="K144" s="31">
        <f>19440</f>
        <v>19440</v>
      </c>
      <c r="L144" s="32" t="s">
        <v>995</v>
      </c>
      <c r="M144" s="31">
        <f>19475</f>
        <v>19475</v>
      </c>
      <c r="N144" s="32" t="s">
        <v>998</v>
      </c>
      <c r="O144" s="31">
        <f>18410</f>
        <v>18410</v>
      </c>
      <c r="P144" s="32" t="s">
        <v>78</v>
      </c>
      <c r="Q144" s="31">
        <f>19310</f>
        <v>19310</v>
      </c>
      <c r="R144" s="32" t="s">
        <v>997</v>
      </c>
      <c r="S144" s="33">
        <f>19134.29</f>
        <v>19134.29</v>
      </c>
      <c r="T144" s="30">
        <f>339</f>
        <v>339</v>
      </c>
      <c r="U144" s="30" t="str">
        <f>"－"</f>
        <v>－</v>
      </c>
      <c r="V144" s="30">
        <f>6323945</f>
        <v>6323945</v>
      </c>
      <c r="W144" s="30" t="str">
        <f>"－"</f>
        <v>－</v>
      </c>
      <c r="X144" s="34">
        <f>7</f>
        <v>7</v>
      </c>
    </row>
    <row r="145" spans="1:24" x14ac:dyDescent="0.15">
      <c r="A145" s="25" t="s">
        <v>1237</v>
      </c>
      <c r="B145" s="25" t="s">
        <v>498</v>
      </c>
      <c r="C145" s="25" t="s">
        <v>499</v>
      </c>
      <c r="D145" s="25" t="s">
        <v>500</v>
      </c>
      <c r="E145" s="26" t="s">
        <v>45</v>
      </c>
      <c r="F145" s="27" t="s">
        <v>45</v>
      </c>
      <c r="G145" s="28" t="s">
        <v>45</v>
      </c>
      <c r="H145" s="29"/>
      <c r="I145" s="29" t="s">
        <v>46</v>
      </c>
      <c r="J145" s="30">
        <v>10</v>
      </c>
      <c r="K145" s="31">
        <f>53410</f>
        <v>53410</v>
      </c>
      <c r="L145" s="32" t="s">
        <v>995</v>
      </c>
      <c r="M145" s="31">
        <f>53990</f>
        <v>53990</v>
      </c>
      <c r="N145" s="32" t="s">
        <v>78</v>
      </c>
      <c r="O145" s="31">
        <f>52290</f>
        <v>52290</v>
      </c>
      <c r="P145" s="32" t="s">
        <v>1000</v>
      </c>
      <c r="Q145" s="31">
        <f>53300</f>
        <v>53300</v>
      </c>
      <c r="R145" s="32" t="s">
        <v>1017</v>
      </c>
      <c r="S145" s="33">
        <f>53349.05</f>
        <v>53349.05</v>
      </c>
      <c r="T145" s="30">
        <f>25550</f>
        <v>25550</v>
      </c>
      <c r="U145" s="30">
        <f>21700</f>
        <v>21700</v>
      </c>
      <c r="V145" s="30">
        <f>1364600777</f>
        <v>1364600777</v>
      </c>
      <c r="W145" s="30">
        <f>1159263677</f>
        <v>1159263677</v>
      </c>
      <c r="X145" s="34">
        <f>21</f>
        <v>21</v>
      </c>
    </row>
    <row r="146" spans="1:24" x14ac:dyDescent="0.15">
      <c r="A146" s="25" t="s">
        <v>1237</v>
      </c>
      <c r="B146" s="25" t="s">
        <v>501</v>
      </c>
      <c r="C146" s="25" t="s">
        <v>1121</v>
      </c>
      <c r="D146" s="25" t="s">
        <v>503</v>
      </c>
      <c r="E146" s="26" t="s">
        <v>45</v>
      </c>
      <c r="F146" s="27" t="s">
        <v>45</v>
      </c>
      <c r="G146" s="28" t="s">
        <v>45</v>
      </c>
      <c r="H146" s="29"/>
      <c r="I146" s="29" t="s">
        <v>46</v>
      </c>
      <c r="J146" s="30">
        <v>10</v>
      </c>
      <c r="K146" s="31">
        <f>315.6</f>
        <v>315.60000000000002</v>
      </c>
      <c r="L146" s="32" t="s">
        <v>995</v>
      </c>
      <c r="M146" s="31">
        <f>330</f>
        <v>330</v>
      </c>
      <c r="N146" s="32" t="s">
        <v>80</v>
      </c>
      <c r="O146" s="31">
        <f>315.4</f>
        <v>315.39999999999998</v>
      </c>
      <c r="P146" s="32" t="s">
        <v>995</v>
      </c>
      <c r="Q146" s="31">
        <f>327.2</f>
        <v>327.2</v>
      </c>
      <c r="R146" s="32" t="s">
        <v>1017</v>
      </c>
      <c r="S146" s="33">
        <f>323.93</f>
        <v>323.93</v>
      </c>
      <c r="T146" s="30">
        <f>38188800</f>
        <v>38188800</v>
      </c>
      <c r="U146" s="30">
        <f>737570</f>
        <v>737570</v>
      </c>
      <c r="V146" s="30">
        <f>12340050256</f>
        <v>12340050256</v>
      </c>
      <c r="W146" s="30">
        <f>240026825</f>
        <v>240026825</v>
      </c>
      <c r="X146" s="34">
        <f>21</f>
        <v>21</v>
      </c>
    </row>
    <row r="147" spans="1:24" x14ac:dyDescent="0.15">
      <c r="A147" s="25" t="s">
        <v>1237</v>
      </c>
      <c r="B147" s="25" t="s">
        <v>504</v>
      </c>
      <c r="C147" s="25" t="s">
        <v>1122</v>
      </c>
      <c r="D147" s="25" t="s">
        <v>506</v>
      </c>
      <c r="E147" s="26" t="s">
        <v>45</v>
      </c>
      <c r="F147" s="27" t="s">
        <v>45</v>
      </c>
      <c r="G147" s="28" t="s">
        <v>45</v>
      </c>
      <c r="H147" s="29"/>
      <c r="I147" s="29" t="s">
        <v>46</v>
      </c>
      <c r="J147" s="30">
        <v>10</v>
      </c>
      <c r="K147" s="31">
        <f>45310</f>
        <v>45310</v>
      </c>
      <c r="L147" s="32" t="s">
        <v>995</v>
      </c>
      <c r="M147" s="31">
        <f>45980</f>
        <v>45980</v>
      </c>
      <c r="N147" s="32" t="s">
        <v>785</v>
      </c>
      <c r="O147" s="31">
        <f>43140</f>
        <v>43140</v>
      </c>
      <c r="P147" s="32" t="s">
        <v>1000</v>
      </c>
      <c r="Q147" s="31">
        <f>44600</f>
        <v>44600</v>
      </c>
      <c r="R147" s="32" t="s">
        <v>1017</v>
      </c>
      <c r="S147" s="33">
        <f>44511.9</f>
        <v>44511.9</v>
      </c>
      <c r="T147" s="30">
        <f>28250</f>
        <v>28250</v>
      </c>
      <c r="U147" s="30">
        <f>22510</f>
        <v>22510</v>
      </c>
      <c r="V147" s="30">
        <f>1258063195</f>
        <v>1258063195</v>
      </c>
      <c r="W147" s="30">
        <f>1002159295</f>
        <v>1002159295</v>
      </c>
      <c r="X147" s="34">
        <f>21</f>
        <v>21</v>
      </c>
    </row>
    <row r="148" spans="1:24" x14ac:dyDescent="0.15">
      <c r="A148" s="25" t="s">
        <v>1237</v>
      </c>
      <c r="B148" s="25" t="s">
        <v>507</v>
      </c>
      <c r="C148" s="25" t="s">
        <v>508</v>
      </c>
      <c r="D148" s="25" t="s">
        <v>1123</v>
      </c>
      <c r="E148" s="26" t="s">
        <v>45</v>
      </c>
      <c r="F148" s="27" t="s">
        <v>45</v>
      </c>
      <c r="G148" s="28" t="s">
        <v>45</v>
      </c>
      <c r="H148" s="29"/>
      <c r="I148" s="29" t="s">
        <v>46</v>
      </c>
      <c r="J148" s="30">
        <v>10</v>
      </c>
      <c r="K148" s="31">
        <f>4780</f>
        <v>4780</v>
      </c>
      <c r="L148" s="32" t="s">
        <v>995</v>
      </c>
      <c r="M148" s="31">
        <f>4867</f>
        <v>4867</v>
      </c>
      <c r="N148" s="32" t="s">
        <v>80</v>
      </c>
      <c r="O148" s="31">
        <f>4637</f>
        <v>4637</v>
      </c>
      <c r="P148" s="32" t="s">
        <v>1000</v>
      </c>
      <c r="Q148" s="31">
        <f>4803</f>
        <v>4803</v>
      </c>
      <c r="R148" s="32" t="s">
        <v>1017</v>
      </c>
      <c r="S148" s="33">
        <f>4775.52</f>
        <v>4775.5200000000004</v>
      </c>
      <c r="T148" s="30">
        <f>85280</f>
        <v>85280</v>
      </c>
      <c r="U148" s="30" t="str">
        <f t="shared" ref="U148:U164" si="0">"－"</f>
        <v>－</v>
      </c>
      <c r="V148" s="30">
        <f>407696200</f>
        <v>407696200</v>
      </c>
      <c r="W148" s="30" t="str">
        <f t="shared" ref="W148:W164" si="1">"－"</f>
        <v>－</v>
      </c>
      <c r="X148" s="34">
        <f>21</f>
        <v>21</v>
      </c>
    </row>
    <row r="149" spans="1:24" x14ac:dyDescent="0.15">
      <c r="A149" s="25" t="s">
        <v>1237</v>
      </c>
      <c r="B149" s="25" t="s">
        <v>510</v>
      </c>
      <c r="C149" s="25" t="s">
        <v>1124</v>
      </c>
      <c r="D149" s="25" t="s">
        <v>1125</v>
      </c>
      <c r="E149" s="26" t="s">
        <v>45</v>
      </c>
      <c r="F149" s="27" t="s">
        <v>45</v>
      </c>
      <c r="G149" s="28" t="s">
        <v>45</v>
      </c>
      <c r="H149" s="29"/>
      <c r="I149" s="29" t="s">
        <v>46</v>
      </c>
      <c r="J149" s="30">
        <v>10</v>
      </c>
      <c r="K149" s="31">
        <f>1847.5</f>
        <v>1847.5</v>
      </c>
      <c r="L149" s="32" t="s">
        <v>995</v>
      </c>
      <c r="M149" s="31">
        <f>1852</f>
        <v>1852</v>
      </c>
      <c r="N149" s="32" t="s">
        <v>1017</v>
      </c>
      <c r="O149" s="31">
        <f>1770</f>
        <v>1770</v>
      </c>
      <c r="P149" s="32" t="s">
        <v>1000</v>
      </c>
      <c r="Q149" s="31">
        <f>1842</f>
        <v>1842</v>
      </c>
      <c r="R149" s="32" t="s">
        <v>1017</v>
      </c>
      <c r="S149" s="33">
        <f>1814.12</f>
        <v>1814.12</v>
      </c>
      <c r="T149" s="30">
        <f>195560</f>
        <v>195560</v>
      </c>
      <c r="U149" s="30" t="str">
        <f t="shared" si="0"/>
        <v>－</v>
      </c>
      <c r="V149" s="30">
        <f>354130760</f>
        <v>354130760</v>
      </c>
      <c r="W149" s="30" t="str">
        <f t="shared" si="1"/>
        <v>－</v>
      </c>
      <c r="X149" s="34">
        <f>21</f>
        <v>21</v>
      </c>
    </row>
    <row r="150" spans="1:24" x14ac:dyDescent="0.15">
      <c r="A150" s="25" t="s">
        <v>1237</v>
      </c>
      <c r="B150" s="25" t="s">
        <v>513</v>
      </c>
      <c r="C150" s="25" t="s">
        <v>514</v>
      </c>
      <c r="D150" s="25" t="s">
        <v>515</v>
      </c>
      <c r="E150" s="26" t="s">
        <v>45</v>
      </c>
      <c r="F150" s="27" t="s">
        <v>45</v>
      </c>
      <c r="G150" s="28" t="s">
        <v>45</v>
      </c>
      <c r="H150" s="29"/>
      <c r="I150" s="29" t="s">
        <v>46</v>
      </c>
      <c r="J150" s="30">
        <v>100</v>
      </c>
      <c r="K150" s="31">
        <f>234.1</f>
        <v>234.1</v>
      </c>
      <c r="L150" s="32" t="s">
        <v>995</v>
      </c>
      <c r="M150" s="31">
        <f>241.8</f>
        <v>241.8</v>
      </c>
      <c r="N150" s="32" t="s">
        <v>1017</v>
      </c>
      <c r="O150" s="31">
        <f>223</f>
        <v>223</v>
      </c>
      <c r="P150" s="32" t="s">
        <v>1000</v>
      </c>
      <c r="Q150" s="31">
        <f>239.3</f>
        <v>239.3</v>
      </c>
      <c r="R150" s="32" t="s">
        <v>1017</v>
      </c>
      <c r="S150" s="33">
        <f>232.38</f>
        <v>232.38</v>
      </c>
      <c r="T150" s="30">
        <f>187700</f>
        <v>187700</v>
      </c>
      <c r="U150" s="30" t="str">
        <f t="shared" si="0"/>
        <v>－</v>
      </c>
      <c r="V150" s="30">
        <f>43908790</f>
        <v>43908790</v>
      </c>
      <c r="W150" s="30" t="str">
        <f t="shared" si="1"/>
        <v>－</v>
      </c>
      <c r="X150" s="34">
        <f>21</f>
        <v>21</v>
      </c>
    </row>
    <row r="151" spans="1:24" x14ac:dyDescent="0.15">
      <c r="A151" s="25" t="s">
        <v>1237</v>
      </c>
      <c r="B151" s="25" t="s">
        <v>516</v>
      </c>
      <c r="C151" s="25" t="s">
        <v>517</v>
      </c>
      <c r="D151" s="25" t="s">
        <v>518</v>
      </c>
      <c r="E151" s="26" t="s">
        <v>45</v>
      </c>
      <c r="F151" s="27" t="s">
        <v>45</v>
      </c>
      <c r="G151" s="28" t="s">
        <v>45</v>
      </c>
      <c r="H151" s="29"/>
      <c r="I151" s="29" t="s">
        <v>46</v>
      </c>
      <c r="J151" s="30">
        <v>10</v>
      </c>
      <c r="K151" s="31">
        <f>1665</f>
        <v>1665</v>
      </c>
      <c r="L151" s="32" t="s">
        <v>785</v>
      </c>
      <c r="M151" s="31">
        <f>1677</f>
        <v>1677</v>
      </c>
      <c r="N151" s="32" t="s">
        <v>785</v>
      </c>
      <c r="O151" s="31">
        <f>1439.5</f>
        <v>1439.5</v>
      </c>
      <c r="P151" s="32" t="s">
        <v>789</v>
      </c>
      <c r="Q151" s="31">
        <f>1564</f>
        <v>1564</v>
      </c>
      <c r="R151" s="32" t="s">
        <v>1017</v>
      </c>
      <c r="S151" s="33">
        <f>1545.46</f>
        <v>1545.46</v>
      </c>
      <c r="T151" s="30">
        <f>2070</f>
        <v>2070</v>
      </c>
      <c r="U151" s="30" t="str">
        <f t="shared" si="0"/>
        <v>－</v>
      </c>
      <c r="V151" s="30">
        <f>3200450</f>
        <v>3200450</v>
      </c>
      <c r="W151" s="30" t="str">
        <f t="shared" si="1"/>
        <v>－</v>
      </c>
      <c r="X151" s="34">
        <f>12</f>
        <v>12</v>
      </c>
    </row>
    <row r="152" spans="1:24" x14ac:dyDescent="0.15">
      <c r="A152" s="25" t="s">
        <v>1237</v>
      </c>
      <c r="B152" s="25" t="s">
        <v>519</v>
      </c>
      <c r="C152" s="25" t="s">
        <v>520</v>
      </c>
      <c r="D152" s="25" t="s">
        <v>521</v>
      </c>
      <c r="E152" s="26" t="s">
        <v>45</v>
      </c>
      <c r="F152" s="27" t="s">
        <v>45</v>
      </c>
      <c r="G152" s="28" t="s">
        <v>45</v>
      </c>
      <c r="H152" s="29"/>
      <c r="I152" s="29" t="s">
        <v>46</v>
      </c>
      <c r="J152" s="30">
        <v>10</v>
      </c>
      <c r="K152" s="31">
        <f>569</f>
        <v>569</v>
      </c>
      <c r="L152" s="32" t="s">
        <v>995</v>
      </c>
      <c r="M152" s="31">
        <f>570</f>
        <v>570</v>
      </c>
      <c r="N152" s="32" t="s">
        <v>995</v>
      </c>
      <c r="O152" s="31">
        <f>496.8</f>
        <v>496.8</v>
      </c>
      <c r="P152" s="32" t="s">
        <v>56</v>
      </c>
      <c r="Q152" s="31">
        <f>518.9</f>
        <v>518.9</v>
      </c>
      <c r="R152" s="32" t="s">
        <v>1017</v>
      </c>
      <c r="S152" s="33">
        <f>526.97</f>
        <v>526.97</v>
      </c>
      <c r="T152" s="30">
        <f>75630</f>
        <v>75630</v>
      </c>
      <c r="U152" s="30" t="str">
        <f t="shared" si="0"/>
        <v>－</v>
      </c>
      <c r="V152" s="30">
        <f>39579842</f>
        <v>39579842</v>
      </c>
      <c r="W152" s="30" t="str">
        <f t="shared" si="1"/>
        <v>－</v>
      </c>
      <c r="X152" s="34">
        <f>21</f>
        <v>21</v>
      </c>
    </row>
    <row r="153" spans="1:24" x14ac:dyDescent="0.15">
      <c r="A153" s="25" t="s">
        <v>1237</v>
      </c>
      <c r="B153" s="25" t="s">
        <v>522</v>
      </c>
      <c r="C153" s="25" t="s">
        <v>523</v>
      </c>
      <c r="D153" s="25" t="s">
        <v>524</v>
      </c>
      <c r="E153" s="26" t="s">
        <v>45</v>
      </c>
      <c r="F153" s="27" t="s">
        <v>45</v>
      </c>
      <c r="G153" s="28" t="s">
        <v>45</v>
      </c>
      <c r="H153" s="29"/>
      <c r="I153" s="29" t="s">
        <v>46</v>
      </c>
      <c r="J153" s="30">
        <v>10</v>
      </c>
      <c r="K153" s="31">
        <f>2099</f>
        <v>2099</v>
      </c>
      <c r="L153" s="32" t="s">
        <v>995</v>
      </c>
      <c r="M153" s="31">
        <f>2099</f>
        <v>2099</v>
      </c>
      <c r="N153" s="32" t="s">
        <v>995</v>
      </c>
      <c r="O153" s="31">
        <f>1948</f>
        <v>1948</v>
      </c>
      <c r="P153" s="32" t="s">
        <v>1000</v>
      </c>
      <c r="Q153" s="31">
        <f>1988.5</f>
        <v>1988.5</v>
      </c>
      <c r="R153" s="32" t="s">
        <v>1017</v>
      </c>
      <c r="S153" s="33">
        <f>2011.44</f>
        <v>2011.44</v>
      </c>
      <c r="T153" s="30">
        <f>7800</f>
        <v>7800</v>
      </c>
      <c r="U153" s="30" t="str">
        <f t="shared" si="0"/>
        <v>－</v>
      </c>
      <c r="V153" s="30">
        <f>15596765</f>
        <v>15596765</v>
      </c>
      <c r="W153" s="30" t="str">
        <f t="shared" si="1"/>
        <v>－</v>
      </c>
      <c r="X153" s="34">
        <f>18</f>
        <v>18</v>
      </c>
    </row>
    <row r="154" spans="1:24" x14ac:dyDescent="0.15">
      <c r="A154" s="25" t="s">
        <v>1237</v>
      </c>
      <c r="B154" s="25" t="s">
        <v>525</v>
      </c>
      <c r="C154" s="25" t="s">
        <v>526</v>
      </c>
      <c r="D154" s="25" t="s">
        <v>527</v>
      </c>
      <c r="E154" s="26" t="s">
        <v>45</v>
      </c>
      <c r="F154" s="27" t="s">
        <v>45</v>
      </c>
      <c r="G154" s="28" t="s">
        <v>45</v>
      </c>
      <c r="H154" s="29"/>
      <c r="I154" s="29" t="s">
        <v>46</v>
      </c>
      <c r="J154" s="30">
        <v>10</v>
      </c>
      <c r="K154" s="31">
        <f>978</f>
        <v>978</v>
      </c>
      <c r="L154" s="32" t="s">
        <v>995</v>
      </c>
      <c r="M154" s="31">
        <f>982.6</f>
        <v>982.6</v>
      </c>
      <c r="N154" s="32" t="s">
        <v>995</v>
      </c>
      <c r="O154" s="31">
        <f>880.6</f>
        <v>880.6</v>
      </c>
      <c r="P154" s="32" t="s">
        <v>789</v>
      </c>
      <c r="Q154" s="31">
        <f>915.9</f>
        <v>915.9</v>
      </c>
      <c r="R154" s="32" t="s">
        <v>1017</v>
      </c>
      <c r="S154" s="33">
        <f>934.46</f>
        <v>934.46</v>
      </c>
      <c r="T154" s="30">
        <f>53470</f>
        <v>53470</v>
      </c>
      <c r="U154" s="30" t="str">
        <f t="shared" si="0"/>
        <v>－</v>
      </c>
      <c r="V154" s="30">
        <f>49511896</f>
        <v>49511896</v>
      </c>
      <c r="W154" s="30" t="str">
        <f t="shared" si="1"/>
        <v>－</v>
      </c>
      <c r="X154" s="34">
        <f>21</f>
        <v>21</v>
      </c>
    </row>
    <row r="155" spans="1:24" x14ac:dyDescent="0.15">
      <c r="A155" s="25" t="s">
        <v>1237</v>
      </c>
      <c r="B155" s="25" t="s">
        <v>528</v>
      </c>
      <c r="C155" s="25" t="s">
        <v>529</v>
      </c>
      <c r="D155" s="25" t="s">
        <v>530</v>
      </c>
      <c r="E155" s="26" t="s">
        <v>45</v>
      </c>
      <c r="F155" s="27" t="s">
        <v>45</v>
      </c>
      <c r="G155" s="28" t="s">
        <v>45</v>
      </c>
      <c r="H155" s="29"/>
      <c r="I155" s="29" t="s">
        <v>46</v>
      </c>
      <c r="J155" s="30">
        <v>10</v>
      </c>
      <c r="K155" s="31">
        <f>635</f>
        <v>635</v>
      </c>
      <c r="L155" s="32" t="s">
        <v>995</v>
      </c>
      <c r="M155" s="31">
        <f>636.2</f>
        <v>636.20000000000005</v>
      </c>
      <c r="N155" s="32" t="s">
        <v>78</v>
      </c>
      <c r="O155" s="31">
        <f>594</f>
        <v>594</v>
      </c>
      <c r="P155" s="32" t="s">
        <v>789</v>
      </c>
      <c r="Q155" s="31">
        <f>603.7</f>
        <v>603.70000000000005</v>
      </c>
      <c r="R155" s="32" t="s">
        <v>1017</v>
      </c>
      <c r="S155" s="33">
        <f>614.61</f>
        <v>614.61</v>
      </c>
      <c r="T155" s="30">
        <f>225640</f>
        <v>225640</v>
      </c>
      <c r="U155" s="30" t="str">
        <f t="shared" si="0"/>
        <v>－</v>
      </c>
      <c r="V155" s="30">
        <f>137596560</f>
        <v>137596560</v>
      </c>
      <c r="W155" s="30" t="str">
        <f t="shared" si="1"/>
        <v>－</v>
      </c>
      <c r="X155" s="34">
        <f>21</f>
        <v>21</v>
      </c>
    </row>
    <row r="156" spans="1:24" x14ac:dyDescent="0.15">
      <c r="A156" s="25" t="s">
        <v>1237</v>
      </c>
      <c r="B156" s="25" t="s">
        <v>531</v>
      </c>
      <c r="C156" s="25" t="s">
        <v>532</v>
      </c>
      <c r="D156" s="25" t="s">
        <v>533</v>
      </c>
      <c r="E156" s="26" t="s">
        <v>45</v>
      </c>
      <c r="F156" s="27" t="s">
        <v>45</v>
      </c>
      <c r="G156" s="28" t="s">
        <v>45</v>
      </c>
      <c r="H156" s="29"/>
      <c r="I156" s="29" t="s">
        <v>46</v>
      </c>
      <c r="J156" s="30">
        <v>1</v>
      </c>
      <c r="K156" s="31">
        <f>1690</f>
        <v>1690</v>
      </c>
      <c r="L156" s="32" t="s">
        <v>78</v>
      </c>
      <c r="M156" s="31">
        <f>1701</f>
        <v>1701</v>
      </c>
      <c r="N156" s="32" t="s">
        <v>78</v>
      </c>
      <c r="O156" s="31">
        <f>1423</f>
        <v>1423</v>
      </c>
      <c r="P156" s="32" t="s">
        <v>56</v>
      </c>
      <c r="Q156" s="31">
        <f>1551</f>
        <v>1551</v>
      </c>
      <c r="R156" s="32" t="s">
        <v>1017</v>
      </c>
      <c r="S156" s="33">
        <f>1524.83</f>
        <v>1524.83</v>
      </c>
      <c r="T156" s="30">
        <f>1120691</f>
        <v>1120691</v>
      </c>
      <c r="U156" s="30" t="str">
        <f t="shared" si="0"/>
        <v>－</v>
      </c>
      <c r="V156" s="30">
        <f>1728195765</f>
        <v>1728195765</v>
      </c>
      <c r="W156" s="30" t="str">
        <f t="shared" si="1"/>
        <v>－</v>
      </c>
      <c r="X156" s="34">
        <f>18</f>
        <v>18</v>
      </c>
    </row>
    <row r="157" spans="1:24" x14ac:dyDescent="0.15">
      <c r="A157" s="25" t="s">
        <v>1237</v>
      </c>
      <c r="B157" s="25" t="s">
        <v>534</v>
      </c>
      <c r="C157" s="25" t="s">
        <v>535</v>
      </c>
      <c r="D157" s="25" t="s">
        <v>536</v>
      </c>
      <c r="E157" s="26" t="s">
        <v>45</v>
      </c>
      <c r="F157" s="27" t="s">
        <v>45</v>
      </c>
      <c r="G157" s="28" t="s">
        <v>45</v>
      </c>
      <c r="H157" s="29"/>
      <c r="I157" s="29" t="s">
        <v>46</v>
      </c>
      <c r="J157" s="30">
        <v>10</v>
      </c>
      <c r="K157" s="31">
        <f>1403</f>
        <v>1403</v>
      </c>
      <c r="L157" s="32" t="s">
        <v>995</v>
      </c>
      <c r="M157" s="31">
        <f>1406</f>
        <v>1406</v>
      </c>
      <c r="N157" s="32" t="s">
        <v>995</v>
      </c>
      <c r="O157" s="31">
        <f>1239</f>
        <v>1239</v>
      </c>
      <c r="P157" s="32" t="s">
        <v>1005</v>
      </c>
      <c r="Q157" s="31">
        <f>1284</f>
        <v>1284</v>
      </c>
      <c r="R157" s="32" t="s">
        <v>1017</v>
      </c>
      <c r="S157" s="33">
        <f>1313.93</f>
        <v>1313.93</v>
      </c>
      <c r="T157" s="30">
        <f>57290</f>
        <v>57290</v>
      </c>
      <c r="U157" s="30" t="str">
        <f t="shared" si="0"/>
        <v>－</v>
      </c>
      <c r="V157" s="30">
        <f>75056040</f>
        <v>75056040</v>
      </c>
      <c r="W157" s="30" t="str">
        <f t="shared" si="1"/>
        <v>－</v>
      </c>
      <c r="X157" s="34">
        <f>21</f>
        <v>21</v>
      </c>
    </row>
    <row r="158" spans="1:24" x14ac:dyDescent="0.15">
      <c r="A158" s="25" t="s">
        <v>1237</v>
      </c>
      <c r="B158" s="25" t="s">
        <v>537</v>
      </c>
      <c r="C158" s="25" t="s">
        <v>538</v>
      </c>
      <c r="D158" s="25" t="s">
        <v>539</v>
      </c>
      <c r="E158" s="26" t="s">
        <v>45</v>
      </c>
      <c r="F158" s="27" t="s">
        <v>45</v>
      </c>
      <c r="G158" s="28" t="s">
        <v>45</v>
      </c>
      <c r="H158" s="29"/>
      <c r="I158" s="29" t="s">
        <v>46</v>
      </c>
      <c r="J158" s="30">
        <v>1</v>
      </c>
      <c r="K158" s="31">
        <f>7787</f>
        <v>7787</v>
      </c>
      <c r="L158" s="32" t="s">
        <v>995</v>
      </c>
      <c r="M158" s="31">
        <f>7787</f>
        <v>7787</v>
      </c>
      <c r="N158" s="32" t="s">
        <v>995</v>
      </c>
      <c r="O158" s="31">
        <f>6720</f>
        <v>6720</v>
      </c>
      <c r="P158" s="32" t="s">
        <v>1000</v>
      </c>
      <c r="Q158" s="31">
        <f>7000</f>
        <v>7000</v>
      </c>
      <c r="R158" s="32" t="s">
        <v>1017</v>
      </c>
      <c r="S158" s="33">
        <f>7125.53</f>
        <v>7125.53</v>
      </c>
      <c r="T158" s="30">
        <f>465</f>
        <v>465</v>
      </c>
      <c r="U158" s="30" t="str">
        <f t="shared" si="0"/>
        <v>－</v>
      </c>
      <c r="V158" s="30">
        <f>3297545</f>
        <v>3297545</v>
      </c>
      <c r="W158" s="30" t="str">
        <f t="shared" si="1"/>
        <v>－</v>
      </c>
      <c r="X158" s="34">
        <f>15</f>
        <v>15</v>
      </c>
    </row>
    <row r="159" spans="1:24" x14ac:dyDescent="0.15">
      <c r="A159" s="25" t="s">
        <v>1237</v>
      </c>
      <c r="B159" s="25" t="s">
        <v>540</v>
      </c>
      <c r="C159" s="25" t="s">
        <v>541</v>
      </c>
      <c r="D159" s="25" t="s">
        <v>542</v>
      </c>
      <c r="E159" s="26" t="s">
        <v>45</v>
      </c>
      <c r="F159" s="27" t="s">
        <v>45</v>
      </c>
      <c r="G159" s="28" t="s">
        <v>45</v>
      </c>
      <c r="H159" s="29"/>
      <c r="I159" s="29" t="s">
        <v>46</v>
      </c>
      <c r="J159" s="30">
        <v>100</v>
      </c>
      <c r="K159" s="31">
        <f>447.6</f>
        <v>447.6</v>
      </c>
      <c r="L159" s="32" t="s">
        <v>995</v>
      </c>
      <c r="M159" s="31">
        <f>457</f>
        <v>457</v>
      </c>
      <c r="N159" s="32" t="s">
        <v>1017</v>
      </c>
      <c r="O159" s="31">
        <f>405.5</f>
        <v>405.5</v>
      </c>
      <c r="P159" s="32" t="s">
        <v>1005</v>
      </c>
      <c r="Q159" s="31">
        <f>457</f>
        <v>457</v>
      </c>
      <c r="R159" s="32" t="s">
        <v>1017</v>
      </c>
      <c r="S159" s="33">
        <f>427.7</f>
        <v>427.7</v>
      </c>
      <c r="T159" s="30">
        <f>88600</f>
        <v>88600</v>
      </c>
      <c r="U159" s="30" t="str">
        <f t="shared" si="0"/>
        <v>－</v>
      </c>
      <c r="V159" s="30">
        <f>38143040</f>
        <v>38143040</v>
      </c>
      <c r="W159" s="30" t="str">
        <f t="shared" si="1"/>
        <v>－</v>
      </c>
      <c r="X159" s="34">
        <f>21</f>
        <v>21</v>
      </c>
    </row>
    <row r="160" spans="1:24" x14ac:dyDescent="0.15">
      <c r="A160" s="25" t="s">
        <v>1237</v>
      </c>
      <c r="B160" s="25" t="s">
        <v>543</v>
      </c>
      <c r="C160" s="25" t="s">
        <v>544</v>
      </c>
      <c r="D160" s="25" t="s">
        <v>545</v>
      </c>
      <c r="E160" s="26" t="s">
        <v>45</v>
      </c>
      <c r="F160" s="27" t="s">
        <v>45</v>
      </c>
      <c r="G160" s="28" t="s">
        <v>45</v>
      </c>
      <c r="H160" s="29"/>
      <c r="I160" s="29" t="s">
        <v>46</v>
      </c>
      <c r="J160" s="30">
        <v>10</v>
      </c>
      <c r="K160" s="31">
        <f>5020</f>
        <v>5020</v>
      </c>
      <c r="L160" s="32" t="s">
        <v>995</v>
      </c>
      <c r="M160" s="31">
        <f>5087</f>
        <v>5087</v>
      </c>
      <c r="N160" s="32" t="s">
        <v>785</v>
      </c>
      <c r="O160" s="31">
        <f>4800</f>
        <v>4800</v>
      </c>
      <c r="P160" s="32" t="s">
        <v>1005</v>
      </c>
      <c r="Q160" s="31">
        <f>4930</f>
        <v>4930</v>
      </c>
      <c r="R160" s="32" t="s">
        <v>1017</v>
      </c>
      <c r="S160" s="33">
        <f>4946.9</f>
        <v>4946.8999999999996</v>
      </c>
      <c r="T160" s="30">
        <f>27170</f>
        <v>27170</v>
      </c>
      <c r="U160" s="30" t="str">
        <f t="shared" si="0"/>
        <v>－</v>
      </c>
      <c r="V160" s="30">
        <f>134151450</f>
        <v>134151450</v>
      </c>
      <c r="W160" s="30" t="str">
        <f t="shared" si="1"/>
        <v>－</v>
      </c>
      <c r="X160" s="34">
        <f>21</f>
        <v>21</v>
      </c>
    </row>
    <row r="161" spans="1:24" x14ac:dyDescent="0.15">
      <c r="A161" s="25" t="s">
        <v>1237</v>
      </c>
      <c r="B161" s="25" t="s">
        <v>546</v>
      </c>
      <c r="C161" s="25" t="s">
        <v>547</v>
      </c>
      <c r="D161" s="25" t="s">
        <v>548</v>
      </c>
      <c r="E161" s="26" t="s">
        <v>45</v>
      </c>
      <c r="F161" s="27" t="s">
        <v>45</v>
      </c>
      <c r="G161" s="28" t="s">
        <v>45</v>
      </c>
      <c r="H161" s="29"/>
      <c r="I161" s="29" t="s">
        <v>46</v>
      </c>
      <c r="J161" s="30">
        <v>10</v>
      </c>
      <c r="K161" s="31">
        <f>2280</f>
        <v>2280</v>
      </c>
      <c r="L161" s="32" t="s">
        <v>995</v>
      </c>
      <c r="M161" s="31">
        <f>2367</f>
        <v>2367</v>
      </c>
      <c r="N161" s="32" t="s">
        <v>785</v>
      </c>
      <c r="O161" s="31">
        <f>2148</f>
        <v>2148</v>
      </c>
      <c r="P161" s="32" t="s">
        <v>790</v>
      </c>
      <c r="Q161" s="31">
        <f>2155</f>
        <v>2155</v>
      </c>
      <c r="R161" s="32" t="s">
        <v>1017</v>
      </c>
      <c r="S161" s="33">
        <f>2208.62</f>
        <v>2208.62</v>
      </c>
      <c r="T161" s="30">
        <f>34510</f>
        <v>34510</v>
      </c>
      <c r="U161" s="30" t="str">
        <f t="shared" si="0"/>
        <v>－</v>
      </c>
      <c r="V161" s="30">
        <f>76181545</f>
        <v>76181545</v>
      </c>
      <c r="W161" s="30" t="str">
        <f t="shared" si="1"/>
        <v>－</v>
      </c>
      <c r="X161" s="34">
        <f>21</f>
        <v>21</v>
      </c>
    </row>
    <row r="162" spans="1:24" x14ac:dyDescent="0.15">
      <c r="A162" s="25" t="s">
        <v>1237</v>
      </c>
      <c r="B162" s="25" t="s">
        <v>549</v>
      </c>
      <c r="C162" s="25" t="s">
        <v>550</v>
      </c>
      <c r="D162" s="25" t="s">
        <v>551</v>
      </c>
      <c r="E162" s="26" t="s">
        <v>45</v>
      </c>
      <c r="F162" s="27" t="s">
        <v>45</v>
      </c>
      <c r="G162" s="28" t="s">
        <v>45</v>
      </c>
      <c r="H162" s="29"/>
      <c r="I162" s="29" t="s">
        <v>46</v>
      </c>
      <c r="J162" s="30">
        <v>1</v>
      </c>
      <c r="K162" s="31">
        <f>3795</f>
        <v>3795</v>
      </c>
      <c r="L162" s="32" t="s">
        <v>78</v>
      </c>
      <c r="M162" s="31">
        <f>3835</f>
        <v>3835</v>
      </c>
      <c r="N162" s="32" t="s">
        <v>1003</v>
      </c>
      <c r="O162" s="31">
        <f>3545</f>
        <v>3545</v>
      </c>
      <c r="P162" s="32" t="s">
        <v>1005</v>
      </c>
      <c r="Q162" s="31">
        <f>3665</f>
        <v>3665</v>
      </c>
      <c r="R162" s="32" t="s">
        <v>1017</v>
      </c>
      <c r="S162" s="33">
        <f>3668.06</f>
        <v>3668.06</v>
      </c>
      <c r="T162" s="30">
        <f>297045</f>
        <v>297045</v>
      </c>
      <c r="U162" s="30" t="str">
        <f t="shared" si="0"/>
        <v>－</v>
      </c>
      <c r="V162" s="30">
        <f>1104520235</f>
        <v>1104520235</v>
      </c>
      <c r="W162" s="30" t="str">
        <f t="shared" si="1"/>
        <v>－</v>
      </c>
      <c r="X162" s="34">
        <f>18</f>
        <v>18</v>
      </c>
    </row>
    <row r="163" spans="1:24" x14ac:dyDescent="0.15">
      <c r="A163" s="25" t="s">
        <v>1237</v>
      </c>
      <c r="B163" s="25" t="s">
        <v>552</v>
      </c>
      <c r="C163" s="25" t="s">
        <v>553</v>
      </c>
      <c r="D163" s="25" t="s">
        <v>554</v>
      </c>
      <c r="E163" s="26" t="s">
        <v>45</v>
      </c>
      <c r="F163" s="27" t="s">
        <v>45</v>
      </c>
      <c r="G163" s="28" t="s">
        <v>45</v>
      </c>
      <c r="H163" s="29"/>
      <c r="I163" s="29" t="s">
        <v>46</v>
      </c>
      <c r="J163" s="30">
        <v>1</v>
      </c>
      <c r="K163" s="31">
        <f>3615</f>
        <v>3615</v>
      </c>
      <c r="L163" s="32" t="s">
        <v>78</v>
      </c>
      <c r="M163" s="31">
        <f>3665</f>
        <v>3665</v>
      </c>
      <c r="N163" s="32" t="s">
        <v>78</v>
      </c>
      <c r="O163" s="31">
        <f>3330</f>
        <v>3330</v>
      </c>
      <c r="P163" s="32" t="s">
        <v>255</v>
      </c>
      <c r="Q163" s="31">
        <f>3410</f>
        <v>3410</v>
      </c>
      <c r="R163" s="32" t="s">
        <v>1017</v>
      </c>
      <c r="S163" s="33">
        <f>3487.5</f>
        <v>3487.5</v>
      </c>
      <c r="T163" s="30">
        <f>49459</f>
        <v>49459</v>
      </c>
      <c r="U163" s="30" t="str">
        <f t="shared" si="0"/>
        <v>－</v>
      </c>
      <c r="V163" s="30">
        <f>173344890</f>
        <v>173344890</v>
      </c>
      <c r="W163" s="30" t="str">
        <f t="shared" si="1"/>
        <v>－</v>
      </c>
      <c r="X163" s="34">
        <f>18</f>
        <v>18</v>
      </c>
    </row>
    <row r="164" spans="1:24" x14ac:dyDescent="0.15">
      <c r="A164" s="25" t="s">
        <v>1237</v>
      </c>
      <c r="B164" s="25" t="s">
        <v>555</v>
      </c>
      <c r="C164" s="25" t="s">
        <v>556</v>
      </c>
      <c r="D164" s="25" t="s">
        <v>557</v>
      </c>
      <c r="E164" s="26" t="s">
        <v>45</v>
      </c>
      <c r="F164" s="27" t="s">
        <v>45</v>
      </c>
      <c r="G164" s="28" t="s">
        <v>45</v>
      </c>
      <c r="H164" s="29"/>
      <c r="I164" s="29" t="s">
        <v>46</v>
      </c>
      <c r="J164" s="30">
        <v>10</v>
      </c>
      <c r="K164" s="31">
        <f>4774</f>
        <v>4774</v>
      </c>
      <c r="L164" s="32" t="s">
        <v>995</v>
      </c>
      <c r="M164" s="31">
        <f>4774</f>
        <v>4774</v>
      </c>
      <c r="N164" s="32" t="s">
        <v>995</v>
      </c>
      <c r="O164" s="31">
        <f>4400</f>
        <v>4400</v>
      </c>
      <c r="P164" s="32" t="s">
        <v>1001</v>
      </c>
      <c r="Q164" s="31">
        <f>4437</f>
        <v>4437</v>
      </c>
      <c r="R164" s="32" t="s">
        <v>1017</v>
      </c>
      <c r="S164" s="33">
        <f>4551.62</f>
        <v>4551.62</v>
      </c>
      <c r="T164" s="30">
        <f>10850</f>
        <v>10850</v>
      </c>
      <c r="U164" s="30" t="str">
        <f t="shared" si="0"/>
        <v>－</v>
      </c>
      <c r="V164" s="30">
        <f>49225670</f>
        <v>49225670</v>
      </c>
      <c r="W164" s="30" t="str">
        <f t="shared" si="1"/>
        <v>－</v>
      </c>
      <c r="X164" s="34">
        <f>21</f>
        <v>21</v>
      </c>
    </row>
    <row r="165" spans="1:24" x14ac:dyDescent="0.15">
      <c r="A165" s="25" t="s">
        <v>1237</v>
      </c>
      <c r="B165" s="25" t="s">
        <v>558</v>
      </c>
      <c r="C165" s="25" t="s">
        <v>559</v>
      </c>
      <c r="D165" s="25" t="s">
        <v>1126</v>
      </c>
      <c r="E165" s="26" t="s">
        <v>45</v>
      </c>
      <c r="F165" s="27" t="s">
        <v>45</v>
      </c>
      <c r="G165" s="28" t="s">
        <v>45</v>
      </c>
      <c r="H165" s="29"/>
      <c r="I165" s="29" t="s">
        <v>46</v>
      </c>
      <c r="J165" s="30">
        <v>10</v>
      </c>
      <c r="K165" s="31">
        <f>2651</f>
        <v>2651</v>
      </c>
      <c r="L165" s="32" t="s">
        <v>995</v>
      </c>
      <c r="M165" s="31">
        <f>2669</f>
        <v>2669</v>
      </c>
      <c r="N165" s="32" t="s">
        <v>78</v>
      </c>
      <c r="O165" s="31">
        <f>2530</f>
        <v>2530</v>
      </c>
      <c r="P165" s="32" t="s">
        <v>788</v>
      </c>
      <c r="Q165" s="31">
        <f>2602.5</f>
        <v>2602.5</v>
      </c>
      <c r="R165" s="32" t="s">
        <v>1017</v>
      </c>
      <c r="S165" s="33">
        <f>2609.29</f>
        <v>2609.29</v>
      </c>
      <c r="T165" s="30">
        <f>727060</f>
        <v>727060</v>
      </c>
      <c r="U165" s="30">
        <f>450700</f>
        <v>450700</v>
      </c>
      <c r="V165" s="30">
        <f>1889940415</f>
        <v>1889940415</v>
      </c>
      <c r="W165" s="30">
        <f>1170254250</f>
        <v>1170254250</v>
      </c>
      <c r="X165" s="34">
        <f>21</f>
        <v>21</v>
      </c>
    </row>
    <row r="166" spans="1:24" x14ac:dyDescent="0.15">
      <c r="A166" s="25" t="s">
        <v>1237</v>
      </c>
      <c r="B166" s="25" t="s">
        <v>561</v>
      </c>
      <c r="C166" s="25" t="s">
        <v>1127</v>
      </c>
      <c r="D166" s="25" t="s">
        <v>1128</v>
      </c>
      <c r="E166" s="26" t="s">
        <v>45</v>
      </c>
      <c r="F166" s="27" t="s">
        <v>45</v>
      </c>
      <c r="G166" s="28" t="s">
        <v>45</v>
      </c>
      <c r="H166" s="29"/>
      <c r="I166" s="29" t="s">
        <v>46</v>
      </c>
      <c r="J166" s="30">
        <v>10</v>
      </c>
      <c r="K166" s="31">
        <f>384.3</f>
        <v>384.3</v>
      </c>
      <c r="L166" s="32" t="s">
        <v>995</v>
      </c>
      <c r="M166" s="31">
        <f>386.2</f>
        <v>386.2</v>
      </c>
      <c r="N166" s="32" t="s">
        <v>995</v>
      </c>
      <c r="O166" s="31">
        <f>341.8</f>
        <v>341.8</v>
      </c>
      <c r="P166" s="32" t="s">
        <v>1005</v>
      </c>
      <c r="Q166" s="31">
        <f>353.8</f>
        <v>353.8</v>
      </c>
      <c r="R166" s="32" t="s">
        <v>1017</v>
      </c>
      <c r="S166" s="33">
        <f>362.43</f>
        <v>362.43</v>
      </c>
      <c r="T166" s="30">
        <f>22821600</f>
        <v>22821600</v>
      </c>
      <c r="U166" s="30">
        <f>6008720</f>
        <v>6008720</v>
      </c>
      <c r="V166" s="30">
        <f>8290235003</f>
        <v>8290235003</v>
      </c>
      <c r="W166" s="30">
        <f>2217602558</f>
        <v>2217602558</v>
      </c>
      <c r="X166" s="34">
        <f>21</f>
        <v>21</v>
      </c>
    </row>
    <row r="167" spans="1:24" x14ac:dyDescent="0.15">
      <c r="A167" s="25" t="s">
        <v>1237</v>
      </c>
      <c r="B167" s="25" t="s">
        <v>1213</v>
      </c>
      <c r="C167" s="25" t="s">
        <v>1214</v>
      </c>
      <c r="D167" s="25" t="s">
        <v>1215</v>
      </c>
      <c r="E167" s="26" t="s">
        <v>45</v>
      </c>
      <c r="F167" s="27" t="s">
        <v>45</v>
      </c>
      <c r="G167" s="28" t="s">
        <v>45</v>
      </c>
      <c r="H167" s="29"/>
      <c r="I167" s="29" t="s">
        <v>46</v>
      </c>
      <c r="J167" s="30">
        <v>10</v>
      </c>
      <c r="K167" s="31">
        <f>509.6</f>
        <v>509.6</v>
      </c>
      <c r="L167" s="32" t="s">
        <v>995</v>
      </c>
      <c r="M167" s="31">
        <f>542.9</f>
        <v>542.9</v>
      </c>
      <c r="N167" s="32" t="s">
        <v>785</v>
      </c>
      <c r="O167" s="31">
        <f>482.3</f>
        <v>482.3</v>
      </c>
      <c r="P167" s="32" t="s">
        <v>788</v>
      </c>
      <c r="Q167" s="31">
        <f>500.9</f>
        <v>500.9</v>
      </c>
      <c r="R167" s="32" t="s">
        <v>1017</v>
      </c>
      <c r="S167" s="33">
        <f>497.57</f>
        <v>497.57</v>
      </c>
      <c r="T167" s="30">
        <f>3083790</f>
        <v>3083790</v>
      </c>
      <c r="U167" s="30">
        <f>50070</f>
        <v>50070</v>
      </c>
      <c r="V167" s="30">
        <f>1546860734</f>
        <v>1546860734</v>
      </c>
      <c r="W167" s="30">
        <f>24512354</f>
        <v>24512354</v>
      </c>
      <c r="X167" s="34">
        <f>21</f>
        <v>21</v>
      </c>
    </row>
    <row r="168" spans="1:24" x14ac:dyDescent="0.15">
      <c r="A168" s="25" t="s">
        <v>1237</v>
      </c>
      <c r="B168" s="25" t="s">
        <v>564</v>
      </c>
      <c r="C168" s="25" t="s">
        <v>565</v>
      </c>
      <c r="D168" s="25" t="s">
        <v>566</v>
      </c>
      <c r="E168" s="26" t="s">
        <v>45</v>
      </c>
      <c r="F168" s="27" t="s">
        <v>45</v>
      </c>
      <c r="G168" s="28" t="s">
        <v>45</v>
      </c>
      <c r="H168" s="29"/>
      <c r="I168" s="29" t="s">
        <v>567</v>
      </c>
      <c r="J168" s="30">
        <v>1</v>
      </c>
      <c r="K168" s="31">
        <f>4440</f>
        <v>4440</v>
      </c>
      <c r="L168" s="32" t="s">
        <v>995</v>
      </c>
      <c r="M168" s="31">
        <f>4440</f>
        <v>4440</v>
      </c>
      <c r="N168" s="32" t="s">
        <v>995</v>
      </c>
      <c r="O168" s="31">
        <f>3820</f>
        <v>3820</v>
      </c>
      <c r="P168" s="32" t="s">
        <v>794</v>
      </c>
      <c r="Q168" s="31">
        <f>4135</f>
        <v>4135</v>
      </c>
      <c r="R168" s="32" t="s">
        <v>1017</v>
      </c>
      <c r="S168" s="33">
        <f>4033.33</f>
        <v>4033.33</v>
      </c>
      <c r="T168" s="30">
        <f>84683</f>
        <v>84683</v>
      </c>
      <c r="U168" s="30" t="str">
        <f>"－"</f>
        <v>－</v>
      </c>
      <c r="V168" s="30">
        <f>341646675</f>
        <v>341646675</v>
      </c>
      <c r="W168" s="30" t="str">
        <f>"－"</f>
        <v>－</v>
      </c>
      <c r="X168" s="34">
        <f>21</f>
        <v>21</v>
      </c>
    </row>
    <row r="169" spans="1:24" x14ac:dyDescent="0.15">
      <c r="A169" s="25" t="s">
        <v>1237</v>
      </c>
      <c r="B169" s="25" t="s">
        <v>568</v>
      </c>
      <c r="C169" s="25" t="s">
        <v>569</v>
      </c>
      <c r="D169" s="25" t="s">
        <v>570</v>
      </c>
      <c r="E169" s="26" t="s">
        <v>45</v>
      </c>
      <c r="F169" s="27" t="s">
        <v>45</v>
      </c>
      <c r="G169" s="28" t="s">
        <v>45</v>
      </c>
      <c r="H169" s="29"/>
      <c r="I169" s="29" t="s">
        <v>567</v>
      </c>
      <c r="J169" s="30">
        <v>1</v>
      </c>
      <c r="K169" s="31">
        <f>9442</f>
        <v>9442</v>
      </c>
      <c r="L169" s="32" t="s">
        <v>995</v>
      </c>
      <c r="M169" s="31">
        <f>9931</f>
        <v>9931</v>
      </c>
      <c r="N169" s="32" t="s">
        <v>1003</v>
      </c>
      <c r="O169" s="31">
        <f>9020</f>
        <v>9020</v>
      </c>
      <c r="P169" s="32" t="s">
        <v>1017</v>
      </c>
      <c r="Q169" s="31">
        <f>9082</f>
        <v>9082</v>
      </c>
      <c r="R169" s="32" t="s">
        <v>1017</v>
      </c>
      <c r="S169" s="33">
        <f>9528.19</f>
        <v>9528.19</v>
      </c>
      <c r="T169" s="30">
        <f>12370</f>
        <v>12370</v>
      </c>
      <c r="U169" s="30" t="str">
        <f>"－"</f>
        <v>－</v>
      </c>
      <c r="V169" s="30">
        <f>117591218</f>
        <v>117591218</v>
      </c>
      <c r="W169" s="30" t="str">
        <f>"－"</f>
        <v>－</v>
      </c>
      <c r="X169" s="34">
        <f>21</f>
        <v>21</v>
      </c>
    </row>
    <row r="170" spans="1:24" x14ac:dyDescent="0.15">
      <c r="A170" s="25" t="s">
        <v>1237</v>
      </c>
      <c r="B170" s="25" t="s">
        <v>571</v>
      </c>
      <c r="C170" s="25" t="s">
        <v>572</v>
      </c>
      <c r="D170" s="25" t="s">
        <v>573</v>
      </c>
      <c r="E170" s="26" t="s">
        <v>45</v>
      </c>
      <c r="F170" s="27" t="s">
        <v>45</v>
      </c>
      <c r="G170" s="28" t="s">
        <v>45</v>
      </c>
      <c r="H170" s="29"/>
      <c r="I170" s="29" t="s">
        <v>567</v>
      </c>
      <c r="J170" s="30">
        <v>1</v>
      </c>
      <c r="K170" s="31">
        <f>12240</f>
        <v>12240</v>
      </c>
      <c r="L170" s="32" t="s">
        <v>995</v>
      </c>
      <c r="M170" s="31">
        <f>13845</f>
        <v>13845</v>
      </c>
      <c r="N170" s="32" t="s">
        <v>1017</v>
      </c>
      <c r="O170" s="31">
        <f>11990</f>
        <v>11990</v>
      </c>
      <c r="P170" s="32" t="s">
        <v>56</v>
      </c>
      <c r="Q170" s="31">
        <f>13155</f>
        <v>13155</v>
      </c>
      <c r="R170" s="32" t="s">
        <v>1017</v>
      </c>
      <c r="S170" s="33">
        <f>12513.61</f>
        <v>12513.61</v>
      </c>
      <c r="T170" s="30">
        <f>794</f>
        <v>794</v>
      </c>
      <c r="U170" s="30" t="str">
        <f>"－"</f>
        <v>－</v>
      </c>
      <c r="V170" s="30">
        <f>9930100</f>
        <v>9930100</v>
      </c>
      <c r="W170" s="30" t="str">
        <f>"－"</f>
        <v>－</v>
      </c>
      <c r="X170" s="34">
        <f>18</f>
        <v>18</v>
      </c>
    </row>
    <row r="171" spans="1:24" x14ac:dyDescent="0.15">
      <c r="A171" s="25" t="s">
        <v>1237</v>
      </c>
      <c r="B171" s="25" t="s">
        <v>574</v>
      </c>
      <c r="C171" s="25" t="s">
        <v>575</v>
      </c>
      <c r="D171" s="25" t="s">
        <v>576</v>
      </c>
      <c r="E171" s="26" t="s">
        <v>45</v>
      </c>
      <c r="F171" s="27" t="s">
        <v>45</v>
      </c>
      <c r="G171" s="28" t="s">
        <v>45</v>
      </c>
      <c r="H171" s="29"/>
      <c r="I171" s="29" t="s">
        <v>567</v>
      </c>
      <c r="J171" s="30">
        <v>1</v>
      </c>
      <c r="K171" s="31">
        <f>8357</f>
        <v>8357</v>
      </c>
      <c r="L171" s="32" t="s">
        <v>995</v>
      </c>
      <c r="M171" s="31">
        <f>8440</f>
        <v>8440</v>
      </c>
      <c r="N171" s="32" t="s">
        <v>995</v>
      </c>
      <c r="O171" s="31">
        <f>7450</f>
        <v>7450</v>
      </c>
      <c r="P171" s="32" t="s">
        <v>1017</v>
      </c>
      <c r="Q171" s="31">
        <f>7570</f>
        <v>7570</v>
      </c>
      <c r="R171" s="32" t="s">
        <v>1017</v>
      </c>
      <c r="S171" s="33">
        <f>7995.67</f>
        <v>7995.67</v>
      </c>
      <c r="T171" s="30">
        <f>9970</f>
        <v>9970</v>
      </c>
      <c r="U171" s="30" t="str">
        <f>"－"</f>
        <v>－</v>
      </c>
      <c r="V171" s="30">
        <f>78213478</f>
        <v>78213478</v>
      </c>
      <c r="W171" s="30" t="str">
        <f>"－"</f>
        <v>－</v>
      </c>
      <c r="X171" s="34">
        <f>21</f>
        <v>21</v>
      </c>
    </row>
    <row r="172" spans="1:24" x14ac:dyDescent="0.15">
      <c r="A172" s="25" t="s">
        <v>1237</v>
      </c>
      <c r="B172" s="25" t="s">
        <v>577</v>
      </c>
      <c r="C172" s="25" t="s">
        <v>578</v>
      </c>
      <c r="D172" s="25" t="s">
        <v>579</v>
      </c>
      <c r="E172" s="26" t="s">
        <v>45</v>
      </c>
      <c r="F172" s="27" t="s">
        <v>45</v>
      </c>
      <c r="G172" s="28" t="s">
        <v>45</v>
      </c>
      <c r="H172" s="29"/>
      <c r="I172" s="29" t="s">
        <v>567</v>
      </c>
      <c r="J172" s="30">
        <v>1</v>
      </c>
      <c r="K172" s="31">
        <f>39230</f>
        <v>39230</v>
      </c>
      <c r="L172" s="32" t="s">
        <v>995</v>
      </c>
      <c r="M172" s="31">
        <f>41190</f>
        <v>41190</v>
      </c>
      <c r="N172" s="32" t="s">
        <v>785</v>
      </c>
      <c r="O172" s="31">
        <f>35340</f>
        <v>35340</v>
      </c>
      <c r="P172" s="32" t="s">
        <v>788</v>
      </c>
      <c r="Q172" s="31">
        <f>36770</f>
        <v>36770</v>
      </c>
      <c r="R172" s="32" t="s">
        <v>1017</v>
      </c>
      <c r="S172" s="33">
        <f>37211.9</f>
        <v>37211.9</v>
      </c>
      <c r="T172" s="30">
        <f>53793</f>
        <v>53793</v>
      </c>
      <c r="U172" s="30">
        <f>27</f>
        <v>27</v>
      </c>
      <c r="V172" s="30">
        <f>2010054720</f>
        <v>2010054720</v>
      </c>
      <c r="W172" s="30">
        <f>985330</f>
        <v>985330</v>
      </c>
      <c r="X172" s="34">
        <f>21</f>
        <v>21</v>
      </c>
    </row>
    <row r="173" spans="1:24" x14ac:dyDescent="0.15">
      <c r="A173" s="25" t="s">
        <v>1237</v>
      </c>
      <c r="B173" s="25" t="s">
        <v>580</v>
      </c>
      <c r="C173" s="25" t="s">
        <v>581</v>
      </c>
      <c r="D173" s="25" t="s">
        <v>582</v>
      </c>
      <c r="E173" s="26" t="s">
        <v>45</v>
      </c>
      <c r="F173" s="27" t="s">
        <v>45</v>
      </c>
      <c r="G173" s="28" t="s">
        <v>45</v>
      </c>
      <c r="H173" s="29"/>
      <c r="I173" s="29" t="s">
        <v>567</v>
      </c>
      <c r="J173" s="30">
        <v>1</v>
      </c>
      <c r="K173" s="31">
        <f>3490</f>
        <v>3490</v>
      </c>
      <c r="L173" s="32" t="s">
        <v>995</v>
      </c>
      <c r="M173" s="31">
        <f>3620</f>
        <v>3620</v>
      </c>
      <c r="N173" s="32" t="s">
        <v>1005</v>
      </c>
      <c r="O173" s="31">
        <f>3405</f>
        <v>3405</v>
      </c>
      <c r="P173" s="32" t="s">
        <v>785</v>
      </c>
      <c r="Q173" s="31">
        <f>3530</f>
        <v>3530</v>
      </c>
      <c r="R173" s="32" t="s">
        <v>1017</v>
      </c>
      <c r="S173" s="33">
        <f>3534.52</f>
        <v>3534.52</v>
      </c>
      <c r="T173" s="30">
        <f>15011</f>
        <v>15011</v>
      </c>
      <c r="U173" s="30" t="str">
        <f>"－"</f>
        <v>－</v>
      </c>
      <c r="V173" s="30">
        <f>52771225</f>
        <v>52771225</v>
      </c>
      <c r="W173" s="30" t="str">
        <f>"－"</f>
        <v>－</v>
      </c>
      <c r="X173" s="34">
        <f>21</f>
        <v>21</v>
      </c>
    </row>
    <row r="174" spans="1:24" x14ac:dyDescent="0.15">
      <c r="A174" s="25" t="s">
        <v>1237</v>
      </c>
      <c r="B174" s="25" t="s">
        <v>583</v>
      </c>
      <c r="C174" s="25" t="s">
        <v>584</v>
      </c>
      <c r="D174" s="25" t="s">
        <v>585</v>
      </c>
      <c r="E174" s="26" t="s">
        <v>45</v>
      </c>
      <c r="F174" s="27" t="s">
        <v>45</v>
      </c>
      <c r="G174" s="28" t="s">
        <v>45</v>
      </c>
      <c r="H174" s="29"/>
      <c r="I174" s="29" t="s">
        <v>567</v>
      </c>
      <c r="J174" s="30">
        <v>1</v>
      </c>
      <c r="K174" s="31">
        <f>1847</f>
        <v>1847</v>
      </c>
      <c r="L174" s="32" t="s">
        <v>995</v>
      </c>
      <c r="M174" s="31">
        <f>1860</f>
        <v>1860</v>
      </c>
      <c r="N174" s="32" t="s">
        <v>995</v>
      </c>
      <c r="O174" s="31">
        <f>1473</f>
        <v>1473</v>
      </c>
      <c r="P174" s="32" t="s">
        <v>1005</v>
      </c>
      <c r="Q174" s="31">
        <f>1562</f>
        <v>1562</v>
      </c>
      <c r="R174" s="32" t="s">
        <v>1017</v>
      </c>
      <c r="S174" s="33">
        <f>1637.1</f>
        <v>1637.1</v>
      </c>
      <c r="T174" s="30">
        <f>17693806</f>
        <v>17693806</v>
      </c>
      <c r="U174" s="30">
        <f>830158</f>
        <v>830158</v>
      </c>
      <c r="V174" s="30">
        <f>29009525085</f>
        <v>29009525085</v>
      </c>
      <c r="W174" s="30">
        <f>1464388134</f>
        <v>1464388134</v>
      </c>
      <c r="X174" s="34">
        <f>21</f>
        <v>21</v>
      </c>
    </row>
    <row r="175" spans="1:24" x14ac:dyDescent="0.15">
      <c r="A175" s="25" t="s">
        <v>1237</v>
      </c>
      <c r="B175" s="25" t="s">
        <v>586</v>
      </c>
      <c r="C175" s="25" t="s">
        <v>587</v>
      </c>
      <c r="D175" s="25" t="s">
        <v>588</v>
      </c>
      <c r="E175" s="26" t="s">
        <v>45</v>
      </c>
      <c r="F175" s="27" t="s">
        <v>45</v>
      </c>
      <c r="G175" s="28" t="s">
        <v>45</v>
      </c>
      <c r="H175" s="29"/>
      <c r="I175" s="29" t="s">
        <v>567</v>
      </c>
      <c r="J175" s="30">
        <v>1</v>
      </c>
      <c r="K175" s="31">
        <f>1083</f>
        <v>1083</v>
      </c>
      <c r="L175" s="32" t="s">
        <v>995</v>
      </c>
      <c r="M175" s="31">
        <f>1202</f>
        <v>1202</v>
      </c>
      <c r="N175" s="32" t="s">
        <v>1005</v>
      </c>
      <c r="O175" s="31">
        <f>1080</f>
        <v>1080</v>
      </c>
      <c r="P175" s="32" t="s">
        <v>995</v>
      </c>
      <c r="Q175" s="31">
        <f>1156</f>
        <v>1156</v>
      </c>
      <c r="R175" s="32" t="s">
        <v>1017</v>
      </c>
      <c r="S175" s="33">
        <f>1139.19</f>
        <v>1139.19</v>
      </c>
      <c r="T175" s="30">
        <f>2235512</f>
        <v>2235512</v>
      </c>
      <c r="U175" s="30">
        <f>20001</f>
        <v>20001</v>
      </c>
      <c r="V175" s="30">
        <f>2576519360</f>
        <v>2576519360</v>
      </c>
      <c r="W175" s="30">
        <f>23201138</f>
        <v>23201138</v>
      </c>
      <c r="X175" s="34">
        <f>21</f>
        <v>21</v>
      </c>
    </row>
    <row r="176" spans="1:24" x14ac:dyDescent="0.15">
      <c r="A176" s="25" t="s">
        <v>1237</v>
      </c>
      <c r="B176" s="25" t="s">
        <v>589</v>
      </c>
      <c r="C176" s="25" t="s">
        <v>590</v>
      </c>
      <c r="D176" s="25" t="s">
        <v>591</v>
      </c>
      <c r="E176" s="26" t="s">
        <v>45</v>
      </c>
      <c r="F176" s="27" t="s">
        <v>45</v>
      </c>
      <c r="G176" s="28" t="s">
        <v>45</v>
      </c>
      <c r="H176" s="29"/>
      <c r="I176" s="29" t="s">
        <v>567</v>
      </c>
      <c r="J176" s="30">
        <v>1</v>
      </c>
      <c r="K176" s="31">
        <f>25500</f>
        <v>25500</v>
      </c>
      <c r="L176" s="32" t="s">
        <v>995</v>
      </c>
      <c r="M176" s="31">
        <f>27750</f>
        <v>27750</v>
      </c>
      <c r="N176" s="32" t="s">
        <v>1017</v>
      </c>
      <c r="O176" s="31">
        <f>25495</f>
        <v>25495</v>
      </c>
      <c r="P176" s="32" t="s">
        <v>995</v>
      </c>
      <c r="Q176" s="31">
        <f>27730</f>
        <v>27730</v>
      </c>
      <c r="R176" s="32" t="s">
        <v>1017</v>
      </c>
      <c r="S176" s="33">
        <f>26712.62</f>
        <v>26712.62</v>
      </c>
      <c r="T176" s="30">
        <f>93028</f>
        <v>93028</v>
      </c>
      <c r="U176" s="30">
        <f>53</f>
        <v>53</v>
      </c>
      <c r="V176" s="30">
        <f>2498908795</f>
        <v>2498908795</v>
      </c>
      <c r="W176" s="30">
        <f>1466155</f>
        <v>1466155</v>
      </c>
      <c r="X176" s="34">
        <f>21</f>
        <v>21</v>
      </c>
    </row>
    <row r="177" spans="1:24" x14ac:dyDescent="0.15">
      <c r="A177" s="25" t="s">
        <v>1237</v>
      </c>
      <c r="B177" s="25" t="s">
        <v>592</v>
      </c>
      <c r="C177" s="25" t="s">
        <v>593</v>
      </c>
      <c r="D177" s="25" t="s">
        <v>594</v>
      </c>
      <c r="E177" s="26" t="s">
        <v>45</v>
      </c>
      <c r="F177" s="27" t="s">
        <v>45</v>
      </c>
      <c r="G177" s="28" t="s">
        <v>45</v>
      </c>
      <c r="H177" s="29"/>
      <c r="I177" s="29" t="s">
        <v>567</v>
      </c>
      <c r="J177" s="30">
        <v>1</v>
      </c>
      <c r="K177" s="31">
        <f>2764</f>
        <v>2764</v>
      </c>
      <c r="L177" s="32" t="s">
        <v>995</v>
      </c>
      <c r="M177" s="31">
        <f>2765</f>
        <v>2765</v>
      </c>
      <c r="N177" s="32" t="s">
        <v>995</v>
      </c>
      <c r="O177" s="31">
        <f>2652</f>
        <v>2652</v>
      </c>
      <c r="P177" s="32" t="s">
        <v>1017</v>
      </c>
      <c r="Q177" s="31">
        <f>2656</f>
        <v>2656</v>
      </c>
      <c r="R177" s="32" t="s">
        <v>1017</v>
      </c>
      <c r="S177" s="33">
        <f>2706.05</f>
        <v>2706.05</v>
      </c>
      <c r="T177" s="30">
        <f>452897</f>
        <v>452897</v>
      </c>
      <c r="U177" s="30">
        <f>347</f>
        <v>347</v>
      </c>
      <c r="V177" s="30">
        <f>1227028922</f>
        <v>1227028922</v>
      </c>
      <c r="W177" s="30">
        <f>953843</f>
        <v>953843</v>
      </c>
      <c r="X177" s="34">
        <f>21</f>
        <v>21</v>
      </c>
    </row>
    <row r="178" spans="1:24" x14ac:dyDescent="0.15">
      <c r="A178" s="25" t="s">
        <v>1237</v>
      </c>
      <c r="B178" s="25" t="s">
        <v>595</v>
      </c>
      <c r="C178" s="25" t="s">
        <v>1217</v>
      </c>
      <c r="D178" s="25" t="s">
        <v>1218</v>
      </c>
      <c r="E178" s="26" t="s">
        <v>45</v>
      </c>
      <c r="F178" s="27" t="s">
        <v>45</v>
      </c>
      <c r="G178" s="28" t="s">
        <v>45</v>
      </c>
      <c r="H178" s="29"/>
      <c r="I178" s="29" t="s">
        <v>567</v>
      </c>
      <c r="J178" s="30">
        <v>1</v>
      </c>
      <c r="K178" s="31">
        <f>7565</f>
        <v>7565</v>
      </c>
      <c r="L178" s="32" t="s">
        <v>995</v>
      </c>
      <c r="M178" s="31">
        <f>7600</f>
        <v>7600</v>
      </c>
      <c r="N178" s="32" t="s">
        <v>785</v>
      </c>
      <c r="O178" s="31">
        <f>6995</f>
        <v>6995</v>
      </c>
      <c r="P178" s="32" t="s">
        <v>1005</v>
      </c>
      <c r="Q178" s="31">
        <f>7501</f>
        <v>7501</v>
      </c>
      <c r="R178" s="32" t="s">
        <v>1017</v>
      </c>
      <c r="S178" s="33">
        <f>7249.81</f>
        <v>7249.81</v>
      </c>
      <c r="T178" s="30">
        <f>112790</f>
        <v>112790</v>
      </c>
      <c r="U178" s="30">
        <f>2</f>
        <v>2</v>
      </c>
      <c r="V178" s="30">
        <f>815713502</f>
        <v>815713502</v>
      </c>
      <c r="W178" s="30">
        <f>14100</f>
        <v>14100</v>
      </c>
      <c r="X178" s="34">
        <f>21</f>
        <v>21</v>
      </c>
    </row>
    <row r="179" spans="1:24" x14ac:dyDescent="0.15">
      <c r="A179" s="25" t="s">
        <v>1237</v>
      </c>
      <c r="B179" s="25" t="s">
        <v>598</v>
      </c>
      <c r="C179" s="25" t="s">
        <v>599</v>
      </c>
      <c r="D179" s="25" t="s">
        <v>600</v>
      </c>
      <c r="E179" s="26" t="s">
        <v>45</v>
      </c>
      <c r="F179" s="27" t="s">
        <v>45</v>
      </c>
      <c r="G179" s="28" t="s">
        <v>45</v>
      </c>
      <c r="H179" s="29"/>
      <c r="I179" s="29" t="s">
        <v>567</v>
      </c>
      <c r="J179" s="30">
        <v>1</v>
      </c>
      <c r="K179" s="31">
        <f>17525</f>
        <v>17525</v>
      </c>
      <c r="L179" s="32" t="s">
        <v>995</v>
      </c>
      <c r="M179" s="31">
        <f>17685</f>
        <v>17685</v>
      </c>
      <c r="N179" s="32" t="s">
        <v>785</v>
      </c>
      <c r="O179" s="31">
        <f>16500</f>
        <v>16500</v>
      </c>
      <c r="P179" s="32" t="s">
        <v>1005</v>
      </c>
      <c r="Q179" s="31">
        <f>17060</f>
        <v>17060</v>
      </c>
      <c r="R179" s="32" t="s">
        <v>1017</v>
      </c>
      <c r="S179" s="33">
        <f>17026.75</f>
        <v>17026.75</v>
      </c>
      <c r="T179" s="30">
        <f>651</f>
        <v>651</v>
      </c>
      <c r="U179" s="30" t="str">
        <f>"－"</f>
        <v>－</v>
      </c>
      <c r="V179" s="30">
        <f>11084925</f>
        <v>11084925</v>
      </c>
      <c r="W179" s="30" t="str">
        <f>"－"</f>
        <v>－</v>
      </c>
      <c r="X179" s="34">
        <f>20</f>
        <v>20</v>
      </c>
    </row>
    <row r="180" spans="1:24" x14ac:dyDescent="0.15">
      <c r="A180" s="25" t="s">
        <v>1237</v>
      </c>
      <c r="B180" s="25" t="s">
        <v>601</v>
      </c>
      <c r="C180" s="25" t="s">
        <v>602</v>
      </c>
      <c r="D180" s="25" t="s">
        <v>603</v>
      </c>
      <c r="E180" s="26" t="s">
        <v>45</v>
      </c>
      <c r="F180" s="27" t="s">
        <v>45</v>
      </c>
      <c r="G180" s="28" t="s">
        <v>45</v>
      </c>
      <c r="H180" s="29"/>
      <c r="I180" s="29" t="s">
        <v>567</v>
      </c>
      <c r="J180" s="30">
        <v>1</v>
      </c>
      <c r="K180" s="31">
        <f>25335</f>
        <v>25335</v>
      </c>
      <c r="L180" s="32" t="s">
        <v>995</v>
      </c>
      <c r="M180" s="31">
        <f>25900</f>
        <v>25900</v>
      </c>
      <c r="N180" s="32" t="s">
        <v>786</v>
      </c>
      <c r="O180" s="31">
        <f>24650</f>
        <v>24650</v>
      </c>
      <c r="P180" s="32" t="s">
        <v>1000</v>
      </c>
      <c r="Q180" s="31">
        <f>25700</f>
        <v>25700</v>
      </c>
      <c r="R180" s="32" t="s">
        <v>1017</v>
      </c>
      <c r="S180" s="33">
        <f>25445</f>
        <v>25445</v>
      </c>
      <c r="T180" s="30">
        <f>18729</f>
        <v>18729</v>
      </c>
      <c r="U180" s="30" t="str">
        <f>"－"</f>
        <v>－</v>
      </c>
      <c r="V180" s="30">
        <f>476617265</f>
        <v>476617265</v>
      </c>
      <c r="W180" s="30" t="str">
        <f>"－"</f>
        <v>－</v>
      </c>
      <c r="X180" s="34">
        <f>21</f>
        <v>21</v>
      </c>
    </row>
    <row r="181" spans="1:24" x14ac:dyDescent="0.15">
      <c r="A181" s="25" t="s">
        <v>1237</v>
      </c>
      <c r="B181" s="25" t="s">
        <v>604</v>
      </c>
      <c r="C181" s="25" t="s">
        <v>605</v>
      </c>
      <c r="D181" s="25" t="s">
        <v>606</v>
      </c>
      <c r="E181" s="26" t="s">
        <v>45</v>
      </c>
      <c r="F181" s="27" t="s">
        <v>45</v>
      </c>
      <c r="G181" s="28" t="s">
        <v>45</v>
      </c>
      <c r="H181" s="29"/>
      <c r="I181" s="29" t="s">
        <v>567</v>
      </c>
      <c r="J181" s="30">
        <v>1</v>
      </c>
      <c r="K181" s="31">
        <f>15865</f>
        <v>15865</v>
      </c>
      <c r="L181" s="32" t="s">
        <v>995</v>
      </c>
      <c r="M181" s="31">
        <f>16500</f>
        <v>16500</v>
      </c>
      <c r="N181" s="32" t="s">
        <v>789</v>
      </c>
      <c r="O181" s="31">
        <f>15470</f>
        <v>15470</v>
      </c>
      <c r="P181" s="32" t="s">
        <v>1000</v>
      </c>
      <c r="Q181" s="31">
        <f>16450</f>
        <v>16450</v>
      </c>
      <c r="R181" s="32" t="s">
        <v>1017</v>
      </c>
      <c r="S181" s="33">
        <f>16100.77</f>
        <v>16100.77</v>
      </c>
      <c r="T181" s="30">
        <f>338</f>
        <v>338</v>
      </c>
      <c r="U181" s="30" t="str">
        <f>"－"</f>
        <v>－</v>
      </c>
      <c r="V181" s="30">
        <f>5407340</f>
        <v>5407340</v>
      </c>
      <c r="W181" s="30" t="str">
        <f>"－"</f>
        <v>－</v>
      </c>
      <c r="X181" s="34">
        <f>13</f>
        <v>13</v>
      </c>
    </row>
    <row r="182" spans="1:24" x14ac:dyDescent="0.15">
      <c r="A182" s="25" t="s">
        <v>1237</v>
      </c>
      <c r="B182" s="25" t="s">
        <v>607</v>
      </c>
      <c r="C182" s="25" t="s">
        <v>608</v>
      </c>
      <c r="D182" s="25" t="s">
        <v>609</v>
      </c>
      <c r="E182" s="26" t="s">
        <v>45</v>
      </c>
      <c r="F182" s="27" t="s">
        <v>45</v>
      </c>
      <c r="G182" s="28" t="s">
        <v>45</v>
      </c>
      <c r="H182" s="29"/>
      <c r="I182" s="29" t="s">
        <v>567</v>
      </c>
      <c r="J182" s="30">
        <v>1</v>
      </c>
      <c r="K182" s="31">
        <f>23400</f>
        <v>23400</v>
      </c>
      <c r="L182" s="32" t="s">
        <v>995</v>
      </c>
      <c r="M182" s="31">
        <f>28705</f>
        <v>28705</v>
      </c>
      <c r="N182" s="32" t="s">
        <v>785</v>
      </c>
      <c r="O182" s="31">
        <f>23390</f>
        <v>23390</v>
      </c>
      <c r="P182" s="32" t="s">
        <v>995</v>
      </c>
      <c r="Q182" s="31">
        <f>26185</f>
        <v>26185</v>
      </c>
      <c r="R182" s="32" t="s">
        <v>1017</v>
      </c>
      <c r="S182" s="33">
        <f>25577.14</f>
        <v>25577.14</v>
      </c>
      <c r="T182" s="30">
        <f>122604</f>
        <v>122604</v>
      </c>
      <c r="U182" s="30">
        <f>41</f>
        <v>41</v>
      </c>
      <c r="V182" s="30">
        <f>3190921025</f>
        <v>3190921025</v>
      </c>
      <c r="W182" s="30">
        <f>1066320</f>
        <v>1066320</v>
      </c>
      <c r="X182" s="34">
        <f>21</f>
        <v>21</v>
      </c>
    </row>
    <row r="183" spans="1:24" x14ac:dyDescent="0.15">
      <c r="A183" s="25" t="s">
        <v>1237</v>
      </c>
      <c r="B183" s="25" t="s">
        <v>610</v>
      </c>
      <c r="C183" s="25" t="s">
        <v>611</v>
      </c>
      <c r="D183" s="25" t="s">
        <v>612</v>
      </c>
      <c r="E183" s="26" t="s">
        <v>45</v>
      </c>
      <c r="F183" s="27" t="s">
        <v>45</v>
      </c>
      <c r="G183" s="28" t="s">
        <v>45</v>
      </c>
      <c r="H183" s="29"/>
      <c r="I183" s="29" t="s">
        <v>567</v>
      </c>
      <c r="J183" s="30">
        <v>1</v>
      </c>
      <c r="K183" s="31">
        <f>4135</f>
        <v>4135</v>
      </c>
      <c r="L183" s="32" t="s">
        <v>995</v>
      </c>
      <c r="M183" s="31">
        <f>4185</f>
        <v>4185</v>
      </c>
      <c r="N183" s="32" t="s">
        <v>785</v>
      </c>
      <c r="O183" s="31">
        <f>3670</f>
        <v>3670</v>
      </c>
      <c r="P183" s="32" t="s">
        <v>997</v>
      </c>
      <c r="Q183" s="31">
        <f>3700</f>
        <v>3700</v>
      </c>
      <c r="R183" s="32" t="s">
        <v>1017</v>
      </c>
      <c r="S183" s="33">
        <f>3883.1</f>
        <v>3883.1</v>
      </c>
      <c r="T183" s="30">
        <f>7057</f>
        <v>7057</v>
      </c>
      <c r="U183" s="30" t="str">
        <f>"－"</f>
        <v>－</v>
      </c>
      <c r="V183" s="30">
        <f>27610120</f>
        <v>27610120</v>
      </c>
      <c r="W183" s="30" t="str">
        <f>"－"</f>
        <v>－</v>
      </c>
      <c r="X183" s="34">
        <f>21</f>
        <v>21</v>
      </c>
    </row>
    <row r="184" spans="1:24" x14ac:dyDescent="0.15">
      <c r="A184" s="25" t="s">
        <v>1237</v>
      </c>
      <c r="B184" s="25" t="s">
        <v>613</v>
      </c>
      <c r="C184" s="25" t="s">
        <v>614</v>
      </c>
      <c r="D184" s="25" t="s">
        <v>615</v>
      </c>
      <c r="E184" s="26" t="s">
        <v>45</v>
      </c>
      <c r="F184" s="27" t="s">
        <v>45</v>
      </c>
      <c r="G184" s="28" t="s">
        <v>45</v>
      </c>
      <c r="H184" s="29"/>
      <c r="I184" s="29" t="s">
        <v>567</v>
      </c>
      <c r="J184" s="30">
        <v>1</v>
      </c>
      <c r="K184" s="31">
        <f>23970</f>
        <v>23970</v>
      </c>
      <c r="L184" s="32" t="s">
        <v>995</v>
      </c>
      <c r="M184" s="31">
        <f>24165</f>
        <v>24165</v>
      </c>
      <c r="N184" s="32" t="s">
        <v>785</v>
      </c>
      <c r="O184" s="31">
        <f>22365</f>
        <v>22365</v>
      </c>
      <c r="P184" s="32" t="s">
        <v>1002</v>
      </c>
      <c r="Q184" s="31">
        <f>22745</f>
        <v>22745</v>
      </c>
      <c r="R184" s="32" t="s">
        <v>997</v>
      </c>
      <c r="S184" s="33">
        <f>23175</f>
        <v>23175</v>
      </c>
      <c r="T184" s="30">
        <f>933</f>
        <v>933</v>
      </c>
      <c r="U184" s="30">
        <f>490</f>
        <v>490</v>
      </c>
      <c r="V184" s="30">
        <f>22018475</f>
        <v>22018475</v>
      </c>
      <c r="W184" s="30">
        <f>11574780</f>
        <v>11574780</v>
      </c>
      <c r="X184" s="34">
        <f>14</f>
        <v>14</v>
      </c>
    </row>
    <row r="185" spans="1:24" x14ac:dyDescent="0.15">
      <c r="A185" s="25" t="s">
        <v>1237</v>
      </c>
      <c r="B185" s="25" t="s">
        <v>616</v>
      </c>
      <c r="C185" s="25" t="s">
        <v>617</v>
      </c>
      <c r="D185" s="25" t="s">
        <v>618</v>
      </c>
      <c r="E185" s="26" t="s">
        <v>45</v>
      </c>
      <c r="F185" s="27" t="s">
        <v>45</v>
      </c>
      <c r="G185" s="28" t="s">
        <v>45</v>
      </c>
      <c r="H185" s="29"/>
      <c r="I185" s="29" t="s">
        <v>567</v>
      </c>
      <c r="J185" s="30">
        <v>1</v>
      </c>
      <c r="K185" s="31">
        <f>16230</f>
        <v>16230</v>
      </c>
      <c r="L185" s="32" t="s">
        <v>995</v>
      </c>
      <c r="M185" s="31">
        <f>16590</f>
        <v>16590</v>
      </c>
      <c r="N185" s="32" t="s">
        <v>255</v>
      </c>
      <c r="O185" s="31">
        <f>16000</f>
        <v>16000</v>
      </c>
      <c r="P185" s="32" t="s">
        <v>1000</v>
      </c>
      <c r="Q185" s="31">
        <f>16590</f>
        <v>16590</v>
      </c>
      <c r="R185" s="32" t="s">
        <v>255</v>
      </c>
      <c r="S185" s="33">
        <f>16256.43</f>
        <v>16256.43</v>
      </c>
      <c r="T185" s="30">
        <f>52</f>
        <v>52</v>
      </c>
      <c r="U185" s="30" t="str">
        <f>"－"</f>
        <v>－</v>
      </c>
      <c r="V185" s="30">
        <f>843615</f>
        <v>843615</v>
      </c>
      <c r="W185" s="30" t="str">
        <f>"－"</f>
        <v>－</v>
      </c>
      <c r="X185" s="34">
        <f>7</f>
        <v>7</v>
      </c>
    </row>
    <row r="186" spans="1:24" x14ac:dyDescent="0.15">
      <c r="A186" s="25" t="s">
        <v>1237</v>
      </c>
      <c r="B186" s="25" t="s">
        <v>619</v>
      </c>
      <c r="C186" s="25" t="s">
        <v>620</v>
      </c>
      <c r="D186" s="25" t="s">
        <v>621</v>
      </c>
      <c r="E186" s="26" t="s">
        <v>45</v>
      </c>
      <c r="F186" s="27" t="s">
        <v>45</v>
      </c>
      <c r="G186" s="28" t="s">
        <v>45</v>
      </c>
      <c r="H186" s="29"/>
      <c r="I186" s="29" t="s">
        <v>567</v>
      </c>
      <c r="J186" s="30">
        <v>1</v>
      </c>
      <c r="K186" s="31">
        <f>27780</f>
        <v>27780</v>
      </c>
      <c r="L186" s="32" t="s">
        <v>78</v>
      </c>
      <c r="M186" s="31">
        <f>27795</f>
        <v>27795</v>
      </c>
      <c r="N186" s="32" t="s">
        <v>78</v>
      </c>
      <c r="O186" s="31">
        <f>25990</f>
        <v>25990</v>
      </c>
      <c r="P186" s="32" t="s">
        <v>790</v>
      </c>
      <c r="Q186" s="31">
        <f>26415</f>
        <v>26415</v>
      </c>
      <c r="R186" s="32" t="s">
        <v>1017</v>
      </c>
      <c r="S186" s="33">
        <f>26574.17</f>
        <v>26574.17</v>
      </c>
      <c r="T186" s="30">
        <f>89</f>
        <v>89</v>
      </c>
      <c r="U186" s="30" t="str">
        <f>"－"</f>
        <v>－</v>
      </c>
      <c r="V186" s="30">
        <f>2370175</f>
        <v>2370175</v>
      </c>
      <c r="W186" s="30" t="str">
        <f>"－"</f>
        <v>－</v>
      </c>
      <c r="X186" s="34">
        <f>12</f>
        <v>12</v>
      </c>
    </row>
    <row r="187" spans="1:24" x14ac:dyDescent="0.15">
      <c r="A187" s="25" t="s">
        <v>1237</v>
      </c>
      <c r="B187" s="25" t="s">
        <v>622</v>
      </c>
      <c r="C187" s="25" t="s">
        <v>623</v>
      </c>
      <c r="D187" s="25" t="s">
        <v>624</v>
      </c>
      <c r="E187" s="26" t="s">
        <v>45</v>
      </c>
      <c r="F187" s="27" t="s">
        <v>45</v>
      </c>
      <c r="G187" s="28" t="s">
        <v>45</v>
      </c>
      <c r="H187" s="29"/>
      <c r="I187" s="29" t="s">
        <v>567</v>
      </c>
      <c r="J187" s="30">
        <v>1</v>
      </c>
      <c r="K187" s="31">
        <f>17510</f>
        <v>17510</v>
      </c>
      <c r="L187" s="32" t="s">
        <v>786</v>
      </c>
      <c r="M187" s="31">
        <f>17530</f>
        <v>17530</v>
      </c>
      <c r="N187" s="32" t="s">
        <v>1017</v>
      </c>
      <c r="O187" s="31">
        <f>17510</f>
        <v>17510</v>
      </c>
      <c r="P187" s="32" t="s">
        <v>786</v>
      </c>
      <c r="Q187" s="31">
        <f>17530</f>
        <v>17530</v>
      </c>
      <c r="R187" s="32" t="s">
        <v>1017</v>
      </c>
      <c r="S187" s="33">
        <f>17525</f>
        <v>17525</v>
      </c>
      <c r="T187" s="30">
        <f>4956</f>
        <v>4956</v>
      </c>
      <c r="U187" s="30">
        <f>4900</f>
        <v>4900</v>
      </c>
      <c r="V187" s="30">
        <f>88052005</f>
        <v>88052005</v>
      </c>
      <c r="W187" s="30">
        <f>87070500</f>
        <v>87070500</v>
      </c>
      <c r="X187" s="34">
        <f>2</f>
        <v>2</v>
      </c>
    </row>
    <row r="188" spans="1:24" x14ac:dyDescent="0.15">
      <c r="A188" s="25" t="s">
        <v>1237</v>
      </c>
      <c r="B188" s="25" t="s">
        <v>625</v>
      </c>
      <c r="C188" s="25" t="s">
        <v>626</v>
      </c>
      <c r="D188" s="25" t="s">
        <v>627</v>
      </c>
      <c r="E188" s="26" t="s">
        <v>45</v>
      </c>
      <c r="F188" s="27" t="s">
        <v>45</v>
      </c>
      <c r="G188" s="28" t="s">
        <v>45</v>
      </c>
      <c r="H188" s="29"/>
      <c r="I188" s="29" t="s">
        <v>567</v>
      </c>
      <c r="J188" s="30">
        <v>1</v>
      </c>
      <c r="K188" s="31">
        <f>16560</f>
        <v>16560</v>
      </c>
      <c r="L188" s="32" t="s">
        <v>995</v>
      </c>
      <c r="M188" s="31">
        <f>16685</f>
        <v>16685</v>
      </c>
      <c r="N188" s="32" t="s">
        <v>255</v>
      </c>
      <c r="O188" s="31">
        <f>16155</f>
        <v>16155</v>
      </c>
      <c r="P188" s="32" t="s">
        <v>788</v>
      </c>
      <c r="Q188" s="31">
        <f>16685</f>
        <v>16685</v>
      </c>
      <c r="R188" s="32" t="s">
        <v>255</v>
      </c>
      <c r="S188" s="33">
        <f>16462.5</f>
        <v>16462.5</v>
      </c>
      <c r="T188" s="30">
        <f>455</f>
        <v>455</v>
      </c>
      <c r="U188" s="30" t="str">
        <f t="shared" ref="U188:U194" si="2">"－"</f>
        <v>－</v>
      </c>
      <c r="V188" s="30">
        <f>7440620</f>
        <v>7440620</v>
      </c>
      <c r="W188" s="30" t="str">
        <f t="shared" ref="W188:W194" si="3">"－"</f>
        <v>－</v>
      </c>
      <c r="X188" s="34">
        <f>10</f>
        <v>10</v>
      </c>
    </row>
    <row r="189" spans="1:24" x14ac:dyDescent="0.15">
      <c r="A189" s="25" t="s">
        <v>1237</v>
      </c>
      <c r="B189" s="25" t="s">
        <v>628</v>
      </c>
      <c r="C189" s="25" t="s">
        <v>629</v>
      </c>
      <c r="D189" s="25" t="s">
        <v>630</v>
      </c>
      <c r="E189" s="26" t="s">
        <v>45</v>
      </c>
      <c r="F189" s="27" t="s">
        <v>45</v>
      </c>
      <c r="G189" s="28" t="s">
        <v>45</v>
      </c>
      <c r="H189" s="29"/>
      <c r="I189" s="29" t="s">
        <v>567</v>
      </c>
      <c r="J189" s="30">
        <v>1</v>
      </c>
      <c r="K189" s="31">
        <f>19060</f>
        <v>19060</v>
      </c>
      <c r="L189" s="32" t="s">
        <v>995</v>
      </c>
      <c r="M189" s="31">
        <f>19060</f>
        <v>19060</v>
      </c>
      <c r="N189" s="32" t="s">
        <v>995</v>
      </c>
      <c r="O189" s="31">
        <f>18205</f>
        <v>18205</v>
      </c>
      <c r="P189" s="32" t="s">
        <v>1002</v>
      </c>
      <c r="Q189" s="31">
        <f>18665</f>
        <v>18665</v>
      </c>
      <c r="R189" s="32" t="s">
        <v>789</v>
      </c>
      <c r="S189" s="33">
        <f>18537.5</f>
        <v>18537.5</v>
      </c>
      <c r="T189" s="30">
        <f>32</f>
        <v>32</v>
      </c>
      <c r="U189" s="30" t="str">
        <f t="shared" si="2"/>
        <v>－</v>
      </c>
      <c r="V189" s="30">
        <f>584470</f>
        <v>584470</v>
      </c>
      <c r="W189" s="30" t="str">
        <f t="shared" si="3"/>
        <v>－</v>
      </c>
      <c r="X189" s="34">
        <f>4</f>
        <v>4</v>
      </c>
    </row>
    <row r="190" spans="1:24" x14ac:dyDescent="0.15">
      <c r="A190" s="25" t="s">
        <v>1237</v>
      </c>
      <c r="B190" s="25" t="s">
        <v>631</v>
      </c>
      <c r="C190" s="25" t="s">
        <v>632</v>
      </c>
      <c r="D190" s="25" t="s">
        <v>633</v>
      </c>
      <c r="E190" s="26" t="s">
        <v>45</v>
      </c>
      <c r="F190" s="27" t="s">
        <v>45</v>
      </c>
      <c r="G190" s="28" t="s">
        <v>45</v>
      </c>
      <c r="H190" s="29"/>
      <c r="I190" s="29" t="s">
        <v>567</v>
      </c>
      <c r="J190" s="30">
        <v>1</v>
      </c>
      <c r="K190" s="31" t="str">
        <f>"－"</f>
        <v>－</v>
      </c>
      <c r="L190" s="32"/>
      <c r="M190" s="31" t="str">
        <f>"－"</f>
        <v>－</v>
      </c>
      <c r="N190" s="32"/>
      <c r="O190" s="31" t="str">
        <f>"－"</f>
        <v>－</v>
      </c>
      <c r="P190" s="32"/>
      <c r="Q190" s="31" t="str">
        <f>"－"</f>
        <v>－</v>
      </c>
      <c r="R190" s="32"/>
      <c r="S190" s="33" t="str">
        <f>"－"</f>
        <v>－</v>
      </c>
      <c r="T190" s="30" t="str">
        <f>"－"</f>
        <v>－</v>
      </c>
      <c r="U190" s="30" t="str">
        <f t="shared" si="2"/>
        <v>－</v>
      </c>
      <c r="V190" s="30" t="str">
        <f>"－"</f>
        <v>－</v>
      </c>
      <c r="W190" s="30" t="str">
        <f t="shared" si="3"/>
        <v>－</v>
      </c>
      <c r="X190" s="34" t="str">
        <f>"－"</f>
        <v>－</v>
      </c>
    </row>
    <row r="191" spans="1:24" x14ac:dyDescent="0.15">
      <c r="A191" s="25" t="s">
        <v>1237</v>
      </c>
      <c r="B191" s="25" t="s">
        <v>634</v>
      </c>
      <c r="C191" s="25" t="s">
        <v>635</v>
      </c>
      <c r="D191" s="25" t="s">
        <v>636</v>
      </c>
      <c r="E191" s="26" t="s">
        <v>45</v>
      </c>
      <c r="F191" s="27" t="s">
        <v>45</v>
      </c>
      <c r="G191" s="28" t="s">
        <v>45</v>
      </c>
      <c r="H191" s="29"/>
      <c r="I191" s="29" t="s">
        <v>567</v>
      </c>
      <c r="J191" s="30">
        <v>1</v>
      </c>
      <c r="K191" s="31">
        <f>10620</f>
        <v>10620</v>
      </c>
      <c r="L191" s="32" t="s">
        <v>995</v>
      </c>
      <c r="M191" s="31">
        <f>10620</f>
        <v>10620</v>
      </c>
      <c r="N191" s="32" t="s">
        <v>995</v>
      </c>
      <c r="O191" s="31">
        <f>10425</f>
        <v>10425</v>
      </c>
      <c r="P191" s="32" t="s">
        <v>786</v>
      </c>
      <c r="Q191" s="31">
        <f>10530</f>
        <v>10530</v>
      </c>
      <c r="R191" s="32" t="s">
        <v>1017</v>
      </c>
      <c r="S191" s="33">
        <f>10505</f>
        <v>10505</v>
      </c>
      <c r="T191" s="30">
        <f>1857</f>
        <v>1857</v>
      </c>
      <c r="U191" s="30" t="str">
        <f t="shared" si="2"/>
        <v>－</v>
      </c>
      <c r="V191" s="30">
        <f>19431690</f>
        <v>19431690</v>
      </c>
      <c r="W191" s="30" t="str">
        <f t="shared" si="3"/>
        <v>－</v>
      </c>
      <c r="X191" s="34">
        <f>7</f>
        <v>7</v>
      </c>
    </row>
    <row r="192" spans="1:24" x14ac:dyDescent="0.15">
      <c r="A192" s="25" t="s">
        <v>1237</v>
      </c>
      <c r="B192" s="25" t="s">
        <v>637</v>
      </c>
      <c r="C192" s="25" t="s">
        <v>638</v>
      </c>
      <c r="D192" s="25" t="s">
        <v>639</v>
      </c>
      <c r="E192" s="26" t="s">
        <v>45</v>
      </c>
      <c r="F192" s="27" t="s">
        <v>45</v>
      </c>
      <c r="G192" s="28" t="s">
        <v>45</v>
      </c>
      <c r="H192" s="29"/>
      <c r="I192" s="29" t="s">
        <v>567</v>
      </c>
      <c r="J192" s="30">
        <v>1</v>
      </c>
      <c r="K192" s="31">
        <f>12070</f>
        <v>12070</v>
      </c>
      <c r="L192" s="32" t="s">
        <v>995</v>
      </c>
      <c r="M192" s="31">
        <f>12770</f>
        <v>12770</v>
      </c>
      <c r="N192" s="32" t="s">
        <v>1017</v>
      </c>
      <c r="O192" s="31">
        <f>11895</f>
        <v>11895</v>
      </c>
      <c r="P192" s="32" t="s">
        <v>784</v>
      </c>
      <c r="Q192" s="31">
        <f>12715</f>
        <v>12715</v>
      </c>
      <c r="R192" s="32" t="s">
        <v>1017</v>
      </c>
      <c r="S192" s="33">
        <f>12328.33</f>
        <v>12328.33</v>
      </c>
      <c r="T192" s="30">
        <f>35221</f>
        <v>35221</v>
      </c>
      <c r="U192" s="30" t="str">
        <f t="shared" si="2"/>
        <v>－</v>
      </c>
      <c r="V192" s="30">
        <f>435434305</f>
        <v>435434305</v>
      </c>
      <c r="W192" s="30" t="str">
        <f t="shared" si="3"/>
        <v>－</v>
      </c>
      <c r="X192" s="34">
        <f>21</f>
        <v>21</v>
      </c>
    </row>
    <row r="193" spans="1:24" x14ac:dyDescent="0.15">
      <c r="A193" s="25" t="s">
        <v>1237</v>
      </c>
      <c r="B193" s="25" t="s">
        <v>640</v>
      </c>
      <c r="C193" s="25" t="s">
        <v>641</v>
      </c>
      <c r="D193" s="25" t="s">
        <v>642</v>
      </c>
      <c r="E193" s="26" t="s">
        <v>45</v>
      </c>
      <c r="F193" s="27" t="s">
        <v>45</v>
      </c>
      <c r="G193" s="28" t="s">
        <v>45</v>
      </c>
      <c r="H193" s="29"/>
      <c r="I193" s="29" t="s">
        <v>567</v>
      </c>
      <c r="J193" s="30">
        <v>1</v>
      </c>
      <c r="K193" s="31">
        <f>11420</f>
        <v>11420</v>
      </c>
      <c r="L193" s="32" t="s">
        <v>995</v>
      </c>
      <c r="M193" s="31">
        <f>11600</f>
        <v>11600</v>
      </c>
      <c r="N193" s="32" t="s">
        <v>255</v>
      </c>
      <c r="O193" s="31">
        <f>11300</f>
        <v>11300</v>
      </c>
      <c r="P193" s="32" t="s">
        <v>1000</v>
      </c>
      <c r="Q193" s="31">
        <f>11600</f>
        <v>11600</v>
      </c>
      <c r="R193" s="32" t="s">
        <v>1017</v>
      </c>
      <c r="S193" s="33">
        <f>11452.5</f>
        <v>11452.5</v>
      </c>
      <c r="T193" s="30">
        <f>12419</f>
        <v>12419</v>
      </c>
      <c r="U193" s="30" t="str">
        <f t="shared" si="2"/>
        <v>－</v>
      </c>
      <c r="V193" s="30">
        <f>142009025</f>
        <v>142009025</v>
      </c>
      <c r="W193" s="30" t="str">
        <f t="shared" si="3"/>
        <v>－</v>
      </c>
      <c r="X193" s="34">
        <f>14</f>
        <v>14</v>
      </c>
    </row>
    <row r="194" spans="1:24" x14ac:dyDescent="0.15">
      <c r="A194" s="25" t="s">
        <v>1237</v>
      </c>
      <c r="B194" s="25" t="s">
        <v>899</v>
      </c>
      <c r="C194" s="25" t="s">
        <v>900</v>
      </c>
      <c r="D194" s="25" t="s">
        <v>901</v>
      </c>
      <c r="E194" s="26" t="s">
        <v>45</v>
      </c>
      <c r="F194" s="27" t="s">
        <v>45</v>
      </c>
      <c r="G194" s="28" t="s">
        <v>45</v>
      </c>
      <c r="H194" s="29"/>
      <c r="I194" s="29" t="s">
        <v>567</v>
      </c>
      <c r="J194" s="30">
        <v>1</v>
      </c>
      <c r="K194" s="31">
        <f>11820</f>
        <v>11820</v>
      </c>
      <c r="L194" s="32" t="s">
        <v>784</v>
      </c>
      <c r="M194" s="31">
        <f>12100</f>
        <v>12100</v>
      </c>
      <c r="N194" s="32" t="s">
        <v>1005</v>
      </c>
      <c r="O194" s="31">
        <f>11700</f>
        <v>11700</v>
      </c>
      <c r="P194" s="32" t="s">
        <v>784</v>
      </c>
      <c r="Q194" s="31">
        <f>12060</f>
        <v>12060</v>
      </c>
      <c r="R194" s="32" t="s">
        <v>1017</v>
      </c>
      <c r="S194" s="33">
        <f>11907.86</f>
        <v>11907.86</v>
      </c>
      <c r="T194" s="30">
        <f>1416</f>
        <v>1416</v>
      </c>
      <c r="U194" s="30" t="str">
        <f t="shared" si="2"/>
        <v>－</v>
      </c>
      <c r="V194" s="30">
        <f>17019755</f>
        <v>17019755</v>
      </c>
      <c r="W194" s="30" t="str">
        <f t="shared" si="3"/>
        <v>－</v>
      </c>
      <c r="X194" s="34">
        <f>7</f>
        <v>7</v>
      </c>
    </row>
    <row r="195" spans="1:24" x14ac:dyDescent="0.15">
      <c r="A195" s="25" t="s">
        <v>1237</v>
      </c>
      <c r="B195" s="25" t="s">
        <v>1141</v>
      </c>
      <c r="C195" s="25" t="s">
        <v>1142</v>
      </c>
      <c r="D195" s="25" t="s">
        <v>1143</v>
      </c>
      <c r="E195" s="26" t="s">
        <v>45</v>
      </c>
      <c r="F195" s="27" t="s">
        <v>45</v>
      </c>
      <c r="G195" s="28" t="s">
        <v>45</v>
      </c>
      <c r="H195" s="29"/>
      <c r="I195" s="29" t="s">
        <v>46</v>
      </c>
      <c r="J195" s="30">
        <v>1</v>
      </c>
      <c r="K195" s="31">
        <f>1019</f>
        <v>1019</v>
      </c>
      <c r="L195" s="32" t="s">
        <v>995</v>
      </c>
      <c r="M195" s="31">
        <f>1022</f>
        <v>1022</v>
      </c>
      <c r="N195" s="32" t="s">
        <v>995</v>
      </c>
      <c r="O195" s="31">
        <f>963</f>
        <v>963</v>
      </c>
      <c r="P195" s="32" t="s">
        <v>788</v>
      </c>
      <c r="Q195" s="31">
        <f>992</f>
        <v>992</v>
      </c>
      <c r="R195" s="32" t="s">
        <v>1017</v>
      </c>
      <c r="S195" s="33">
        <f>994.38</f>
        <v>994.38</v>
      </c>
      <c r="T195" s="30">
        <f>7485556</f>
        <v>7485556</v>
      </c>
      <c r="U195" s="30">
        <f>97843</f>
        <v>97843</v>
      </c>
      <c r="V195" s="30">
        <f>7418555406</f>
        <v>7418555406</v>
      </c>
      <c r="W195" s="30">
        <f>96499860</f>
        <v>96499860</v>
      </c>
      <c r="X195" s="34">
        <f>21</f>
        <v>21</v>
      </c>
    </row>
    <row r="196" spans="1:24" x14ac:dyDescent="0.15">
      <c r="A196" s="25" t="s">
        <v>1237</v>
      </c>
      <c r="B196" s="25" t="s">
        <v>1145</v>
      </c>
      <c r="C196" s="25" t="s">
        <v>1146</v>
      </c>
      <c r="D196" s="25" t="s">
        <v>1147</v>
      </c>
      <c r="E196" s="26" t="s">
        <v>45</v>
      </c>
      <c r="F196" s="27" t="s">
        <v>45</v>
      </c>
      <c r="G196" s="28" t="s">
        <v>45</v>
      </c>
      <c r="H196" s="29"/>
      <c r="I196" s="29" t="s">
        <v>46</v>
      </c>
      <c r="J196" s="30">
        <v>1</v>
      </c>
      <c r="K196" s="31">
        <f>1017</f>
        <v>1017</v>
      </c>
      <c r="L196" s="32" t="s">
        <v>995</v>
      </c>
      <c r="M196" s="31">
        <f>1020</f>
        <v>1020</v>
      </c>
      <c r="N196" s="32" t="s">
        <v>794</v>
      </c>
      <c r="O196" s="31">
        <f>962</f>
        <v>962</v>
      </c>
      <c r="P196" s="32" t="s">
        <v>788</v>
      </c>
      <c r="Q196" s="31">
        <f>989</f>
        <v>989</v>
      </c>
      <c r="R196" s="32" t="s">
        <v>1017</v>
      </c>
      <c r="S196" s="33">
        <f>990.38</f>
        <v>990.38</v>
      </c>
      <c r="T196" s="30">
        <f>380539</f>
        <v>380539</v>
      </c>
      <c r="U196" s="30" t="str">
        <f>"－"</f>
        <v>－</v>
      </c>
      <c r="V196" s="30">
        <f>376092594</f>
        <v>376092594</v>
      </c>
      <c r="W196" s="30" t="str">
        <f>"－"</f>
        <v>－</v>
      </c>
      <c r="X196" s="34">
        <f>21</f>
        <v>21</v>
      </c>
    </row>
    <row r="197" spans="1:24" x14ac:dyDescent="0.15">
      <c r="A197" s="25" t="s">
        <v>1237</v>
      </c>
      <c r="B197" s="25" t="s">
        <v>1148</v>
      </c>
      <c r="C197" s="25" t="s">
        <v>1149</v>
      </c>
      <c r="D197" s="25" t="s">
        <v>1150</v>
      </c>
      <c r="E197" s="26" t="s">
        <v>45</v>
      </c>
      <c r="F197" s="27" t="s">
        <v>45</v>
      </c>
      <c r="G197" s="28" t="s">
        <v>45</v>
      </c>
      <c r="H197" s="29"/>
      <c r="I197" s="29" t="s">
        <v>46</v>
      </c>
      <c r="J197" s="30">
        <v>1</v>
      </c>
      <c r="K197" s="31">
        <f>974</f>
        <v>974</v>
      </c>
      <c r="L197" s="32" t="s">
        <v>995</v>
      </c>
      <c r="M197" s="31">
        <f>974</f>
        <v>974</v>
      </c>
      <c r="N197" s="32" t="s">
        <v>995</v>
      </c>
      <c r="O197" s="31">
        <f>939</f>
        <v>939</v>
      </c>
      <c r="P197" s="32" t="s">
        <v>1000</v>
      </c>
      <c r="Q197" s="31">
        <f>970</f>
        <v>970</v>
      </c>
      <c r="R197" s="32" t="s">
        <v>1017</v>
      </c>
      <c r="S197" s="33">
        <f>956.19</f>
        <v>956.19</v>
      </c>
      <c r="T197" s="30">
        <f>71019</f>
        <v>71019</v>
      </c>
      <c r="U197" s="30" t="str">
        <f>"－"</f>
        <v>－</v>
      </c>
      <c r="V197" s="30">
        <f>68093264</f>
        <v>68093264</v>
      </c>
      <c r="W197" s="30" t="str">
        <f>"－"</f>
        <v>－</v>
      </c>
      <c r="X197" s="34">
        <f>21</f>
        <v>21</v>
      </c>
    </row>
    <row r="198" spans="1:24" x14ac:dyDescent="0.15">
      <c r="A198" s="25" t="s">
        <v>1237</v>
      </c>
      <c r="B198" s="25" t="s">
        <v>1151</v>
      </c>
      <c r="C198" s="25" t="s">
        <v>1152</v>
      </c>
      <c r="D198" s="25" t="s">
        <v>1153</v>
      </c>
      <c r="E198" s="26" t="s">
        <v>45</v>
      </c>
      <c r="F198" s="27" t="s">
        <v>45</v>
      </c>
      <c r="G198" s="28" t="s">
        <v>45</v>
      </c>
      <c r="H198" s="29"/>
      <c r="I198" s="29" t="s">
        <v>46</v>
      </c>
      <c r="J198" s="30">
        <v>1</v>
      </c>
      <c r="K198" s="31">
        <f>2029</f>
        <v>2029</v>
      </c>
      <c r="L198" s="32" t="s">
        <v>995</v>
      </c>
      <c r="M198" s="31">
        <f>2035</f>
        <v>2035</v>
      </c>
      <c r="N198" s="32" t="s">
        <v>1017</v>
      </c>
      <c r="O198" s="31">
        <f>1955</f>
        <v>1955</v>
      </c>
      <c r="P198" s="32" t="s">
        <v>788</v>
      </c>
      <c r="Q198" s="31">
        <f>2033</f>
        <v>2033</v>
      </c>
      <c r="R198" s="32" t="s">
        <v>1017</v>
      </c>
      <c r="S198" s="33">
        <f>1998.48</f>
        <v>1998.48</v>
      </c>
      <c r="T198" s="30">
        <f>338862</f>
        <v>338862</v>
      </c>
      <c r="U198" s="30">
        <f>9900</f>
        <v>9900</v>
      </c>
      <c r="V198" s="30">
        <f>677242860</f>
        <v>677242860</v>
      </c>
      <c r="W198" s="30">
        <f>19847800</f>
        <v>19847800</v>
      </c>
      <c r="X198" s="34">
        <f>21</f>
        <v>21</v>
      </c>
    </row>
    <row r="199" spans="1:24" x14ac:dyDescent="0.15">
      <c r="A199" s="25" t="s">
        <v>1237</v>
      </c>
      <c r="B199" s="25" t="s">
        <v>1154</v>
      </c>
      <c r="C199" s="25" t="s">
        <v>1155</v>
      </c>
      <c r="D199" s="25" t="s">
        <v>1156</v>
      </c>
      <c r="E199" s="26" t="s">
        <v>45</v>
      </c>
      <c r="F199" s="27" t="s">
        <v>45</v>
      </c>
      <c r="G199" s="28" t="s">
        <v>45</v>
      </c>
      <c r="H199" s="29"/>
      <c r="I199" s="29" t="s">
        <v>46</v>
      </c>
      <c r="J199" s="30">
        <v>1</v>
      </c>
      <c r="K199" s="31">
        <f>2025</f>
        <v>2025</v>
      </c>
      <c r="L199" s="32" t="s">
        <v>995</v>
      </c>
      <c r="M199" s="31">
        <f>2037</f>
        <v>2037</v>
      </c>
      <c r="N199" s="32" t="s">
        <v>78</v>
      </c>
      <c r="O199" s="31">
        <f>1947</f>
        <v>1947</v>
      </c>
      <c r="P199" s="32" t="s">
        <v>788</v>
      </c>
      <c r="Q199" s="31">
        <f>2021</f>
        <v>2021</v>
      </c>
      <c r="R199" s="32" t="s">
        <v>1017</v>
      </c>
      <c r="S199" s="33">
        <f>2001.29</f>
        <v>2001.29</v>
      </c>
      <c r="T199" s="30">
        <f>1081077</f>
        <v>1081077</v>
      </c>
      <c r="U199" s="30">
        <f>14960</f>
        <v>14960</v>
      </c>
      <c r="V199" s="30">
        <f>2155214154</f>
        <v>2155214154</v>
      </c>
      <c r="W199" s="30">
        <f>29962110</f>
        <v>29962110</v>
      </c>
      <c r="X199" s="34">
        <f>21</f>
        <v>21</v>
      </c>
    </row>
    <row r="200" spans="1:24" x14ac:dyDescent="0.15">
      <c r="A200" s="25" t="s">
        <v>1237</v>
      </c>
      <c r="B200" s="25" t="s">
        <v>1157</v>
      </c>
      <c r="C200" s="25" t="s">
        <v>1158</v>
      </c>
      <c r="D200" s="25" t="s">
        <v>1159</v>
      </c>
      <c r="E200" s="26" t="s">
        <v>45</v>
      </c>
      <c r="F200" s="27" t="s">
        <v>45</v>
      </c>
      <c r="G200" s="28" t="s">
        <v>45</v>
      </c>
      <c r="H200" s="29"/>
      <c r="I200" s="29" t="s">
        <v>46</v>
      </c>
      <c r="J200" s="30">
        <v>10</v>
      </c>
      <c r="K200" s="31">
        <f>514.7</f>
        <v>514.70000000000005</v>
      </c>
      <c r="L200" s="32" t="s">
        <v>995</v>
      </c>
      <c r="M200" s="31">
        <f>515.7</f>
        <v>515.70000000000005</v>
      </c>
      <c r="N200" s="32" t="s">
        <v>995</v>
      </c>
      <c r="O200" s="31">
        <f>493</f>
        <v>493</v>
      </c>
      <c r="P200" s="32" t="s">
        <v>788</v>
      </c>
      <c r="Q200" s="31">
        <f>512.2</f>
        <v>512.20000000000005</v>
      </c>
      <c r="R200" s="32" t="s">
        <v>1017</v>
      </c>
      <c r="S200" s="33">
        <f>505.94</f>
        <v>505.94</v>
      </c>
      <c r="T200" s="30">
        <f>5742800</f>
        <v>5742800</v>
      </c>
      <c r="U200" s="30">
        <f>1799640</f>
        <v>1799640</v>
      </c>
      <c r="V200" s="30">
        <f>2903721137</f>
        <v>2903721137</v>
      </c>
      <c r="W200" s="30">
        <f>912287855</f>
        <v>912287855</v>
      </c>
      <c r="X200" s="34">
        <f>21</f>
        <v>21</v>
      </c>
    </row>
    <row r="201" spans="1:24" x14ac:dyDescent="0.15">
      <c r="A201" s="25" t="s">
        <v>1237</v>
      </c>
      <c r="B201" s="25" t="s">
        <v>1160</v>
      </c>
      <c r="C201" s="25" t="s">
        <v>1161</v>
      </c>
      <c r="D201" s="25" t="s">
        <v>1162</v>
      </c>
      <c r="E201" s="26" t="s">
        <v>45</v>
      </c>
      <c r="F201" s="27" t="s">
        <v>45</v>
      </c>
      <c r="G201" s="28" t="s">
        <v>45</v>
      </c>
      <c r="H201" s="29"/>
      <c r="I201" s="29" t="s">
        <v>46</v>
      </c>
      <c r="J201" s="30">
        <v>10</v>
      </c>
      <c r="K201" s="31">
        <f>2054</f>
        <v>2054</v>
      </c>
      <c r="L201" s="32" t="s">
        <v>995</v>
      </c>
      <c r="M201" s="31">
        <f>2142</f>
        <v>2142</v>
      </c>
      <c r="N201" s="32" t="s">
        <v>997</v>
      </c>
      <c r="O201" s="31">
        <f>2044.5</f>
        <v>2044.5</v>
      </c>
      <c r="P201" s="32" t="s">
        <v>1003</v>
      </c>
      <c r="Q201" s="31">
        <f>2141</f>
        <v>2141</v>
      </c>
      <c r="R201" s="32" t="s">
        <v>1017</v>
      </c>
      <c r="S201" s="33">
        <f>2086.15</f>
        <v>2086.15</v>
      </c>
      <c r="T201" s="30">
        <f>1297990</f>
        <v>1297990</v>
      </c>
      <c r="U201" s="30">
        <f>1193000</f>
        <v>1193000</v>
      </c>
      <c r="V201" s="30">
        <f>2721969132</f>
        <v>2721969132</v>
      </c>
      <c r="W201" s="30">
        <f>2501384427</f>
        <v>2501384427</v>
      </c>
      <c r="X201" s="34">
        <f>10</f>
        <v>10</v>
      </c>
    </row>
    <row r="202" spans="1:24" x14ac:dyDescent="0.15">
      <c r="A202" s="25" t="s">
        <v>1237</v>
      </c>
      <c r="B202" s="25" t="s">
        <v>1164</v>
      </c>
      <c r="C202" s="25" t="s">
        <v>1165</v>
      </c>
      <c r="D202" s="25" t="s">
        <v>1166</v>
      </c>
      <c r="E202" s="26" t="s">
        <v>45</v>
      </c>
      <c r="F202" s="27" t="s">
        <v>45</v>
      </c>
      <c r="G202" s="28" t="s">
        <v>45</v>
      </c>
      <c r="H202" s="29"/>
      <c r="I202" s="29" t="s">
        <v>46</v>
      </c>
      <c r="J202" s="30">
        <v>10</v>
      </c>
      <c r="K202" s="31">
        <f>2102.5</f>
        <v>2102.5</v>
      </c>
      <c r="L202" s="32" t="s">
        <v>785</v>
      </c>
      <c r="M202" s="31">
        <f>2215</f>
        <v>2215</v>
      </c>
      <c r="N202" s="32" t="s">
        <v>1017</v>
      </c>
      <c r="O202" s="31">
        <f>2081.5</f>
        <v>2081.5</v>
      </c>
      <c r="P202" s="32" t="s">
        <v>1003</v>
      </c>
      <c r="Q202" s="31">
        <f>2215</f>
        <v>2215</v>
      </c>
      <c r="R202" s="32" t="s">
        <v>1017</v>
      </c>
      <c r="S202" s="33">
        <f>2141.73</f>
        <v>2141.73</v>
      </c>
      <c r="T202" s="30">
        <f>209090</f>
        <v>209090</v>
      </c>
      <c r="U202" s="30" t="str">
        <f>"－"</f>
        <v>－</v>
      </c>
      <c r="V202" s="30">
        <f>443800795</f>
        <v>443800795</v>
      </c>
      <c r="W202" s="30" t="str">
        <f>"－"</f>
        <v>－</v>
      </c>
      <c r="X202" s="34">
        <f>11</f>
        <v>11</v>
      </c>
    </row>
    <row r="203" spans="1:24" x14ac:dyDescent="0.15">
      <c r="A203" s="25" t="s">
        <v>1237</v>
      </c>
      <c r="B203" s="25" t="s">
        <v>1167</v>
      </c>
      <c r="C203" s="25" t="s">
        <v>1168</v>
      </c>
      <c r="D203" s="25" t="s">
        <v>1169</v>
      </c>
      <c r="E203" s="26" t="s">
        <v>45</v>
      </c>
      <c r="F203" s="27" t="s">
        <v>45</v>
      </c>
      <c r="G203" s="28" t="s">
        <v>45</v>
      </c>
      <c r="H203" s="29"/>
      <c r="I203" s="29" t="s">
        <v>46</v>
      </c>
      <c r="J203" s="30">
        <v>10</v>
      </c>
      <c r="K203" s="31">
        <f>2079.5</f>
        <v>2079.5</v>
      </c>
      <c r="L203" s="32" t="s">
        <v>785</v>
      </c>
      <c r="M203" s="31">
        <f>2137.5</f>
        <v>2137.5</v>
      </c>
      <c r="N203" s="32" t="s">
        <v>788</v>
      </c>
      <c r="O203" s="31">
        <f>2070.5</f>
        <v>2070.5</v>
      </c>
      <c r="P203" s="32" t="s">
        <v>1003</v>
      </c>
      <c r="Q203" s="31">
        <f>2130</f>
        <v>2130</v>
      </c>
      <c r="R203" s="32" t="s">
        <v>1001</v>
      </c>
      <c r="S203" s="33">
        <f>2092.71</f>
        <v>2092.71</v>
      </c>
      <c r="T203" s="30">
        <f>522940</f>
        <v>522940</v>
      </c>
      <c r="U203" s="30">
        <f>470000</f>
        <v>470000</v>
      </c>
      <c r="V203" s="30">
        <f>1112055930</f>
        <v>1112055930</v>
      </c>
      <c r="W203" s="30">
        <f>1001965740</f>
        <v>1001965740</v>
      </c>
      <c r="X203" s="34">
        <f>7</f>
        <v>7</v>
      </c>
    </row>
    <row r="204" spans="1:24" x14ac:dyDescent="0.15">
      <c r="A204" s="25" t="s">
        <v>1237</v>
      </c>
      <c r="B204" s="25" t="s">
        <v>1170</v>
      </c>
      <c r="C204" s="25" t="s">
        <v>1171</v>
      </c>
      <c r="D204" s="25" t="s">
        <v>1172</v>
      </c>
      <c r="E204" s="26" t="s">
        <v>45</v>
      </c>
      <c r="F204" s="27" t="s">
        <v>45</v>
      </c>
      <c r="G204" s="28" t="s">
        <v>45</v>
      </c>
      <c r="H204" s="29"/>
      <c r="I204" s="29" t="s">
        <v>46</v>
      </c>
      <c r="J204" s="30">
        <v>10</v>
      </c>
      <c r="K204" s="31">
        <f>2116</f>
        <v>2116</v>
      </c>
      <c r="L204" s="32" t="s">
        <v>1000</v>
      </c>
      <c r="M204" s="31">
        <f>2131</f>
        <v>2131</v>
      </c>
      <c r="N204" s="32" t="s">
        <v>794</v>
      </c>
      <c r="O204" s="31">
        <f>2116</f>
        <v>2116</v>
      </c>
      <c r="P204" s="32" t="s">
        <v>1000</v>
      </c>
      <c r="Q204" s="31">
        <f>2131</f>
        <v>2131</v>
      </c>
      <c r="R204" s="32" t="s">
        <v>794</v>
      </c>
      <c r="S204" s="33">
        <f>2125</f>
        <v>2125</v>
      </c>
      <c r="T204" s="30">
        <f>52180</f>
        <v>52180</v>
      </c>
      <c r="U204" s="30" t="str">
        <f>"－"</f>
        <v>－</v>
      </c>
      <c r="V204" s="30">
        <f>110414680</f>
        <v>110414680</v>
      </c>
      <c r="W204" s="30" t="str">
        <f>"－"</f>
        <v>－</v>
      </c>
      <c r="X204" s="34">
        <f>2</f>
        <v>2</v>
      </c>
    </row>
    <row r="205" spans="1:24" x14ac:dyDescent="0.15">
      <c r="A205" s="25" t="s">
        <v>1237</v>
      </c>
      <c r="B205" s="25" t="s">
        <v>1173</v>
      </c>
      <c r="C205" s="25" t="s">
        <v>1174</v>
      </c>
      <c r="D205" s="25" t="s">
        <v>1175</v>
      </c>
      <c r="E205" s="26" t="s">
        <v>45</v>
      </c>
      <c r="F205" s="27" t="s">
        <v>45</v>
      </c>
      <c r="G205" s="28" t="s">
        <v>45</v>
      </c>
      <c r="H205" s="29"/>
      <c r="I205" s="29" t="s">
        <v>46</v>
      </c>
      <c r="J205" s="30">
        <v>10</v>
      </c>
      <c r="K205" s="31">
        <f>5027</f>
        <v>5027</v>
      </c>
      <c r="L205" s="32" t="s">
        <v>995</v>
      </c>
      <c r="M205" s="31">
        <f>5215</f>
        <v>5215</v>
      </c>
      <c r="N205" s="32" t="s">
        <v>997</v>
      </c>
      <c r="O205" s="31">
        <f>5023</f>
        <v>5023</v>
      </c>
      <c r="P205" s="32" t="s">
        <v>995</v>
      </c>
      <c r="Q205" s="31">
        <f>5215</f>
        <v>5215</v>
      </c>
      <c r="R205" s="32" t="s">
        <v>997</v>
      </c>
      <c r="S205" s="33">
        <f>5147.29</f>
        <v>5147.29</v>
      </c>
      <c r="T205" s="30">
        <f>90630</f>
        <v>90630</v>
      </c>
      <c r="U205" s="30" t="str">
        <f>"－"</f>
        <v>－</v>
      </c>
      <c r="V205" s="30">
        <f>460191320</f>
        <v>460191320</v>
      </c>
      <c r="W205" s="30" t="str">
        <f>"－"</f>
        <v>－</v>
      </c>
      <c r="X205" s="34">
        <f>7</f>
        <v>7</v>
      </c>
    </row>
    <row r="206" spans="1:24" x14ac:dyDescent="0.15">
      <c r="A206" s="25" t="s">
        <v>1237</v>
      </c>
      <c r="B206" s="25" t="s">
        <v>1176</v>
      </c>
      <c r="C206" s="25" t="s">
        <v>1177</v>
      </c>
      <c r="D206" s="25" t="s">
        <v>1178</v>
      </c>
      <c r="E206" s="26" t="s">
        <v>45</v>
      </c>
      <c r="F206" s="27" t="s">
        <v>45</v>
      </c>
      <c r="G206" s="28" t="s">
        <v>45</v>
      </c>
      <c r="H206" s="29"/>
      <c r="I206" s="29" t="s">
        <v>46</v>
      </c>
      <c r="J206" s="30">
        <v>10</v>
      </c>
      <c r="K206" s="31">
        <f>5012</f>
        <v>5012</v>
      </c>
      <c r="L206" s="32" t="s">
        <v>995</v>
      </c>
      <c r="M206" s="31">
        <f>6012</f>
        <v>6012</v>
      </c>
      <c r="N206" s="32" t="s">
        <v>785</v>
      </c>
      <c r="O206" s="31">
        <f>4903</f>
        <v>4903</v>
      </c>
      <c r="P206" s="32" t="s">
        <v>1000</v>
      </c>
      <c r="Q206" s="31">
        <f>5259</f>
        <v>5259</v>
      </c>
      <c r="R206" s="32" t="s">
        <v>255</v>
      </c>
      <c r="S206" s="33">
        <f>5157.2</f>
        <v>5157.2</v>
      </c>
      <c r="T206" s="30">
        <f>20580</f>
        <v>20580</v>
      </c>
      <c r="U206" s="30" t="str">
        <f>"－"</f>
        <v>－</v>
      </c>
      <c r="V206" s="30">
        <f>105686770</f>
        <v>105686770</v>
      </c>
      <c r="W206" s="30" t="str">
        <f>"－"</f>
        <v>－</v>
      </c>
      <c r="X206" s="34">
        <f>10</f>
        <v>10</v>
      </c>
    </row>
    <row r="207" spans="1:24" x14ac:dyDescent="0.15">
      <c r="A207" s="25" t="s">
        <v>1237</v>
      </c>
      <c r="B207" s="25" t="s">
        <v>1179</v>
      </c>
      <c r="C207" s="25" t="s">
        <v>1180</v>
      </c>
      <c r="D207" s="25" t="s">
        <v>1181</v>
      </c>
      <c r="E207" s="26" t="s">
        <v>45</v>
      </c>
      <c r="F207" s="27" t="s">
        <v>45</v>
      </c>
      <c r="G207" s="28" t="s">
        <v>45</v>
      </c>
      <c r="H207" s="29"/>
      <c r="I207" s="29" t="s">
        <v>46</v>
      </c>
      <c r="J207" s="30">
        <v>10</v>
      </c>
      <c r="K207" s="31">
        <f>5327</f>
        <v>5327</v>
      </c>
      <c r="L207" s="32" t="s">
        <v>997</v>
      </c>
      <c r="M207" s="31">
        <f>5327</f>
        <v>5327</v>
      </c>
      <c r="N207" s="32" t="s">
        <v>997</v>
      </c>
      <c r="O207" s="31">
        <f>5327</f>
        <v>5327</v>
      </c>
      <c r="P207" s="32" t="s">
        <v>997</v>
      </c>
      <c r="Q207" s="31">
        <f>5327</f>
        <v>5327</v>
      </c>
      <c r="R207" s="32" t="s">
        <v>997</v>
      </c>
      <c r="S207" s="33">
        <f>5327</f>
        <v>5327</v>
      </c>
      <c r="T207" s="30">
        <f>30</f>
        <v>30</v>
      </c>
      <c r="U207" s="30" t="str">
        <f>"－"</f>
        <v>－</v>
      </c>
      <c r="V207" s="30">
        <f>159810</f>
        <v>159810</v>
      </c>
      <c r="W207" s="30" t="str">
        <f>"－"</f>
        <v>－</v>
      </c>
      <c r="X207" s="34">
        <f>1</f>
        <v>1</v>
      </c>
    </row>
    <row r="208" spans="1:24" x14ac:dyDescent="0.15">
      <c r="A208" s="25" t="s">
        <v>1237</v>
      </c>
      <c r="B208" s="25" t="s">
        <v>1209</v>
      </c>
      <c r="C208" s="25" t="s">
        <v>1208</v>
      </c>
      <c r="D208" s="25" t="s">
        <v>1207</v>
      </c>
      <c r="E208" s="26" t="s">
        <v>45</v>
      </c>
      <c r="F208" s="27" t="s">
        <v>45</v>
      </c>
      <c r="G208" s="28" t="s">
        <v>45</v>
      </c>
      <c r="H208" s="29"/>
      <c r="I208" s="29" t="s">
        <v>46</v>
      </c>
      <c r="J208" s="30">
        <v>10</v>
      </c>
      <c r="K208" s="31">
        <f>4974</f>
        <v>4974</v>
      </c>
      <c r="L208" s="32" t="s">
        <v>995</v>
      </c>
      <c r="M208" s="31">
        <f>5011</f>
        <v>5011</v>
      </c>
      <c r="N208" s="32" t="s">
        <v>785</v>
      </c>
      <c r="O208" s="31">
        <f>4759</f>
        <v>4759</v>
      </c>
      <c r="P208" s="32" t="s">
        <v>1005</v>
      </c>
      <c r="Q208" s="31">
        <f>4782</f>
        <v>4782</v>
      </c>
      <c r="R208" s="32" t="s">
        <v>1017</v>
      </c>
      <c r="S208" s="33">
        <f>4853.38</f>
        <v>4853.38</v>
      </c>
      <c r="T208" s="30">
        <f>2033330</f>
        <v>2033330</v>
      </c>
      <c r="U208" s="30">
        <f>1950020</f>
        <v>1950020</v>
      </c>
      <c r="V208" s="30">
        <f>9786890154</f>
        <v>9786890154</v>
      </c>
      <c r="W208" s="30">
        <f>9386071314</f>
        <v>9386071314</v>
      </c>
      <c r="X208" s="34">
        <f>21</f>
        <v>21</v>
      </c>
    </row>
    <row r="209" spans="1:24" x14ac:dyDescent="0.15">
      <c r="A209" s="25" t="s">
        <v>1237</v>
      </c>
      <c r="B209" s="25" t="s">
        <v>1205</v>
      </c>
      <c r="C209" s="25" t="s">
        <v>1204</v>
      </c>
      <c r="D209" s="25" t="s">
        <v>1203</v>
      </c>
      <c r="E209" s="26" t="s">
        <v>45</v>
      </c>
      <c r="F209" s="27" t="s">
        <v>45</v>
      </c>
      <c r="G209" s="28" t="s">
        <v>45</v>
      </c>
      <c r="H209" s="29"/>
      <c r="I209" s="29" t="s">
        <v>46</v>
      </c>
      <c r="J209" s="30">
        <v>1</v>
      </c>
      <c r="K209" s="31">
        <f>988</f>
        <v>988</v>
      </c>
      <c r="L209" s="32" t="s">
        <v>995</v>
      </c>
      <c r="M209" s="31">
        <f>1015</f>
        <v>1015</v>
      </c>
      <c r="N209" s="32" t="s">
        <v>786</v>
      </c>
      <c r="O209" s="31">
        <f>977</f>
        <v>977</v>
      </c>
      <c r="P209" s="32" t="s">
        <v>785</v>
      </c>
      <c r="Q209" s="31">
        <f>988</f>
        <v>988</v>
      </c>
      <c r="R209" s="32" t="s">
        <v>1017</v>
      </c>
      <c r="S209" s="33">
        <f>995.24</f>
        <v>995.24</v>
      </c>
      <c r="T209" s="30">
        <f>14880</f>
        <v>14880</v>
      </c>
      <c r="U209" s="30" t="str">
        <f t="shared" ref="U209:U214" si="4">"－"</f>
        <v>－</v>
      </c>
      <c r="V209" s="30">
        <f>14934538</f>
        <v>14934538</v>
      </c>
      <c r="W209" s="30" t="str">
        <f t="shared" ref="W209:W214" si="5">"－"</f>
        <v>－</v>
      </c>
      <c r="X209" s="34">
        <f>21</f>
        <v>21</v>
      </c>
    </row>
    <row r="210" spans="1:24" x14ac:dyDescent="0.15">
      <c r="A210" s="25" t="s">
        <v>1237</v>
      </c>
      <c r="B210" s="25" t="s">
        <v>1201</v>
      </c>
      <c r="C210" s="25" t="s">
        <v>1200</v>
      </c>
      <c r="D210" s="25" t="s">
        <v>1199</v>
      </c>
      <c r="E210" s="26" t="s">
        <v>45</v>
      </c>
      <c r="F210" s="27" t="s">
        <v>45</v>
      </c>
      <c r="G210" s="28" t="s">
        <v>45</v>
      </c>
      <c r="H210" s="29"/>
      <c r="I210" s="29" t="s">
        <v>46</v>
      </c>
      <c r="J210" s="30">
        <v>1</v>
      </c>
      <c r="K210" s="31">
        <f>1064</f>
        <v>1064</v>
      </c>
      <c r="L210" s="32" t="s">
        <v>995</v>
      </c>
      <c r="M210" s="31">
        <f>1119</f>
        <v>1119</v>
      </c>
      <c r="N210" s="32" t="s">
        <v>786</v>
      </c>
      <c r="O210" s="31">
        <f>1003</f>
        <v>1003</v>
      </c>
      <c r="P210" s="32" t="s">
        <v>1000</v>
      </c>
      <c r="Q210" s="31">
        <f>1117</f>
        <v>1117</v>
      </c>
      <c r="R210" s="32" t="s">
        <v>1017</v>
      </c>
      <c r="S210" s="33">
        <f>1093.19</f>
        <v>1093.19</v>
      </c>
      <c r="T210" s="30">
        <f>343580</f>
        <v>343580</v>
      </c>
      <c r="U210" s="30" t="str">
        <f t="shared" si="4"/>
        <v>－</v>
      </c>
      <c r="V210" s="30">
        <f>368535431</f>
        <v>368535431</v>
      </c>
      <c r="W210" s="30" t="str">
        <f t="shared" si="5"/>
        <v>－</v>
      </c>
      <c r="X210" s="34">
        <f>21</f>
        <v>21</v>
      </c>
    </row>
    <row r="211" spans="1:24" x14ac:dyDescent="0.15">
      <c r="A211" s="25" t="s">
        <v>1237</v>
      </c>
      <c r="B211" s="25" t="s">
        <v>1198</v>
      </c>
      <c r="C211" s="25" t="s">
        <v>1197</v>
      </c>
      <c r="D211" s="25" t="s">
        <v>1196</v>
      </c>
      <c r="E211" s="26" t="s">
        <v>45</v>
      </c>
      <c r="F211" s="27" t="s">
        <v>45</v>
      </c>
      <c r="G211" s="28" t="s">
        <v>45</v>
      </c>
      <c r="H211" s="29"/>
      <c r="I211" s="29" t="s">
        <v>46</v>
      </c>
      <c r="J211" s="30">
        <v>1</v>
      </c>
      <c r="K211" s="31">
        <f>1016</f>
        <v>1016</v>
      </c>
      <c r="L211" s="32" t="s">
        <v>995</v>
      </c>
      <c r="M211" s="31">
        <f>1016</f>
        <v>1016</v>
      </c>
      <c r="N211" s="32" t="s">
        <v>995</v>
      </c>
      <c r="O211" s="31">
        <f>980</f>
        <v>980</v>
      </c>
      <c r="P211" s="32" t="s">
        <v>786</v>
      </c>
      <c r="Q211" s="31">
        <f>1000</f>
        <v>1000</v>
      </c>
      <c r="R211" s="32" t="s">
        <v>1017</v>
      </c>
      <c r="S211" s="33">
        <f>998.71</f>
        <v>998.71</v>
      </c>
      <c r="T211" s="30">
        <f>6036</f>
        <v>6036</v>
      </c>
      <c r="U211" s="30" t="str">
        <f t="shared" si="4"/>
        <v>－</v>
      </c>
      <c r="V211" s="30">
        <f>6023355</f>
        <v>6023355</v>
      </c>
      <c r="W211" s="30" t="str">
        <f t="shared" si="5"/>
        <v>－</v>
      </c>
      <c r="X211" s="34">
        <f>21</f>
        <v>21</v>
      </c>
    </row>
    <row r="212" spans="1:24" x14ac:dyDescent="0.15">
      <c r="A212" s="25" t="s">
        <v>1237</v>
      </c>
      <c r="B212" s="25" t="s">
        <v>1195</v>
      </c>
      <c r="C212" s="25" t="s">
        <v>1194</v>
      </c>
      <c r="D212" s="25" t="s">
        <v>1193</v>
      </c>
      <c r="E212" s="26" t="s">
        <v>45</v>
      </c>
      <c r="F212" s="27" t="s">
        <v>45</v>
      </c>
      <c r="G212" s="28" t="s">
        <v>45</v>
      </c>
      <c r="H212" s="29"/>
      <c r="I212" s="29" t="s">
        <v>46</v>
      </c>
      <c r="J212" s="30">
        <v>1</v>
      </c>
      <c r="K212" s="31">
        <f>1013</f>
        <v>1013</v>
      </c>
      <c r="L212" s="32" t="s">
        <v>995</v>
      </c>
      <c r="M212" s="31">
        <f>1015</f>
        <v>1015</v>
      </c>
      <c r="N212" s="32" t="s">
        <v>78</v>
      </c>
      <c r="O212" s="31">
        <f>962</f>
        <v>962</v>
      </c>
      <c r="P212" s="32" t="s">
        <v>786</v>
      </c>
      <c r="Q212" s="31">
        <f>987</f>
        <v>987</v>
      </c>
      <c r="R212" s="32" t="s">
        <v>1017</v>
      </c>
      <c r="S212" s="33">
        <f>993.52</f>
        <v>993.52</v>
      </c>
      <c r="T212" s="30">
        <f>30556</f>
        <v>30556</v>
      </c>
      <c r="U212" s="30" t="str">
        <f t="shared" si="4"/>
        <v>－</v>
      </c>
      <c r="V212" s="30">
        <f>30203943</f>
        <v>30203943</v>
      </c>
      <c r="W212" s="30" t="str">
        <f t="shared" si="5"/>
        <v>－</v>
      </c>
      <c r="X212" s="34">
        <f>21</f>
        <v>21</v>
      </c>
    </row>
    <row r="213" spans="1:24" x14ac:dyDescent="0.15">
      <c r="A213" s="25" t="s">
        <v>1237</v>
      </c>
      <c r="B213" s="25" t="s">
        <v>1192</v>
      </c>
      <c r="C213" s="25" t="s">
        <v>1191</v>
      </c>
      <c r="D213" s="25" t="s">
        <v>1190</v>
      </c>
      <c r="E213" s="26" t="s">
        <v>45</v>
      </c>
      <c r="F213" s="27" t="s">
        <v>45</v>
      </c>
      <c r="G213" s="28" t="s">
        <v>45</v>
      </c>
      <c r="H213" s="29"/>
      <c r="I213" s="29" t="s">
        <v>46</v>
      </c>
      <c r="J213" s="30">
        <v>1</v>
      </c>
      <c r="K213" s="31">
        <f>1016</f>
        <v>1016</v>
      </c>
      <c r="L213" s="32" t="s">
        <v>995</v>
      </c>
      <c r="M213" s="31">
        <f>1021</f>
        <v>1021</v>
      </c>
      <c r="N213" s="32" t="s">
        <v>1017</v>
      </c>
      <c r="O213" s="31">
        <f>979</f>
        <v>979</v>
      </c>
      <c r="P213" s="32" t="s">
        <v>790</v>
      </c>
      <c r="Q213" s="31">
        <f>1020</f>
        <v>1020</v>
      </c>
      <c r="R213" s="32" t="s">
        <v>1017</v>
      </c>
      <c r="S213" s="33">
        <f>1002.48</f>
        <v>1002.48</v>
      </c>
      <c r="T213" s="30">
        <f>6387</f>
        <v>6387</v>
      </c>
      <c r="U213" s="30" t="str">
        <f t="shared" si="4"/>
        <v>－</v>
      </c>
      <c r="V213" s="30">
        <f>6387266</f>
        <v>6387266</v>
      </c>
      <c r="W213" s="30" t="str">
        <f t="shared" si="5"/>
        <v>－</v>
      </c>
      <c r="X213" s="34">
        <f>21</f>
        <v>21</v>
      </c>
    </row>
    <row r="214" spans="1:24" x14ac:dyDescent="0.15">
      <c r="A214" s="25" t="s">
        <v>1237</v>
      </c>
      <c r="B214" s="25" t="s">
        <v>986</v>
      </c>
      <c r="C214" s="25" t="s">
        <v>987</v>
      </c>
      <c r="D214" s="25" t="s">
        <v>988</v>
      </c>
      <c r="E214" s="26" t="s">
        <v>45</v>
      </c>
      <c r="F214" s="27" t="s">
        <v>45</v>
      </c>
      <c r="G214" s="28" t="s">
        <v>45</v>
      </c>
      <c r="H214" s="29"/>
      <c r="I214" s="29" t="s">
        <v>46</v>
      </c>
      <c r="J214" s="30">
        <v>10</v>
      </c>
      <c r="K214" s="31">
        <f>2327.5</f>
        <v>2327.5</v>
      </c>
      <c r="L214" s="32" t="s">
        <v>995</v>
      </c>
      <c r="M214" s="31">
        <f>2457</f>
        <v>2457</v>
      </c>
      <c r="N214" s="32" t="s">
        <v>789</v>
      </c>
      <c r="O214" s="31">
        <f>2265</f>
        <v>2265</v>
      </c>
      <c r="P214" s="32" t="s">
        <v>1000</v>
      </c>
      <c r="Q214" s="31">
        <f>2337</f>
        <v>2337</v>
      </c>
      <c r="R214" s="32" t="s">
        <v>1017</v>
      </c>
      <c r="S214" s="33">
        <f>2329.21</f>
        <v>2329.21</v>
      </c>
      <c r="T214" s="30">
        <f>35300</f>
        <v>35300</v>
      </c>
      <c r="U214" s="30" t="str">
        <f t="shared" si="4"/>
        <v>－</v>
      </c>
      <c r="V214" s="30">
        <f>81952265</f>
        <v>81952265</v>
      </c>
      <c r="W214" s="30" t="str">
        <f t="shared" si="5"/>
        <v>－</v>
      </c>
      <c r="X214" s="34">
        <f>21</f>
        <v>21</v>
      </c>
    </row>
    <row r="215" spans="1:24" x14ac:dyDescent="0.15">
      <c r="A215" s="25" t="s">
        <v>1237</v>
      </c>
      <c r="B215" s="25" t="s">
        <v>990</v>
      </c>
      <c r="C215" s="25" t="s">
        <v>991</v>
      </c>
      <c r="D215" s="25" t="s">
        <v>992</v>
      </c>
      <c r="E215" s="26" t="s">
        <v>45</v>
      </c>
      <c r="F215" s="27" t="s">
        <v>45</v>
      </c>
      <c r="G215" s="28" t="s">
        <v>45</v>
      </c>
      <c r="H215" s="29"/>
      <c r="I215" s="29" t="s">
        <v>46</v>
      </c>
      <c r="J215" s="30">
        <v>1</v>
      </c>
      <c r="K215" s="31">
        <f>1087</f>
        <v>1087</v>
      </c>
      <c r="L215" s="32" t="s">
        <v>995</v>
      </c>
      <c r="M215" s="31">
        <f>1113</f>
        <v>1113</v>
      </c>
      <c r="N215" s="32" t="s">
        <v>80</v>
      </c>
      <c r="O215" s="31">
        <f>1065</f>
        <v>1065</v>
      </c>
      <c r="P215" s="32" t="s">
        <v>1000</v>
      </c>
      <c r="Q215" s="31">
        <f>1100</f>
        <v>1100</v>
      </c>
      <c r="R215" s="32" t="s">
        <v>1017</v>
      </c>
      <c r="S215" s="33">
        <f>1094.48</f>
        <v>1094.48</v>
      </c>
      <c r="T215" s="30">
        <f>577366</f>
        <v>577366</v>
      </c>
      <c r="U215" s="30">
        <f>28010</f>
        <v>28010</v>
      </c>
      <c r="V215" s="30">
        <f>632871299</f>
        <v>632871299</v>
      </c>
      <c r="W215" s="30">
        <f>30531000</f>
        <v>30531000</v>
      </c>
      <c r="X215" s="34">
        <f>21</f>
        <v>21</v>
      </c>
    </row>
    <row r="216" spans="1:24" x14ac:dyDescent="0.15">
      <c r="A216" s="25" t="s">
        <v>1237</v>
      </c>
      <c r="B216" s="25" t="s">
        <v>1006</v>
      </c>
      <c r="C216" s="25" t="s">
        <v>1007</v>
      </c>
      <c r="D216" s="25" t="s">
        <v>1008</v>
      </c>
      <c r="E216" s="26" t="s">
        <v>45</v>
      </c>
      <c r="F216" s="27" t="s">
        <v>45</v>
      </c>
      <c r="G216" s="28" t="s">
        <v>45</v>
      </c>
      <c r="H216" s="29"/>
      <c r="I216" s="29" t="s">
        <v>46</v>
      </c>
      <c r="J216" s="30">
        <v>1</v>
      </c>
      <c r="K216" s="31">
        <f>58980</f>
        <v>58980</v>
      </c>
      <c r="L216" s="32" t="s">
        <v>995</v>
      </c>
      <c r="M216" s="31">
        <f>64410</f>
        <v>64410</v>
      </c>
      <c r="N216" s="32" t="s">
        <v>997</v>
      </c>
      <c r="O216" s="31">
        <f>58400</f>
        <v>58400</v>
      </c>
      <c r="P216" s="32" t="s">
        <v>1003</v>
      </c>
      <c r="Q216" s="31">
        <f>64280</f>
        <v>64280</v>
      </c>
      <c r="R216" s="32" t="s">
        <v>1017</v>
      </c>
      <c r="S216" s="33">
        <f>61750.48</f>
        <v>61750.48</v>
      </c>
      <c r="T216" s="30">
        <f>31798</f>
        <v>31798</v>
      </c>
      <c r="U216" s="30">
        <f>87</f>
        <v>87</v>
      </c>
      <c r="V216" s="30">
        <f>1964361552</f>
        <v>1964361552</v>
      </c>
      <c r="W216" s="30">
        <f>5476362</f>
        <v>5476362</v>
      </c>
      <c r="X216" s="34">
        <f>21</f>
        <v>21</v>
      </c>
    </row>
    <row r="217" spans="1:24" x14ac:dyDescent="0.15">
      <c r="A217" s="25" t="s">
        <v>1237</v>
      </c>
      <c r="B217" s="25" t="s">
        <v>1010</v>
      </c>
      <c r="C217" s="25" t="s">
        <v>1011</v>
      </c>
      <c r="D217" s="25" t="s">
        <v>1012</v>
      </c>
      <c r="E217" s="26" t="s">
        <v>45</v>
      </c>
      <c r="F217" s="27" t="s">
        <v>45</v>
      </c>
      <c r="G217" s="28" t="s">
        <v>45</v>
      </c>
      <c r="H217" s="29"/>
      <c r="I217" s="29" t="s">
        <v>46</v>
      </c>
      <c r="J217" s="30">
        <v>1</v>
      </c>
      <c r="K217" s="31">
        <f>8616</f>
        <v>8616</v>
      </c>
      <c r="L217" s="32" t="s">
        <v>995</v>
      </c>
      <c r="M217" s="31">
        <f>8659</f>
        <v>8659</v>
      </c>
      <c r="N217" s="32" t="s">
        <v>1003</v>
      </c>
      <c r="O217" s="31">
        <f>8222</f>
        <v>8222</v>
      </c>
      <c r="P217" s="32" t="s">
        <v>997</v>
      </c>
      <c r="Q217" s="31">
        <f>8240</f>
        <v>8240</v>
      </c>
      <c r="R217" s="32" t="s">
        <v>1017</v>
      </c>
      <c r="S217" s="33">
        <f>8416.95</f>
        <v>8416.9500000000007</v>
      </c>
      <c r="T217" s="30">
        <f>339394</f>
        <v>339394</v>
      </c>
      <c r="U217" s="30">
        <f>251302</f>
        <v>251302</v>
      </c>
      <c r="V217" s="30">
        <f>2852816643</f>
        <v>2852816643</v>
      </c>
      <c r="W217" s="30">
        <f>2114021128</f>
        <v>2114021128</v>
      </c>
      <c r="X217" s="34">
        <f>21</f>
        <v>21</v>
      </c>
    </row>
    <row r="218" spans="1:24" x14ac:dyDescent="0.15">
      <c r="A218" s="25" t="s">
        <v>1237</v>
      </c>
      <c r="B218" s="25" t="s">
        <v>1018</v>
      </c>
      <c r="C218" s="25" t="s">
        <v>1019</v>
      </c>
      <c r="D218" s="25" t="s">
        <v>1020</v>
      </c>
      <c r="E218" s="26" t="s">
        <v>45</v>
      </c>
      <c r="F218" s="27" t="s">
        <v>45</v>
      </c>
      <c r="G218" s="28" t="s">
        <v>45</v>
      </c>
      <c r="H218" s="29"/>
      <c r="I218" s="29" t="s">
        <v>46</v>
      </c>
      <c r="J218" s="30">
        <v>10</v>
      </c>
      <c r="K218" s="31">
        <f>12655</f>
        <v>12655</v>
      </c>
      <c r="L218" s="32" t="s">
        <v>995</v>
      </c>
      <c r="M218" s="31">
        <f>14000</f>
        <v>14000</v>
      </c>
      <c r="N218" s="32" t="s">
        <v>789</v>
      </c>
      <c r="O218" s="31">
        <f>12525</f>
        <v>12525</v>
      </c>
      <c r="P218" s="32" t="s">
        <v>1003</v>
      </c>
      <c r="Q218" s="31">
        <f>13785</f>
        <v>13785</v>
      </c>
      <c r="R218" s="32" t="s">
        <v>1017</v>
      </c>
      <c r="S218" s="33">
        <f>13246.67</f>
        <v>13246.67</v>
      </c>
      <c r="T218" s="30">
        <f>53910</f>
        <v>53910</v>
      </c>
      <c r="U218" s="30">
        <f>90</f>
        <v>90</v>
      </c>
      <c r="V218" s="30">
        <f>719028500</f>
        <v>719028500</v>
      </c>
      <c r="W218" s="30">
        <f>1217700</f>
        <v>1217700</v>
      </c>
      <c r="X218" s="34">
        <f>21</f>
        <v>21</v>
      </c>
    </row>
    <row r="219" spans="1:24" x14ac:dyDescent="0.15">
      <c r="A219" s="25" t="s">
        <v>1237</v>
      </c>
      <c r="B219" s="25" t="s">
        <v>1022</v>
      </c>
      <c r="C219" s="25" t="s">
        <v>1023</v>
      </c>
      <c r="D219" s="25" t="s">
        <v>1024</v>
      </c>
      <c r="E219" s="26" t="s">
        <v>45</v>
      </c>
      <c r="F219" s="27" t="s">
        <v>45</v>
      </c>
      <c r="G219" s="28" t="s">
        <v>45</v>
      </c>
      <c r="H219" s="29"/>
      <c r="I219" s="29" t="s">
        <v>46</v>
      </c>
      <c r="J219" s="30">
        <v>10</v>
      </c>
      <c r="K219" s="31">
        <f>8664</f>
        <v>8664</v>
      </c>
      <c r="L219" s="32" t="s">
        <v>995</v>
      </c>
      <c r="M219" s="31">
        <f>8704</f>
        <v>8704</v>
      </c>
      <c r="N219" s="32" t="s">
        <v>1003</v>
      </c>
      <c r="O219" s="31">
        <f>8270</f>
        <v>8270</v>
      </c>
      <c r="P219" s="32" t="s">
        <v>997</v>
      </c>
      <c r="Q219" s="31">
        <f>8427</f>
        <v>8427</v>
      </c>
      <c r="R219" s="32" t="s">
        <v>1017</v>
      </c>
      <c r="S219" s="33">
        <f>8476.2</f>
        <v>8476.2000000000007</v>
      </c>
      <c r="T219" s="30">
        <f>15040</f>
        <v>15040</v>
      </c>
      <c r="U219" s="30">
        <f>1000</f>
        <v>1000</v>
      </c>
      <c r="V219" s="30">
        <f>127786040</f>
        <v>127786040</v>
      </c>
      <c r="W219" s="30">
        <f>8650700</f>
        <v>8650700</v>
      </c>
      <c r="X219" s="34">
        <f>20</f>
        <v>20</v>
      </c>
    </row>
    <row r="220" spans="1:24" x14ac:dyDescent="0.15">
      <c r="A220" s="25" t="s">
        <v>1237</v>
      </c>
      <c r="B220" s="25" t="s">
        <v>1025</v>
      </c>
      <c r="C220" s="25" t="s">
        <v>1026</v>
      </c>
      <c r="D220" s="25" t="s">
        <v>1027</v>
      </c>
      <c r="E220" s="26" t="s">
        <v>45</v>
      </c>
      <c r="F220" s="27" t="s">
        <v>45</v>
      </c>
      <c r="G220" s="28" t="s">
        <v>45</v>
      </c>
      <c r="H220" s="29"/>
      <c r="I220" s="29" t="s">
        <v>46</v>
      </c>
      <c r="J220" s="30">
        <v>10</v>
      </c>
      <c r="K220" s="31">
        <f>591.9</f>
        <v>591.9</v>
      </c>
      <c r="L220" s="32" t="s">
        <v>995</v>
      </c>
      <c r="M220" s="31">
        <f>630</f>
        <v>630</v>
      </c>
      <c r="N220" s="32" t="s">
        <v>789</v>
      </c>
      <c r="O220" s="31">
        <f>574.8</f>
        <v>574.79999999999995</v>
      </c>
      <c r="P220" s="32" t="s">
        <v>1000</v>
      </c>
      <c r="Q220" s="31">
        <f>595.1</f>
        <v>595.1</v>
      </c>
      <c r="R220" s="32" t="s">
        <v>1017</v>
      </c>
      <c r="S220" s="33">
        <f>592.11</f>
        <v>592.11</v>
      </c>
      <c r="T220" s="30">
        <f>336390</f>
        <v>336390</v>
      </c>
      <c r="U220" s="30" t="str">
        <f>"－"</f>
        <v>－</v>
      </c>
      <c r="V220" s="30">
        <f>200051072</f>
        <v>200051072</v>
      </c>
      <c r="W220" s="30" t="str">
        <f>"－"</f>
        <v>－</v>
      </c>
      <c r="X220" s="34">
        <f>21</f>
        <v>21</v>
      </c>
    </row>
    <row r="221" spans="1:24" x14ac:dyDescent="0.15">
      <c r="A221" s="25" t="s">
        <v>1237</v>
      </c>
      <c r="B221" s="25" t="s">
        <v>1029</v>
      </c>
      <c r="C221" s="25" t="s">
        <v>1030</v>
      </c>
      <c r="D221" s="25" t="s">
        <v>1031</v>
      </c>
      <c r="E221" s="26" t="s">
        <v>45</v>
      </c>
      <c r="F221" s="27" t="s">
        <v>45</v>
      </c>
      <c r="G221" s="28" t="s">
        <v>45</v>
      </c>
      <c r="H221" s="29"/>
      <c r="I221" s="29" t="s">
        <v>46</v>
      </c>
      <c r="J221" s="30">
        <v>10</v>
      </c>
      <c r="K221" s="31">
        <f>523</f>
        <v>523</v>
      </c>
      <c r="L221" s="32" t="s">
        <v>995</v>
      </c>
      <c r="M221" s="31">
        <f>550.7</f>
        <v>550.70000000000005</v>
      </c>
      <c r="N221" s="32" t="s">
        <v>80</v>
      </c>
      <c r="O221" s="31">
        <f>523</f>
        <v>523</v>
      </c>
      <c r="P221" s="32" t="s">
        <v>995</v>
      </c>
      <c r="Q221" s="31">
        <f>545.7</f>
        <v>545.70000000000005</v>
      </c>
      <c r="R221" s="32" t="s">
        <v>1017</v>
      </c>
      <c r="S221" s="33">
        <f>535.49</f>
        <v>535.49</v>
      </c>
      <c r="T221" s="30">
        <f>2232140</f>
        <v>2232140</v>
      </c>
      <c r="U221" s="30">
        <f>2027140</f>
        <v>2027140</v>
      </c>
      <c r="V221" s="30">
        <f>1211050579</f>
        <v>1211050579</v>
      </c>
      <c r="W221" s="30">
        <f>1100220598</f>
        <v>1100220598</v>
      </c>
      <c r="X221" s="34">
        <f>21</f>
        <v>21</v>
      </c>
    </row>
    <row r="222" spans="1:24" x14ac:dyDescent="0.15">
      <c r="A222" s="25" t="s">
        <v>1237</v>
      </c>
      <c r="B222" s="25" t="s">
        <v>1071</v>
      </c>
      <c r="C222" s="25" t="s">
        <v>1072</v>
      </c>
      <c r="D222" s="25" t="s">
        <v>1073</v>
      </c>
      <c r="E222" s="26" t="s">
        <v>45</v>
      </c>
      <c r="F222" s="27" t="s">
        <v>45</v>
      </c>
      <c r="G222" s="28" t="s">
        <v>45</v>
      </c>
      <c r="H222" s="29"/>
      <c r="I222" s="29" t="s">
        <v>46</v>
      </c>
      <c r="J222" s="30">
        <v>1</v>
      </c>
      <c r="K222" s="31">
        <f>1316</f>
        <v>1316</v>
      </c>
      <c r="L222" s="32" t="s">
        <v>995</v>
      </c>
      <c r="M222" s="31">
        <f>1443</f>
        <v>1443</v>
      </c>
      <c r="N222" s="32" t="s">
        <v>255</v>
      </c>
      <c r="O222" s="31">
        <f>1275</f>
        <v>1275</v>
      </c>
      <c r="P222" s="32" t="s">
        <v>1000</v>
      </c>
      <c r="Q222" s="31">
        <f>1427</f>
        <v>1427</v>
      </c>
      <c r="R222" s="32" t="s">
        <v>1017</v>
      </c>
      <c r="S222" s="33">
        <f>1368.62</f>
        <v>1368.62</v>
      </c>
      <c r="T222" s="30">
        <f>5387016</f>
        <v>5387016</v>
      </c>
      <c r="U222" s="30">
        <f>2975185</f>
        <v>2975185</v>
      </c>
      <c r="V222" s="30">
        <f>7410070342</f>
        <v>7410070342</v>
      </c>
      <c r="W222" s="30">
        <f>4093544706</f>
        <v>4093544706</v>
      </c>
      <c r="X222" s="34">
        <f>21</f>
        <v>21</v>
      </c>
    </row>
    <row r="223" spans="1:24" x14ac:dyDescent="0.15">
      <c r="A223" s="25" t="s">
        <v>1237</v>
      </c>
      <c r="B223" s="25" t="s">
        <v>1075</v>
      </c>
      <c r="C223" s="25" t="s">
        <v>1076</v>
      </c>
      <c r="D223" s="25" t="s">
        <v>1077</v>
      </c>
      <c r="E223" s="26" t="s">
        <v>45</v>
      </c>
      <c r="F223" s="27" t="s">
        <v>45</v>
      </c>
      <c r="G223" s="28" t="s">
        <v>45</v>
      </c>
      <c r="H223" s="29"/>
      <c r="I223" s="29" t="s">
        <v>46</v>
      </c>
      <c r="J223" s="30">
        <v>1</v>
      </c>
      <c r="K223" s="31">
        <f>1542</f>
        <v>1542</v>
      </c>
      <c r="L223" s="32" t="s">
        <v>995</v>
      </c>
      <c r="M223" s="31">
        <f>1596</f>
        <v>1596</v>
      </c>
      <c r="N223" s="32" t="s">
        <v>80</v>
      </c>
      <c r="O223" s="31">
        <f>1482</f>
        <v>1482</v>
      </c>
      <c r="P223" s="32" t="s">
        <v>1000</v>
      </c>
      <c r="Q223" s="31">
        <f>1568</f>
        <v>1568</v>
      </c>
      <c r="R223" s="32" t="s">
        <v>1017</v>
      </c>
      <c r="S223" s="33">
        <f>1546.29</f>
        <v>1546.29</v>
      </c>
      <c r="T223" s="30">
        <f>2387324</f>
        <v>2387324</v>
      </c>
      <c r="U223" s="30">
        <f>11</f>
        <v>11</v>
      </c>
      <c r="V223" s="30">
        <f>3710451856</f>
        <v>3710451856</v>
      </c>
      <c r="W223" s="30">
        <f>15367</f>
        <v>15367</v>
      </c>
      <c r="X223" s="34">
        <f>21</f>
        <v>21</v>
      </c>
    </row>
    <row r="224" spans="1:24" x14ac:dyDescent="0.15">
      <c r="A224" s="25" t="s">
        <v>1237</v>
      </c>
      <c r="B224" s="25" t="s">
        <v>1078</v>
      </c>
      <c r="C224" s="25" t="s">
        <v>1079</v>
      </c>
      <c r="D224" s="25" t="s">
        <v>1080</v>
      </c>
      <c r="E224" s="26" t="s">
        <v>45</v>
      </c>
      <c r="F224" s="27" t="s">
        <v>45</v>
      </c>
      <c r="G224" s="28" t="s">
        <v>45</v>
      </c>
      <c r="H224" s="29"/>
      <c r="I224" s="29" t="s">
        <v>46</v>
      </c>
      <c r="J224" s="30">
        <v>10</v>
      </c>
      <c r="K224" s="31">
        <f>791</f>
        <v>791</v>
      </c>
      <c r="L224" s="32" t="s">
        <v>995</v>
      </c>
      <c r="M224" s="31">
        <f>901.8</f>
        <v>901.8</v>
      </c>
      <c r="N224" s="32" t="s">
        <v>789</v>
      </c>
      <c r="O224" s="31">
        <f>791</f>
        <v>791</v>
      </c>
      <c r="P224" s="32" t="s">
        <v>995</v>
      </c>
      <c r="Q224" s="31">
        <f>815.5</f>
        <v>815.5</v>
      </c>
      <c r="R224" s="32" t="s">
        <v>1017</v>
      </c>
      <c r="S224" s="33">
        <f>806.41</f>
        <v>806.41</v>
      </c>
      <c r="T224" s="30">
        <f>8010</f>
        <v>8010</v>
      </c>
      <c r="U224" s="30" t="str">
        <f>"－"</f>
        <v>－</v>
      </c>
      <c r="V224" s="30">
        <f>6520610</f>
        <v>6520610</v>
      </c>
      <c r="W224" s="30" t="str">
        <f>"－"</f>
        <v>－</v>
      </c>
      <c r="X224" s="34">
        <f>17</f>
        <v>17</v>
      </c>
    </row>
    <row r="225" spans="1:24" x14ac:dyDescent="0.15">
      <c r="A225" s="25" t="s">
        <v>1237</v>
      </c>
      <c r="B225" s="25" t="s">
        <v>1082</v>
      </c>
      <c r="C225" s="25" t="s">
        <v>1083</v>
      </c>
      <c r="D225" s="25" t="s">
        <v>1084</v>
      </c>
      <c r="E225" s="26" t="s">
        <v>45</v>
      </c>
      <c r="F225" s="27" t="s">
        <v>45</v>
      </c>
      <c r="G225" s="28" t="s">
        <v>45</v>
      </c>
      <c r="H225" s="29"/>
      <c r="I225" s="29" t="s">
        <v>46</v>
      </c>
      <c r="J225" s="30">
        <v>10</v>
      </c>
      <c r="K225" s="31">
        <f>814.6</f>
        <v>814.6</v>
      </c>
      <c r="L225" s="32" t="s">
        <v>995</v>
      </c>
      <c r="M225" s="31">
        <f>908.2</f>
        <v>908.2</v>
      </c>
      <c r="N225" s="32" t="s">
        <v>789</v>
      </c>
      <c r="O225" s="31">
        <f>796.4</f>
        <v>796.4</v>
      </c>
      <c r="P225" s="32" t="s">
        <v>785</v>
      </c>
      <c r="Q225" s="31">
        <f>822.1</f>
        <v>822.1</v>
      </c>
      <c r="R225" s="32" t="s">
        <v>997</v>
      </c>
      <c r="S225" s="33">
        <f>816.24</f>
        <v>816.24</v>
      </c>
      <c r="T225" s="30">
        <f>2920</f>
        <v>2920</v>
      </c>
      <c r="U225" s="30" t="str">
        <f>"－"</f>
        <v>－</v>
      </c>
      <c r="V225" s="30">
        <f>2394220</f>
        <v>2394220</v>
      </c>
      <c r="W225" s="30" t="str">
        <f>"－"</f>
        <v>－</v>
      </c>
      <c r="X225" s="34">
        <f>16</f>
        <v>16</v>
      </c>
    </row>
    <row r="226" spans="1:24" x14ac:dyDescent="0.15">
      <c r="A226" s="25" t="s">
        <v>1237</v>
      </c>
      <c r="B226" s="25" t="s">
        <v>1092</v>
      </c>
      <c r="C226" s="25" t="s">
        <v>1093</v>
      </c>
      <c r="D226" s="25" t="s">
        <v>1094</v>
      </c>
      <c r="E226" s="26" t="s">
        <v>45</v>
      </c>
      <c r="F226" s="27" t="s">
        <v>45</v>
      </c>
      <c r="G226" s="28" t="s">
        <v>45</v>
      </c>
      <c r="H226" s="29"/>
      <c r="I226" s="29" t="s">
        <v>46</v>
      </c>
      <c r="J226" s="30">
        <v>1</v>
      </c>
      <c r="K226" s="31">
        <f>12655</f>
        <v>12655</v>
      </c>
      <c r="L226" s="32" t="s">
        <v>995</v>
      </c>
      <c r="M226" s="31">
        <f>12895</f>
        <v>12895</v>
      </c>
      <c r="N226" s="32" t="s">
        <v>80</v>
      </c>
      <c r="O226" s="31">
        <f>12270</f>
        <v>12270</v>
      </c>
      <c r="P226" s="32" t="s">
        <v>1000</v>
      </c>
      <c r="Q226" s="31">
        <f>12695</f>
        <v>12695</v>
      </c>
      <c r="R226" s="32" t="s">
        <v>1017</v>
      </c>
      <c r="S226" s="33">
        <f>12633.1</f>
        <v>12633.1</v>
      </c>
      <c r="T226" s="30">
        <f>446739</f>
        <v>446739</v>
      </c>
      <c r="U226" s="30">
        <f>20</f>
        <v>20</v>
      </c>
      <c r="V226" s="30">
        <f>5620273675</f>
        <v>5620273675</v>
      </c>
      <c r="W226" s="30">
        <f>254000</f>
        <v>254000</v>
      </c>
      <c r="X226" s="34">
        <f>21</f>
        <v>21</v>
      </c>
    </row>
    <row r="227" spans="1:24" x14ac:dyDescent="0.15">
      <c r="A227" s="25" t="s">
        <v>1237</v>
      </c>
      <c r="B227" s="25" t="s">
        <v>1096</v>
      </c>
      <c r="C227" s="25" t="s">
        <v>1097</v>
      </c>
      <c r="D227" s="25" t="s">
        <v>1098</v>
      </c>
      <c r="E227" s="26" t="s">
        <v>45</v>
      </c>
      <c r="F227" s="27" t="s">
        <v>45</v>
      </c>
      <c r="G227" s="28" t="s">
        <v>45</v>
      </c>
      <c r="H227" s="29"/>
      <c r="I227" s="29" t="s">
        <v>46</v>
      </c>
      <c r="J227" s="30">
        <v>1</v>
      </c>
      <c r="K227" s="31">
        <f>37010</f>
        <v>37010</v>
      </c>
      <c r="L227" s="32" t="s">
        <v>995</v>
      </c>
      <c r="M227" s="31">
        <f>38680</f>
        <v>38680</v>
      </c>
      <c r="N227" s="32" t="s">
        <v>997</v>
      </c>
      <c r="O227" s="31">
        <f>36870</f>
        <v>36870</v>
      </c>
      <c r="P227" s="32" t="s">
        <v>1003</v>
      </c>
      <c r="Q227" s="31">
        <f>38630</f>
        <v>38630</v>
      </c>
      <c r="R227" s="32" t="s">
        <v>1017</v>
      </c>
      <c r="S227" s="33">
        <f>37858.57</f>
        <v>37858.57</v>
      </c>
      <c r="T227" s="30">
        <f>120021</f>
        <v>120021</v>
      </c>
      <c r="U227" s="30">
        <f>66196</f>
        <v>66196</v>
      </c>
      <c r="V227" s="30">
        <f>4571487842</f>
        <v>4571487842</v>
      </c>
      <c r="W227" s="30">
        <f>2525689692</f>
        <v>2525689692</v>
      </c>
      <c r="X227" s="34">
        <f>21</f>
        <v>21</v>
      </c>
    </row>
    <row r="228" spans="1:24" x14ac:dyDescent="0.15">
      <c r="A228" s="25" t="s">
        <v>1237</v>
      </c>
      <c r="B228" s="25" t="s">
        <v>1099</v>
      </c>
      <c r="C228" s="25" t="s">
        <v>1100</v>
      </c>
      <c r="D228" s="25" t="s">
        <v>1101</v>
      </c>
      <c r="E228" s="26" t="s">
        <v>45</v>
      </c>
      <c r="F228" s="27" t="s">
        <v>45</v>
      </c>
      <c r="G228" s="28" t="s">
        <v>45</v>
      </c>
      <c r="H228" s="29"/>
      <c r="I228" s="29" t="s">
        <v>46</v>
      </c>
      <c r="J228" s="30">
        <v>1</v>
      </c>
      <c r="K228" s="31">
        <f>27405</f>
        <v>27405</v>
      </c>
      <c r="L228" s="32" t="s">
        <v>995</v>
      </c>
      <c r="M228" s="31">
        <f>27630</f>
        <v>27630</v>
      </c>
      <c r="N228" s="32" t="s">
        <v>1003</v>
      </c>
      <c r="O228" s="31">
        <f>24915</f>
        <v>24915</v>
      </c>
      <c r="P228" s="32" t="s">
        <v>997</v>
      </c>
      <c r="Q228" s="31">
        <f>24980</f>
        <v>24980</v>
      </c>
      <c r="R228" s="32" t="s">
        <v>1017</v>
      </c>
      <c r="S228" s="33">
        <f>26123.81</f>
        <v>26123.81</v>
      </c>
      <c r="T228" s="30">
        <f>21235</f>
        <v>21235</v>
      </c>
      <c r="U228" s="30" t="str">
        <f>"－"</f>
        <v>－</v>
      </c>
      <c r="V228" s="30">
        <f>554930750</f>
        <v>554930750</v>
      </c>
      <c r="W228" s="30" t="str">
        <f>"－"</f>
        <v>－</v>
      </c>
      <c r="X228" s="34">
        <f>21</f>
        <v>21</v>
      </c>
    </row>
    <row r="229" spans="1:24" x14ac:dyDescent="0.15">
      <c r="A229" s="25" t="s">
        <v>1237</v>
      </c>
      <c r="B229" s="25" t="s">
        <v>1104</v>
      </c>
      <c r="C229" s="25" t="s">
        <v>1105</v>
      </c>
      <c r="D229" s="25" t="s">
        <v>1106</v>
      </c>
      <c r="E229" s="26" t="s">
        <v>45</v>
      </c>
      <c r="F229" s="27" t="s">
        <v>45</v>
      </c>
      <c r="G229" s="28" t="s">
        <v>45</v>
      </c>
      <c r="H229" s="29"/>
      <c r="I229" s="29" t="s">
        <v>46</v>
      </c>
      <c r="J229" s="30">
        <v>10</v>
      </c>
      <c r="K229" s="31">
        <f>210.4</f>
        <v>210.4</v>
      </c>
      <c r="L229" s="32" t="s">
        <v>995</v>
      </c>
      <c r="M229" s="31">
        <f>215.3</f>
        <v>215.3</v>
      </c>
      <c r="N229" s="32" t="s">
        <v>794</v>
      </c>
      <c r="O229" s="31">
        <f>200.2</f>
        <v>200.2</v>
      </c>
      <c r="P229" s="32" t="s">
        <v>998</v>
      </c>
      <c r="Q229" s="31">
        <f>209.3</f>
        <v>209.3</v>
      </c>
      <c r="R229" s="32" t="s">
        <v>1017</v>
      </c>
      <c r="S229" s="33">
        <f>207.93</f>
        <v>207.93</v>
      </c>
      <c r="T229" s="30">
        <f>60120</f>
        <v>60120</v>
      </c>
      <c r="U229" s="30" t="str">
        <f>"－"</f>
        <v>－</v>
      </c>
      <c r="V229" s="30">
        <f>12511455</f>
        <v>12511455</v>
      </c>
      <c r="W229" s="30" t="str">
        <f>"－"</f>
        <v>－</v>
      </c>
      <c r="X229" s="34">
        <f>21</f>
        <v>21</v>
      </c>
    </row>
    <row r="230" spans="1:24" x14ac:dyDescent="0.15">
      <c r="A230" s="25" t="s">
        <v>1237</v>
      </c>
      <c r="B230" s="25" t="s">
        <v>1108</v>
      </c>
      <c r="C230" s="25" t="s">
        <v>1109</v>
      </c>
      <c r="D230" s="25" t="s">
        <v>1110</v>
      </c>
      <c r="E230" s="26" t="s">
        <v>45</v>
      </c>
      <c r="F230" s="27" t="s">
        <v>45</v>
      </c>
      <c r="G230" s="28" t="s">
        <v>45</v>
      </c>
      <c r="H230" s="29"/>
      <c r="I230" s="29" t="s">
        <v>46</v>
      </c>
      <c r="J230" s="30">
        <v>10</v>
      </c>
      <c r="K230" s="31">
        <f>762.6</f>
        <v>762.6</v>
      </c>
      <c r="L230" s="32" t="s">
        <v>995</v>
      </c>
      <c r="M230" s="31">
        <f>771.5</f>
        <v>771.5</v>
      </c>
      <c r="N230" s="32" t="s">
        <v>1000</v>
      </c>
      <c r="O230" s="31">
        <f>745.8</f>
        <v>745.8</v>
      </c>
      <c r="P230" s="32" t="s">
        <v>80</v>
      </c>
      <c r="Q230" s="31">
        <f>749.5</f>
        <v>749.5</v>
      </c>
      <c r="R230" s="32" t="s">
        <v>1017</v>
      </c>
      <c r="S230" s="33">
        <f>756.52</f>
        <v>756.52</v>
      </c>
      <c r="T230" s="30">
        <f>7897940</f>
        <v>7897940</v>
      </c>
      <c r="U230" s="30">
        <f>7076650</f>
        <v>7076650</v>
      </c>
      <c r="V230" s="30">
        <f>5925061853</f>
        <v>5925061853</v>
      </c>
      <c r="W230" s="30">
        <f>5302882036</f>
        <v>5302882036</v>
      </c>
      <c r="X230" s="34">
        <f>21</f>
        <v>21</v>
      </c>
    </row>
    <row r="231" spans="1:24" x14ac:dyDescent="0.15">
      <c r="A231" s="25" t="s">
        <v>1237</v>
      </c>
      <c r="B231" s="25" t="s">
        <v>1129</v>
      </c>
      <c r="C231" s="25" t="s">
        <v>1130</v>
      </c>
      <c r="D231" s="25" t="s">
        <v>1131</v>
      </c>
      <c r="E231" s="26" t="s">
        <v>45</v>
      </c>
      <c r="F231" s="27" t="s">
        <v>45</v>
      </c>
      <c r="G231" s="28" t="s">
        <v>45</v>
      </c>
      <c r="H231" s="29"/>
      <c r="I231" s="29" t="s">
        <v>46</v>
      </c>
      <c r="J231" s="30">
        <v>1</v>
      </c>
      <c r="K231" s="31">
        <f>993</f>
        <v>993</v>
      </c>
      <c r="L231" s="32" t="s">
        <v>995</v>
      </c>
      <c r="M231" s="31">
        <f>1057</f>
        <v>1057</v>
      </c>
      <c r="N231" s="32" t="s">
        <v>80</v>
      </c>
      <c r="O231" s="31">
        <f>977</f>
        <v>977</v>
      </c>
      <c r="P231" s="32" t="s">
        <v>1000</v>
      </c>
      <c r="Q231" s="31">
        <f>1047</f>
        <v>1047</v>
      </c>
      <c r="R231" s="32" t="s">
        <v>1017</v>
      </c>
      <c r="S231" s="33">
        <f>1025</f>
        <v>1025</v>
      </c>
      <c r="T231" s="30">
        <f>455970</f>
        <v>455970</v>
      </c>
      <c r="U231" s="30" t="str">
        <f>"－"</f>
        <v>－</v>
      </c>
      <c r="V231" s="30">
        <f>472065778</f>
        <v>472065778</v>
      </c>
      <c r="W231" s="30" t="str">
        <f>"－"</f>
        <v>－</v>
      </c>
      <c r="X231" s="34">
        <f>21</f>
        <v>21</v>
      </c>
    </row>
    <row r="232" spans="1:24" x14ac:dyDescent="0.15">
      <c r="A232" s="25" t="s">
        <v>1237</v>
      </c>
      <c r="B232" s="25" t="s">
        <v>1133</v>
      </c>
      <c r="C232" s="25" t="s">
        <v>1134</v>
      </c>
      <c r="D232" s="25" t="s">
        <v>1135</v>
      </c>
      <c r="E232" s="26" t="s">
        <v>45</v>
      </c>
      <c r="F232" s="27" t="s">
        <v>45</v>
      </c>
      <c r="G232" s="28" t="s">
        <v>45</v>
      </c>
      <c r="H232" s="29"/>
      <c r="I232" s="29" t="s">
        <v>46</v>
      </c>
      <c r="J232" s="30">
        <v>1</v>
      </c>
      <c r="K232" s="31">
        <f>1034</f>
        <v>1034</v>
      </c>
      <c r="L232" s="32" t="s">
        <v>995</v>
      </c>
      <c r="M232" s="31">
        <f>1062</f>
        <v>1062</v>
      </c>
      <c r="N232" s="32" t="s">
        <v>255</v>
      </c>
      <c r="O232" s="31">
        <f>1008</f>
        <v>1008</v>
      </c>
      <c r="P232" s="32" t="s">
        <v>1000</v>
      </c>
      <c r="Q232" s="31">
        <f>1052</f>
        <v>1052</v>
      </c>
      <c r="R232" s="32" t="s">
        <v>1017</v>
      </c>
      <c r="S232" s="33">
        <f>1043.95</f>
        <v>1043.95</v>
      </c>
      <c r="T232" s="30">
        <f>91926</f>
        <v>91926</v>
      </c>
      <c r="U232" s="30" t="str">
        <f>"－"</f>
        <v>－</v>
      </c>
      <c r="V232" s="30">
        <f>95671752</f>
        <v>95671752</v>
      </c>
      <c r="W232" s="30" t="str">
        <f>"－"</f>
        <v>－</v>
      </c>
      <c r="X232" s="34">
        <f>21</f>
        <v>21</v>
      </c>
    </row>
    <row r="233" spans="1:24" x14ac:dyDescent="0.15">
      <c r="A233" s="25" t="s">
        <v>1237</v>
      </c>
      <c r="B233" s="25" t="s">
        <v>1136</v>
      </c>
      <c r="C233" s="25" t="s">
        <v>1137</v>
      </c>
      <c r="D233" s="25" t="s">
        <v>1138</v>
      </c>
      <c r="E233" s="26" t="s">
        <v>45</v>
      </c>
      <c r="F233" s="27" t="s">
        <v>45</v>
      </c>
      <c r="G233" s="28" t="s">
        <v>45</v>
      </c>
      <c r="H233" s="29"/>
      <c r="I233" s="29" t="s">
        <v>46</v>
      </c>
      <c r="J233" s="30">
        <v>1</v>
      </c>
      <c r="K233" s="31">
        <f>820</f>
        <v>820</v>
      </c>
      <c r="L233" s="32" t="s">
        <v>995</v>
      </c>
      <c r="M233" s="31">
        <f>820</f>
        <v>820</v>
      </c>
      <c r="N233" s="32" t="s">
        <v>995</v>
      </c>
      <c r="O233" s="31">
        <f>721</f>
        <v>721</v>
      </c>
      <c r="P233" s="32" t="s">
        <v>998</v>
      </c>
      <c r="Q233" s="31">
        <f>781</f>
        <v>781</v>
      </c>
      <c r="R233" s="32" t="s">
        <v>1017</v>
      </c>
      <c r="S233" s="33">
        <f>765.05</f>
        <v>765.05</v>
      </c>
      <c r="T233" s="30">
        <f>565690</f>
        <v>565690</v>
      </c>
      <c r="U233" s="30" t="str">
        <f>"－"</f>
        <v>－</v>
      </c>
      <c r="V233" s="30">
        <f>426413814</f>
        <v>426413814</v>
      </c>
      <c r="W233" s="30" t="str">
        <f>"－"</f>
        <v>－</v>
      </c>
      <c r="X233" s="34">
        <f>21</f>
        <v>21</v>
      </c>
    </row>
    <row r="234" spans="1:24" x14ac:dyDescent="0.15">
      <c r="A234" s="25" t="s">
        <v>1237</v>
      </c>
      <c r="B234" s="25" t="s">
        <v>1219</v>
      </c>
      <c r="C234" s="25" t="s">
        <v>1220</v>
      </c>
      <c r="D234" s="25" t="s">
        <v>1221</v>
      </c>
      <c r="E234" s="26" t="s">
        <v>45</v>
      </c>
      <c r="F234" s="27" t="s">
        <v>45</v>
      </c>
      <c r="G234" s="28" t="s">
        <v>45</v>
      </c>
      <c r="H234" s="29"/>
      <c r="I234" s="29" t="s">
        <v>46</v>
      </c>
      <c r="J234" s="30">
        <v>10</v>
      </c>
      <c r="K234" s="31">
        <f>204.3</f>
        <v>204.3</v>
      </c>
      <c r="L234" s="32" t="s">
        <v>995</v>
      </c>
      <c r="M234" s="31">
        <f>214.8</f>
        <v>214.8</v>
      </c>
      <c r="N234" s="32" t="s">
        <v>80</v>
      </c>
      <c r="O234" s="31">
        <f>201.7</f>
        <v>201.7</v>
      </c>
      <c r="P234" s="32" t="s">
        <v>995</v>
      </c>
      <c r="Q234" s="31">
        <f>211.3</f>
        <v>211.3</v>
      </c>
      <c r="R234" s="32" t="s">
        <v>1017</v>
      </c>
      <c r="S234" s="33">
        <f>208.9</f>
        <v>208.9</v>
      </c>
      <c r="T234" s="30">
        <f>15162770</f>
        <v>15162770</v>
      </c>
      <c r="U234" s="30">
        <f>4730</f>
        <v>4730</v>
      </c>
      <c r="V234" s="30">
        <f>3130849206</f>
        <v>3130849206</v>
      </c>
      <c r="W234" s="30">
        <f>999922</f>
        <v>999922</v>
      </c>
      <c r="X234" s="34">
        <f>21</f>
        <v>21</v>
      </c>
    </row>
    <row r="235" spans="1:24" x14ac:dyDescent="0.15">
      <c r="A235" s="25" t="s">
        <v>1237</v>
      </c>
      <c r="B235" s="25" t="s">
        <v>1223</v>
      </c>
      <c r="C235" s="25" t="s">
        <v>1224</v>
      </c>
      <c r="D235" s="25" t="s">
        <v>1225</v>
      </c>
      <c r="E235" s="26" t="s">
        <v>45</v>
      </c>
      <c r="F235" s="27" t="s">
        <v>45</v>
      </c>
      <c r="G235" s="28" t="s">
        <v>45</v>
      </c>
      <c r="H235" s="29"/>
      <c r="I235" s="29" t="s">
        <v>46</v>
      </c>
      <c r="J235" s="30">
        <v>10</v>
      </c>
      <c r="K235" s="31">
        <f>203.2</f>
        <v>203.2</v>
      </c>
      <c r="L235" s="32" t="s">
        <v>995</v>
      </c>
      <c r="M235" s="31">
        <f>208</f>
        <v>208</v>
      </c>
      <c r="N235" s="32" t="s">
        <v>785</v>
      </c>
      <c r="O235" s="31">
        <f>195.6</f>
        <v>195.6</v>
      </c>
      <c r="P235" s="32" t="s">
        <v>1000</v>
      </c>
      <c r="Q235" s="31">
        <f>198.8</f>
        <v>198.8</v>
      </c>
      <c r="R235" s="32" t="s">
        <v>1017</v>
      </c>
      <c r="S235" s="33">
        <f>199.39</f>
        <v>199.39</v>
      </c>
      <c r="T235" s="30">
        <f>1050380</f>
        <v>1050380</v>
      </c>
      <c r="U235" s="30">
        <f>500</f>
        <v>500</v>
      </c>
      <c r="V235" s="30">
        <f>209418111</f>
        <v>209418111</v>
      </c>
      <c r="W235" s="30">
        <f>99400</f>
        <v>99400</v>
      </c>
      <c r="X235" s="34">
        <f>21</f>
        <v>21</v>
      </c>
    </row>
    <row r="236" spans="1:24" x14ac:dyDescent="0.15">
      <c r="A236" s="25" t="s">
        <v>1237</v>
      </c>
      <c r="B236" s="25" t="s">
        <v>1226</v>
      </c>
      <c r="C236" s="25" t="s">
        <v>1227</v>
      </c>
      <c r="D236" s="25" t="s">
        <v>1228</v>
      </c>
      <c r="E236" s="26" t="s">
        <v>45</v>
      </c>
      <c r="F236" s="27" t="s">
        <v>45</v>
      </c>
      <c r="G236" s="28" t="s">
        <v>45</v>
      </c>
      <c r="H236" s="29"/>
      <c r="I236" s="29" t="s">
        <v>46</v>
      </c>
      <c r="J236" s="30">
        <v>10</v>
      </c>
      <c r="K236" s="31">
        <f>203</f>
        <v>203</v>
      </c>
      <c r="L236" s="32" t="s">
        <v>995</v>
      </c>
      <c r="M236" s="31">
        <f>219.1</f>
        <v>219.1</v>
      </c>
      <c r="N236" s="32" t="s">
        <v>794</v>
      </c>
      <c r="O236" s="31">
        <f>196.1</f>
        <v>196.1</v>
      </c>
      <c r="P236" s="32" t="s">
        <v>1000</v>
      </c>
      <c r="Q236" s="31">
        <f>199.7</f>
        <v>199.7</v>
      </c>
      <c r="R236" s="32" t="s">
        <v>1017</v>
      </c>
      <c r="S236" s="33">
        <f>200.04</f>
        <v>200.04</v>
      </c>
      <c r="T236" s="30">
        <f>549660</f>
        <v>549660</v>
      </c>
      <c r="U236" s="30">
        <f>2590</f>
        <v>2590</v>
      </c>
      <c r="V236" s="30">
        <f>109925590</f>
        <v>109925590</v>
      </c>
      <c r="W236" s="30">
        <f>482356</f>
        <v>482356</v>
      </c>
      <c r="X236" s="34">
        <f>21</f>
        <v>21</v>
      </c>
    </row>
    <row r="237" spans="1:24" x14ac:dyDescent="0.15">
      <c r="A237" s="25" t="s">
        <v>1237</v>
      </c>
      <c r="B237" s="25" t="s">
        <v>1229</v>
      </c>
      <c r="C237" s="25" t="s">
        <v>1230</v>
      </c>
      <c r="D237" s="25" t="s">
        <v>1231</v>
      </c>
      <c r="E237" s="26" t="s">
        <v>45</v>
      </c>
      <c r="F237" s="27" t="s">
        <v>45</v>
      </c>
      <c r="G237" s="28" t="s">
        <v>45</v>
      </c>
      <c r="H237" s="29"/>
      <c r="I237" s="29" t="s">
        <v>46</v>
      </c>
      <c r="J237" s="30">
        <v>10</v>
      </c>
      <c r="K237" s="31">
        <f>199.5</f>
        <v>199.5</v>
      </c>
      <c r="L237" s="32" t="s">
        <v>995</v>
      </c>
      <c r="M237" s="31">
        <f>222</f>
        <v>222</v>
      </c>
      <c r="N237" s="32" t="s">
        <v>789</v>
      </c>
      <c r="O237" s="31">
        <f>194.3</f>
        <v>194.3</v>
      </c>
      <c r="P237" s="32" t="s">
        <v>1000</v>
      </c>
      <c r="Q237" s="31">
        <f>197.8</f>
        <v>197.8</v>
      </c>
      <c r="R237" s="32" t="s">
        <v>1017</v>
      </c>
      <c r="S237" s="33">
        <f>198.5</f>
        <v>198.5</v>
      </c>
      <c r="T237" s="30">
        <f>1430610</f>
        <v>1430610</v>
      </c>
      <c r="U237" s="30">
        <f>3250</f>
        <v>3250</v>
      </c>
      <c r="V237" s="30">
        <f>283991265</f>
        <v>283991265</v>
      </c>
      <c r="W237" s="30">
        <f>599927</f>
        <v>599927</v>
      </c>
      <c r="X237" s="34">
        <f>21</f>
        <v>21</v>
      </c>
    </row>
    <row r="238" spans="1:24" x14ac:dyDescent="0.15">
      <c r="A238" s="25" t="s">
        <v>1237</v>
      </c>
      <c r="B238" s="25" t="s">
        <v>1232</v>
      </c>
      <c r="C238" s="25" t="s">
        <v>1233</v>
      </c>
      <c r="D238" s="25" t="s">
        <v>1234</v>
      </c>
      <c r="E238" s="26" t="s">
        <v>45</v>
      </c>
      <c r="F238" s="27" t="s">
        <v>45</v>
      </c>
      <c r="G238" s="28" t="s">
        <v>45</v>
      </c>
      <c r="H238" s="29"/>
      <c r="I238" s="29" t="s">
        <v>46</v>
      </c>
      <c r="J238" s="30">
        <v>10</v>
      </c>
      <c r="K238" s="31">
        <f>201.6</f>
        <v>201.6</v>
      </c>
      <c r="L238" s="32" t="s">
        <v>995</v>
      </c>
      <c r="M238" s="31">
        <f>221.6</f>
        <v>221.6</v>
      </c>
      <c r="N238" s="32" t="s">
        <v>1000</v>
      </c>
      <c r="O238" s="31">
        <f>201.6</f>
        <v>201.6</v>
      </c>
      <c r="P238" s="32" t="s">
        <v>995</v>
      </c>
      <c r="Q238" s="31">
        <f>211</f>
        <v>211</v>
      </c>
      <c r="R238" s="32" t="s">
        <v>1017</v>
      </c>
      <c r="S238" s="33">
        <f>208.22</f>
        <v>208.22</v>
      </c>
      <c r="T238" s="30">
        <f>1308760</f>
        <v>1308760</v>
      </c>
      <c r="U238" s="30">
        <f>1200000</f>
        <v>1200000</v>
      </c>
      <c r="V238" s="30">
        <f>274611462</f>
        <v>274611462</v>
      </c>
      <c r="W238" s="30">
        <f>252162990</f>
        <v>252162990</v>
      </c>
      <c r="X238" s="34">
        <f>21</f>
        <v>21</v>
      </c>
    </row>
    <row r="239" spans="1:24" x14ac:dyDescent="0.15">
      <c r="A239" s="25" t="s">
        <v>1237</v>
      </c>
      <c r="B239" s="25" t="s">
        <v>643</v>
      </c>
      <c r="C239" s="25" t="s">
        <v>644</v>
      </c>
      <c r="D239" s="25" t="s">
        <v>645</v>
      </c>
      <c r="E239" s="26" t="s">
        <v>45</v>
      </c>
      <c r="F239" s="27" t="s">
        <v>45</v>
      </c>
      <c r="G239" s="28" t="s">
        <v>45</v>
      </c>
      <c r="H239" s="29"/>
      <c r="I239" s="29" t="s">
        <v>46</v>
      </c>
      <c r="J239" s="30">
        <v>10</v>
      </c>
      <c r="K239" s="31">
        <f>928.9</f>
        <v>928.9</v>
      </c>
      <c r="L239" s="32" t="s">
        <v>995</v>
      </c>
      <c r="M239" s="31">
        <f>941</f>
        <v>941</v>
      </c>
      <c r="N239" s="32" t="s">
        <v>998</v>
      </c>
      <c r="O239" s="31">
        <f>920.3</f>
        <v>920.3</v>
      </c>
      <c r="P239" s="32" t="s">
        <v>794</v>
      </c>
      <c r="Q239" s="31">
        <f>933</f>
        <v>933</v>
      </c>
      <c r="R239" s="32" t="s">
        <v>1017</v>
      </c>
      <c r="S239" s="33">
        <f>931.34</f>
        <v>931.34</v>
      </c>
      <c r="T239" s="30">
        <f>4251310</f>
        <v>4251310</v>
      </c>
      <c r="U239" s="30">
        <f>3128650</f>
        <v>3128650</v>
      </c>
      <c r="V239" s="30">
        <f>3964919352</f>
        <v>3964919352</v>
      </c>
      <c r="W239" s="30">
        <f>2919315562</f>
        <v>2919315562</v>
      </c>
      <c r="X239" s="34">
        <f>21</f>
        <v>21</v>
      </c>
    </row>
    <row r="240" spans="1:24" x14ac:dyDescent="0.15">
      <c r="A240" s="25" t="s">
        <v>1237</v>
      </c>
      <c r="B240" s="25" t="s">
        <v>646</v>
      </c>
      <c r="C240" s="25" t="s">
        <v>647</v>
      </c>
      <c r="D240" s="25" t="s">
        <v>648</v>
      </c>
      <c r="E240" s="26" t="s">
        <v>45</v>
      </c>
      <c r="F240" s="27" t="s">
        <v>45</v>
      </c>
      <c r="G240" s="28" t="s">
        <v>45</v>
      </c>
      <c r="H240" s="29"/>
      <c r="I240" s="29" t="s">
        <v>46</v>
      </c>
      <c r="J240" s="30">
        <v>10</v>
      </c>
      <c r="K240" s="31">
        <f>1051.5</f>
        <v>1051.5</v>
      </c>
      <c r="L240" s="32" t="s">
        <v>995</v>
      </c>
      <c r="M240" s="31">
        <f>1058.5</f>
        <v>1058.5</v>
      </c>
      <c r="N240" s="32" t="s">
        <v>80</v>
      </c>
      <c r="O240" s="31">
        <f>1005</f>
        <v>1005</v>
      </c>
      <c r="P240" s="32" t="s">
        <v>1000</v>
      </c>
      <c r="Q240" s="31">
        <f>1048</f>
        <v>1048</v>
      </c>
      <c r="R240" s="32" t="s">
        <v>1017</v>
      </c>
      <c r="S240" s="33">
        <f>1047.43</f>
        <v>1047.43</v>
      </c>
      <c r="T240" s="30">
        <f>5464460</f>
        <v>5464460</v>
      </c>
      <c r="U240" s="30">
        <f>4223220</f>
        <v>4223220</v>
      </c>
      <c r="V240" s="30">
        <f>5747045319</f>
        <v>5747045319</v>
      </c>
      <c r="W240" s="30">
        <f>4446533784</f>
        <v>4446533784</v>
      </c>
      <c r="X240" s="34">
        <f>21</f>
        <v>21</v>
      </c>
    </row>
    <row r="241" spans="1:24" x14ac:dyDescent="0.15">
      <c r="A241" s="25" t="s">
        <v>1237</v>
      </c>
      <c r="B241" s="25" t="s">
        <v>649</v>
      </c>
      <c r="C241" s="25" t="s">
        <v>650</v>
      </c>
      <c r="D241" s="25" t="s">
        <v>651</v>
      </c>
      <c r="E241" s="26" t="s">
        <v>45</v>
      </c>
      <c r="F241" s="27" t="s">
        <v>45</v>
      </c>
      <c r="G241" s="28" t="s">
        <v>45</v>
      </c>
      <c r="H241" s="29"/>
      <c r="I241" s="29" t="s">
        <v>46</v>
      </c>
      <c r="J241" s="30">
        <v>10</v>
      </c>
      <c r="K241" s="31">
        <f>796</f>
        <v>796</v>
      </c>
      <c r="L241" s="32" t="s">
        <v>995</v>
      </c>
      <c r="M241" s="31">
        <f>842.5</f>
        <v>842.5</v>
      </c>
      <c r="N241" s="32" t="s">
        <v>789</v>
      </c>
      <c r="O241" s="31">
        <f>791</f>
        <v>791</v>
      </c>
      <c r="P241" s="32" t="s">
        <v>995</v>
      </c>
      <c r="Q241" s="31">
        <f>814.6</f>
        <v>814.6</v>
      </c>
      <c r="R241" s="32" t="s">
        <v>1017</v>
      </c>
      <c r="S241" s="33">
        <f>807.1</f>
        <v>807.1</v>
      </c>
      <c r="T241" s="30">
        <f>3851970</f>
        <v>3851970</v>
      </c>
      <c r="U241" s="30">
        <f>3378950</f>
        <v>3378950</v>
      </c>
      <c r="V241" s="30">
        <f>3114811267</f>
        <v>3114811267</v>
      </c>
      <c r="W241" s="30">
        <f>2732873347</f>
        <v>2732873347</v>
      </c>
      <c r="X241" s="34">
        <f>21</f>
        <v>21</v>
      </c>
    </row>
    <row r="242" spans="1:24" x14ac:dyDescent="0.15">
      <c r="A242" s="25" t="s">
        <v>1237</v>
      </c>
      <c r="B242" s="25" t="s">
        <v>652</v>
      </c>
      <c r="C242" s="25" t="s">
        <v>653</v>
      </c>
      <c r="D242" s="25" t="s">
        <v>654</v>
      </c>
      <c r="E242" s="26" t="s">
        <v>45</v>
      </c>
      <c r="F242" s="27" t="s">
        <v>45</v>
      </c>
      <c r="G242" s="28" t="s">
        <v>45</v>
      </c>
      <c r="H242" s="29"/>
      <c r="I242" s="29" t="s">
        <v>46</v>
      </c>
      <c r="J242" s="30">
        <v>10</v>
      </c>
      <c r="K242" s="31">
        <f>2041.5</f>
        <v>2041.5</v>
      </c>
      <c r="L242" s="32" t="s">
        <v>995</v>
      </c>
      <c r="M242" s="31">
        <f>2079</f>
        <v>2079</v>
      </c>
      <c r="N242" s="32" t="s">
        <v>80</v>
      </c>
      <c r="O242" s="31">
        <f>1977</f>
        <v>1977</v>
      </c>
      <c r="P242" s="32" t="s">
        <v>1000</v>
      </c>
      <c r="Q242" s="31">
        <f>2053</f>
        <v>2053</v>
      </c>
      <c r="R242" s="32" t="s">
        <v>1017</v>
      </c>
      <c r="S242" s="33">
        <f>2041.26</f>
        <v>2041.26</v>
      </c>
      <c r="T242" s="30">
        <f>832280</f>
        <v>832280</v>
      </c>
      <c r="U242" s="30">
        <f>625920</f>
        <v>625920</v>
      </c>
      <c r="V242" s="30">
        <f>1702261882</f>
        <v>1702261882</v>
      </c>
      <c r="W242" s="30">
        <f>1281797342</f>
        <v>1281797342</v>
      </c>
      <c r="X242" s="34">
        <f>21</f>
        <v>21</v>
      </c>
    </row>
    <row r="243" spans="1:24" x14ac:dyDescent="0.15">
      <c r="A243" s="25" t="s">
        <v>1237</v>
      </c>
      <c r="B243" s="25" t="s">
        <v>655</v>
      </c>
      <c r="C243" s="25" t="s">
        <v>656</v>
      </c>
      <c r="D243" s="25" t="s">
        <v>657</v>
      </c>
      <c r="E243" s="26" t="s">
        <v>45</v>
      </c>
      <c r="F243" s="27" t="s">
        <v>45</v>
      </c>
      <c r="G243" s="28" t="s">
        <v>45</v>
      </c>
      <c r="H243" s="29"/>
      <c r="I243" s="29" t="s">
        <v>46</v>
      </c>
      <c r="J243" s="30">
        <v>10</v>
      </c>
      <c r="K243" s="31">
        <f>1408</f>
        <v>1408</v>
      </c>
      <c r="L243" s="32" t="s">
        <v>995</v>
      </c>
      <c r="M243" s="31">
        <f>1466</f>
        <v>1466</v>
      </c>
      <c r="N243" s="32" t="s">
        <v>997</v>
      </c>
      <c r="O243" s="31">
        <f>1401</f>
        <v>1401</v>
      </c>
      <c r="P243" s="32" t="s">
        <v>1000</v>
      </c>
      <c r="Q243" s="31">
        <f>1462.5</f>
        <v>1462.5</v>
      </c>
      <c r="R243" s="32" t="s">
        <v>1017</v>
      </c>
      <c r="S243" s="33">
        <f>1437.14</f>
        <v>1437.14</v>
      </c>
      <c r="T243" s="30">
        <f>375500</f>
        <v>375500</v>
      </c>
      <c r="U243" s="30">
        <f>194310</f>
        <v>194310</v>
      </c>
      <c r="V243" s="30">
        <f>544780926</f>
        <v>544780926</v>
      </c>
      <c r="W243" s="30">
        <f>283166276</f>
        <v>283166276</v>
      </c>
      <c r="X243" s="34">
        <f>21</f>
        <v>21</v>
      </c>
    </row>
    <row r="244" spans="1:24" x14ac:dyDescent="0.15">
      <c r="A244" s="25" t="s">
        <v>1237</v>
      </c>
      <c r="B244" s="25" t="s">
        <v>658</v>
      </c>
      <c r="C244" s="25" t="s">
        <v>659</v>
      </c>
      <c r="D244" s="25" t="s">
        <v>660</v>
      </c>
      <c r="E244" s="26" t="s">
        <v>45</v>
      </c>
      <c r="F244" s="27" t="s">
        <v>45</v>
      </c>
      <c r="G244" s="28" t="s">
        <v>45</v>
      </c>
      <c r="H244" s="29"/>
      <c r="I244" s="29" t="s">
        <v>46</v>
      </c>
      <c r="J244" s="30">
        <v>10</v>
      </c>
      <c r="K244" s="31">
        <f>1230.5</f>
        <v>1230.5</v>
      </c>
      <c r="L244" s="32" t="s">
        <v>995</v>
      </c>
      <c r="M244" s="31">
        <f>1306.5</f>
        <v>1306.5</v>
      </c>
      <c r="N244" s="32" t="s">
        <v>1017</v>
      </c>
      <c r="O244" s="31">
        <f>1211</f>
        <v>1211</v>
      </c>
      <c r="P244" s="32" t="s">
        <v>1000</v>
      </c>
      <c r="Q244" s="31">
        <f>1302</f>
        <v>1302</v>
      </c>
      <c r="R244" s="32" t="s">
        <v>1017</v>
      </c>
      <c r="S244" s="33">
        <f>1265.69</f>
        <v>1265.69</v>
      </c>
      <c r="T244" s="30">
        <f>585210</f>
        <v>585210</v>
      </c>
      <c r="U244" s="30">
        <f>151690</f>
        <v>151690</v>
      </c>
      <c r="V244" s="30">
        <f>743754346</f>
        <v>743754346</v>
      </c>
      <c r="W244" s="30">
        <f>195414371</f>
        <v>195414371</v>
      </c>
      <c r="X244" s="34">
        <f>21</f>
        <v>21</v>
      </c>
    </row>
    <row r="245" spans="1:24" x14ac:dyDescent="0.15">
      <c r="A245" s="25" t="s">
        <v>1237</v>
      </c>
      <c r="B245" s="25" t="s">
        <v>661</v>
      </c>
      <c r="C245" s="25" t="s">
        <v>1235</v>
      </c>
      <c r="D245" s="25" t="s">
        <v>1236</v>
      </c>
      <c r="E245" s="26" t="s">
        <v>45</v>
      </c>
      <c r="F245" s="27" t="s">
        <v>45</v>
      </c>
      <c r="G245" s="28" t="s">
        <v>45</v>
      </c>
      <c r="H245" s="29"/>
      <c r="I245" s="29" t="s">
        <v>46</v>
      </c>
      <c r="J245" s="30">
        <v>10</v>
      </c>
      <c r="K245" s="31">
        <f>556.1</f>
        <v>556.1</v>
      </c>
      <c r="L245" s="32" t="s">
        <v>995</v>
      </c>
      <c r="M245" s="31">
        <f>556.1</f>
        <v>556.1</v>
      </c>
      <c r="N245" s="32" t="s">
        <v>995</v>
      </c>
      <c r="O245" s="31">
        <f>512.1</f>
        <v>512.1</v>
      </c>
      <c r="P245" s="32" t="s">
        <v>56</v>
      </c>
      <c r="Q245" s="31">
        <f>550.3</f>
        <v>550.29999999999995</v>
      </c>
      <c r="R245" s="32" t="s">
        <v>1017</v>
      </c>
      <c r="S245" s="33">
        <f>532.88</f>
        <v>532.88</v>
      </c>
      <c r="T245" s="30">
        <f>35744120</f>
        <v>35744120</v>
      </c>
      <c r="U245" s="30">
        <f>199620</f>
        <v>199620</v>
      </c>
      <c r="V245" s="30">
        <f>19048417273</f>
        <v>19048417273</v>
      </c>
      <c r="W245" s="30">
        <f>110079859</f>
        <v>110079859</v>
      </c>
      <c r="X245" s="34">
        <f>21</f>
        <v>21</v>
      </c>
    </row>
    <row r="246" spans="1:24" x14ac:dyDescent="0.15">
      <c r="A246" s="25" t="s">
        <v>1237</v>
      </c>
      <c r="B246" s="25" t="s">
        <v>664</v>
      </c>
      <c r="C246" s="25" t="s">
        <v>665</v>
      </c>
      <c r="D246" s="25" t="s">
        <v>666</v>
      </c>
      <c r="E246" s="26" t="s">
        <v>45</v>
      </c>
      <c r="F246" s="27" t="s">
        <v>45</v>
      </c>
      <c r="G246" s="28" t="s">
        <v>45</v>
      </c>
      <c r="H246" s="29"/>
      <c r="I246" s="29" t="s">
        <v>46</v>
      </c>
      <c r="J246" s="30">
        <v>10</v>
      </c>
      <c r="K246" s="31">
        <f>1103</f>
        <v>1103</v>
      </c>
      <c r="L246" s="32" t="s">
        <v>995</v>
      </c>
      <c r="M246" s="31">
        <f>1103</f>
        <v>1103</v>
      </c>
      <c r="N246" s="32" t="s">
        <v>995</v>
      </c>
      <c r="O246" s="31">
        <f>1058</f>
        <v>1058</v>
      </c>
      <c r="P246" s="32" t="s">
        <v>786</v>
      </c>
      <c r="Q246" s="31">
        <f>1089.5</f>
        <v>1089.5</v>
      </c>
      <c r="R246" s="32" t="s">
        <v>1017</v>
      </c>
      <c r="S246" s="33">
        <f>1081.6</f>
        <v>1081.5999999999999</v>
      </c>
      <c r="T246" s="30">
        <f>5665850</f>
        <v>5665850</v>
      </c>
      <c r="U246" s="30">
        <f>5352780</f>
        <v>5352780</v>
      </c>
      <c r="V246" s="30">
        <f>6075458178</f>
        <v>6075458178</v>
      </c>
      <c r="W246" s="30">
        <f>5738915908</f>
        <v>5738915908</v>
      </c>
      <c r="X246" s="34">
        <f>21</f>
        <v>21</v>
      </c>
    </row>
    <row r="247" spans="1:24" x14ac:dyDescent="0.15">
      <c r="A247" s="25" t="s">
        <v>1237</v>
      </c>
      <c r="B247" s="25" t="s">
        <v>667</v>
      </c>
      <c r="C247" s="25" t="s">
        <v>668</v>
      </c>
      <c r="D247" s="25" t="s">
        <v>669</v>
      </c>
      <c r="E247" s="26" t="s">
        <v>45</v>
      </c>
      <c r="F247" s="27" t="s">
        <v>45</v>
      </c>
      <c r="G247" s="28" t="s">
        <v>45</v>
      </c>
      <c r="H247" s="29"/>
      <c r="I247" s="29" t="s">
        <v>46</v>
      </c>
      <c r="J247" s="30">
        <v>1</v>
      </c>
      <c r="K247" s="31">
        <f>1313</f>
        <v>1313</v>
      </c>
      <c r="L247" s="32" t="s">
        <v>995</v>
      </c>
      <c r="M247" s="31">
        <f>1325</f>
        <v>1325</v>
      </c>
      <c r="N247" s="32" t="s">
        <v>1005</v>
      </c>
      <c r="O247" s="31">
        <f>1271</f>
        <v>1271</v>
      </c>
      <c r="P247" s="32" t="s">
        <v>788</v>
      </c>
      <c r="Q247" s="31">
        <f>1311</f>
        <v>1311</v>
      </c>
      <c r="R247" s="32" t="s">
        <v>1017</v>
      </c>
      <c r="S247" s="33">
        <f>1299.76</f>
        <v>1299.76</v>
      </c>
      <c r="T247" s="30">
        <f>295934</f>
        <v>295934</v>
      </c>
      <c r="U247" s="30">
        <f>160006</f>
        <v>160006</v>
      </c>
      <c r="V247" s="30">
        <f>381458800</f>
        <v>381458800</v>
      </c>
      <c r="W247" s="30">
        <f>205255835</f>
        <v>205255835</v>
      </c>
      <c r="X247" s="34">
        <f>21</f>
        <v>21</v>
      </c>
    </row>
    <row r="248" spans="1:24" x14ac:dyDescent="0.15">
      <c r="A248" s="25" t="s">
        <v>1237</v>
      </c>
      <c r="B248" s="25" t="s">
        <v>670</v>
      </c>
      <c r="C248" s="25" t="s">
        <v>671</v>
      </c>
      <c r="D248" s="25" t="s">
        <v>672</v>
      </c>
      <c r="E248" s="26" t="s">
        <v>45</v>
      </c>
      <c r="F248" s="27" t="s">
        <v>45</v>
      </c>
      <c r="G248" s="28" t="s">
        <v>45</v>
      </c>
      <c r="H248" s="29"/>
      <c r="I248" s="29" t="s">
        <v>46</v>
      </c>
      <c r="J248" s="30">
        <v>10</v>
      </c>
      <c r="K248" s="31">
        <f>978.4</f>
        <v>978.4</v>
      </c>
      <c r="L248" s="32" t="s">
        <v>995</v>
      </c>
      <c r="M248" s="31">
        <f>1000</f>
        <v>1000</v>
      </c>
      <c r="N248" s="32" t="s">
        <v>789</v>
      </c>
      <c r="O248" s="31">
        <f>960</f>
        <v>960</v>
      </c>
      <c r="P248" s="32" t="s">
        <v>1000</v>
      </c>
      <c r="Q248" s="31">
        <f>986.9</f>
        <v>986.9</v>
      </c>
      <c r="R248" s="32" t="s">
        <v>1017</v>
      </c>
      <c r="S248" s="33">
        <f>983.4</f>
        <v>983.4</v>
      </c>
      <c r="T248" s="30">
        <f>108600</f>
        <v>108600</v>
      </c>
      <c r="U248" s="30">
        <f>500</f>
        <v>500</v>
      </c>
      <c r="V248" s="30">
        <f>106705821</f>
        <v>106705821</v>
      </c>
      <c r="W248" s="30">
        <f>493421</f>
        <v>493421</v>
      </c>
      <c r="X248" s="34">
        <f>21</f>
        <v>21</v>
      </c>
    </row>
    <row r="249" spans="1:24" x14ac:dyDescent="0.15">
      <c r="A249" s="25" t="s">
        <v>1237</v>
      </c>
      <c r="B249" s="25" t="s">
        <v>673</v>
      </c>
      <c r="C249" s="25" t="s">
        <v>674</v>
      </c>
      <c r="D249" s="25" t="s">
        <v>675</v>
      </c>
      <c r="E249" s="26" t="s">
        <v>45</v>
      </c>
      <c r="F249" s="27" t="s">
        <v>45</v>
      </c>
      <c r="G249" s="28" t="s">
        <v>45</v>
      </c>
      <c r="H249" s="29"/>
      <c r="I249" s="29" t="s">
        <v>46</v>
      </c>
      <c r="J249" s="30">
        <v>10</v>
      </c>
      <c r="K249" s="31">
        <f>1266</f>
        <v>1266</v>
      </c>
      <c r="L249" s="32" t="s">
        <v>995</v>
      </c>
      <c r="M249" s="31">
        <f>1274.5</f>
        <v>1274.5</v>
      </c>
      <c r="N249" s="32" t="s">
        <v>1017</v>
      </c>
      <c r="O249" s="31">
        <f>1212</f>
        <v>1212</v>
      </c>
      <c r="P249" s="32" t="s">
        <v>1000</v>
      </c>
      <c r="Q249" s="31">
        <f>1272</f>
        <v>1272</v>
      </c>
      <c r="R249" s="32" t="s">
        <v>1017</v>
      </c>
      <c r="S249" s="33">
        <f>1248.31</f>
        <v>1248.31</v>
      </c>
      <c r="T249" s="30">
        <f>70880</f>
        <v>70880</v>
      </c>
      <c r="U249" s="30" t="str">
        <f>"－"</f>
        <v>－</v>
      </c>
      <c r="V249" s="30">
        <f>88744745</f>
        <v>88744745</v>
      </c>
      <c r="W249" s="30" t="str">
        <f>"－"</f>
        <v>－</v>
      </c>
      <c r="X249" s="34">
        <f>21</f>
        <v>21</v>
      </c>
    </row>
    <row r="250" spans="1:24" x14ac:dyDescent="0.15">
      <c r="A250" s="25" t="s">
        <v>1237</v>
      </c>
      <c r="B250" s="25" t="s">
        <v>676</v>
      </c>
      <c r="C250" s="25" t="s">
        <v>677</v>
      </c>
      <c r="D250" s="25" t="s">
        <v>678</v>
      </c>
      <c r="E250" s="26" t="s">
        <v>45</v>
      </c>
      <c r="F250" s="27" t="s">
        <v>45</v>
      </c>
      <c r="G250" s="28" t="s">
        <v>45</v>
      </c>
      <c r="H250" s="29"/>
      <c r="I250" s="29" t="s">
        <v>46</v>
      </c>
      <c r="J250" s="30">
        <v>10</v>
      </c>
      <c r="K250" s="31">
        <f>1467</f>
        <v>1467</v>
      </c>
      <c r="L250" s="32" t="s">
        <v>995</v>
      </c>
      <c r="M250" s="31">
        <f>1533</f>
        <v>1533</v>
      </c>
      <c r="N250" s="32" t="s">
        <v>997</v>
      </c>
      <c r="O250" s="31">
        <f>1461</f>
        <v>1461</v>
      </c>
      <c r="P250" s="32" t="s">
        <v>1003</v>
      </c>
      <c r="Q250" s="31">
        <f>1530.5</f>
        <v>1530.5</v>
      </c>
      <c r="R250" s="32" t="s">
        <v>1017</v>
      </c>
      <c r="S250" s="33">
        <f>1500.81</f>
        <v>1500.81</v>
      </c>
      <c r="T250" s="30">
        <f>8492340</f>
        <v>8492340</v>
      </c>
      <c r="U250" s="30">
        <f>4818990</f>
        <v>4818990</v>
      </c>
      <c r="V250" s="30">
        <f>12710604991</f>
        <v>12710604991</v>
      </c>
      <c r="W250" s="30">
        <f>7208320616</f>
        <v>7208320616</v>
      </c>
      <c r="X250" s="34">
        <f>21</f>
        <v>21</v>
      </c>
    </row>
    <row r="251" spans="1:24" x14ac:dyDescent="0.15">
      <c r="A251" s="25" t="s">
        <v>1237</v>
      </c>
      <c r="B251" s="25" t="s">
        <v>679</v>
      </c>
      <c r="C251" s="25" t="s">
        <v>680</v>
      </c>
      <c r="D251" s="25" t="s">
        <v>681</v>
      </c>
      <c r="E251" s="26" t="s">
        <v>45</v>
      </c>
      <c r="F251" s="27" t="s">
        <v>45</v>
      </c>
      <c r="G251" s="28" t="s">
        <v>45</v>
      </c>
      <c r="H251" s="29"/>
      <c r="I251" s="29" t="s">
        <v>46</v>
      </c>
      <c r="J251" s="30">
        <v>1</v>
      </c>
      <c r="K251" s="31">
        <f>4625</f>
        <v>4625</v>
      </c>
      <c r="L251" s="32" t="s">
        <v>995</v>
      </c>
      <c r="M251" s="31">
        <f>4945</f>
        <v>4945</v>
      </c>
      <c r="N251" s="32" t="s">
        <v>255</v>
      </c>
      <c r="O251" s="31">
        <f>4565</f>
        <v>4565</v>
      </c>
      <c r="P251" s="32" t="s">
        <v>1000</v>
      </c>
      <c r="Q251" s="31">
        <f>4910</f>
        <v>4910</v>
      </c>
      <c r="R251" s="32" t="s">
        <v>1017</v>
      </c>
      <c r="S251" s="33">
        <f>4771.67</f>
        <v>4771.67</v>
      </c>
      <c r="T251" s="30">
        <f>28611</f>
        <v>28611</v>
      </c>
      <c r="U251" s="30" t="str">
        <f>"－"</f>
        <v>－</v>
      </c>
      <c r="V251" s="30">
        <f>136635665</f>
        <v>136635665</v>
      </c>
      <c r="W251" s="30" t="str">
        <f>"－"</f>
        <v>－</v>
      </c>
      <c r="X251" s="34">
        <f>21</f>
        <v>21</v>
      </c>
    </row>
    <row r="252" spans="1:24" x14ac:dyDescent="0.15">
      <c r="A252" s="25" t="s">
        <v>1237</v>
      </c>
      <c r="B252" s="25" t="s">
        <v>682</v>
      </c>
      <c r="C252" s="25" t="s">
        <v>683</v>
      </c>
      <c r="D252" s="25" t="s">
        <v>684</v>
      </c>
      <c r="E252" s="26" t="s">
        <v>45</v>
      </c>
      <c r="F252" s="27" t="s">
        <v>45</v>
      </c>
      <c r="G252" s="28" t="s">
        <v>45</v>
      </c>
      <c r="H252" s="29"/>
      <c r="I252" s="29" t="s">
        <v>46</v>
      </c>
      <c r="J252" s="30">
        <v>10</v>
      </c>
      <c r="K252" s="31">
        <f>1905</f>
        <v>1905</v>
      </c>
      <c r="L252" s="32" t="s">
        <v>1003</v>
      </c>
      <c r="M252" s="31">
        <f>1911</f>
        <v>1911</v>
      </c>
      <c r="N252" s="32" t="s">
        <v>998</v>
      </c>
      <c r="O252" s="31">
        <f>1852.5</f>
        <v>1852.5</v>
      </c>
      <c r="P252" s="32" t="s">
        <v>1017</v>
      </c>
      <c r="Q252" s="31">
        <f>1852.5</f>
        <v>1852.5</v>
      </c>
      <c r="R252" s="32" t="s">
        <v>1017</v>
      </c>
      <c r="S252" s="33">
        <f>1886.75</f>
        <v>1886.75</v>
      </c>
      <c r="T252" s="30">
        <f>780</f>
        <v>780</v>
      </c>
      <c r="U252" s="30" t="str">
        <f>"－"</f>
        <v>－</v>
      </c>
      <c r="V252" s="30">
        <f>1479675</f>
        <v>1479675</v>
      </c>
      <c r="W252" s="30" t="str">
        <f>"－"</f>
        <v>－</v>
      </c>
      <c r="X252" s="34">
        <f>6</f>
        <v>6</v>
      </c>
    </row>
    <row r="253" spans="1:24" x14ac:dyDescent="0.15">
      <c r="A253" s="25" t="s">
        <v>1237</v>
      </c>
      <c r="B253" s="25" t="s">
        <v>685</v>
      </c>
      <c r="C253" s="25" t="s">
        <v>686</v>
      </c>
      <c r="D253" s="25" t="s">
        <v>687</v>
      </c>
      <c r="E253" s="26" t="s">
        <v>45</v>
      </c>
      <c r="F253" s="27" t="s">
        <v>45</v>
      </c>
      <c r="G253" s="28" t="s">
        <v>45</v>
      </c>
      <c r="H253" s="29"/>
      <c r="I253" s="29" t="s">
        <v>46</v>
      </c>
      <c r="J253" s="30">
        <v>10</v>
      </c>
      <c r="K253" s="31">
        <f>2445</f>
        <v>2445</v>
      </c>
      <c r="L253" s="32" t="s">
        <v>995</v>
      </c>
      <c r="M253" s="31">
        <f>2445</f>
        <v>2445</v>
      </c>
      <c r="N253" s="32" t="s">
        <v>995</v>
      </c>
      <c r="O253" s="31">
        <f>2369</f>
        <v>2369</v>
      </c>
      <c r="P253" s="32" t="s">
        <v>788</v>
      </c>
      <c r="Q253" s="31">
        <f>2423</f>
        <v>2423</v>
      </c>
      <c r="R253" s="32" t="s">
        <v>1017</v>
      </c>
      <c r="S253" s="33">
        <f>2414.15</f>
        <v>2414.15</v>
      </c>
      <c r="T253" s="30">
        <f>1280750</f>
        <v>1280750</v>
      </c>
      <c r="U253" s="30">
        <f>461000</f>
        <v>461000</v>
      </c>
      <c r="V253" s="30">
        <f>3069217635</f>
        <v>3069217635</v>
      </c>
      <c r="W253" s="30">
        <f>1102371500</f>
        <v>1102371500</v>
      </c>
      <c r="X253" s="34">
        <f>20</f>
        <v>20</v>
      </c>
    </row>
    <row r="254" spans="1:24" x14ac:dyDescent="0.15">
      <c r="A254" s="25" t="s">
        <v>1237</v>
      </c>
      <c r="B254" s="25" t="s">
        <v>688</v>
      </c>
      <c r="C254" s="25" t="s">
        <v>689</v>
      </c>
      <c r="D254" s="25" t="s">
        <v>690</v>
      </c>
      <c r="E254" s="26" t="s">
        <v>45</v>
      </c>
      <c r="F254" s="27" t="s">
        <v>45</v>
      </c>
      <c r="G254" s="28" t="s">
        <v>45</v>
      </c>
      <c r="H254" s="29"/>
      <c r="I254" s="29" t="s">
        <v>46</v>
      </c>
      <c r="J254" s="30">
        <v>1</v>
      </c>
      <c r="K254" s="31">
        <f>33920</f>
        <v>33920</v>
      </c>
      <c r="L254" s="32" t="s">
        <v>785</v>
      </c>
      <c r="M254" s="31">
        <f>34390</f>
        <v>34390</v>
      </c>
      <c r="N254" s="32" t="s">
        <v>80</v>
      </c>
      <c r="O254" s="31">
        <f>32790</f>
        <v>32790</v>
      </c>
      <c r="P254" s="32" t="s">
        <v>1000</v>
      </c>
      <c r="Q254" s="31">
        <f>33930</f>
        <v>33930</v>
      </c>
      <c r="R254" s="32" t="s">
        <v>1017</v>
      </c>
      <c r="S254" s="33">
        <f>33664</f>
        <v>33664</v>
      </c>
      <c r="T254" s="30">
        <f>239503</f>
        <v>239503</v>
      </c>
      <c r="U254" s="30">
        <f>90310</f>
        <v>90310</v>
      </c>
      <c r="V254" s="30">
        <f>8059914516</f>
        <v>8059914516</v>
      </c>
      <c r="W254" s="30">
        <f>3038384576</f>
        <v>3038384576</v>
      </c>
      <c r="X254" s="34">
        <f>20</f>
        <v>20</v>
      </c>
    </row>
    <row r="255" spans="1:24" x14ac:dyDescent="0.15">
      <c r="A255" s="25" t="s">
        <v>1237</v>
      </c>
      <c r="B255" s="25" t="s">
        <v>691</v>
      </c>
      <c r="C255" s="25" t="s">
        <v>692</v>
      </c>
      <c r="D255" s="25" t="s">
        <v>693</v>
      </c>
      <c r="E255" s="26" t="s">
        <v>45</v>
      </c>
      <c r="F255" s="27" t="s">
        <v>45</v>
      </c>
      <c r="G255" s="28" t="s">
        <v>45</v>
      </c>
      <c r="H255" s="29"/>
      <c r="I255" s="29" t="s">
        <v>46</v>
      </c>
      <c r="J255" s="30">
        <v>1</v>
      </c>
      <c r="K255" s="31">
        <f>21775</f>
        <v>21775</v>
      </c>
      <c r="L255" s="32" t="s">
        <v>1017</v>
      </c>
      <c r="M255" s="31">
        <f>21775</f>
        <v>21775</v>
      </c>
      <c r="N255" s="32" t="s">
        <v>1017</v>
      </c>
      <c r="O255" s="31">
        <f>21775</f>
        <v>21775</v>
      </c>
      <c r="P255" s="32" t="s">
        <v>1017</v>
      </c>
      <c r="Q255" s="31">
        <f>21775</f>
        <v>21775</v>
      </c>
      <c r="R255" s="32" t="s">
        <v>1017</v>
      </c>
      <c r="S255" s="33">
        <f>21775</f>
        <v>21775</v>
      </c>
      <c r="T255" s="30">
        <f>19101</f>
        <v>19101</v>
      </c>
      <c r="U255" s="30">
        <f>19100</f>
        <v>19100</v>
      </c>
      <c r="V255" s="30">
        <f>414229895</f>
        <v>414229895</v>
      </c>
      <c r="W255" s="30">
        <f>414208120</f>
        <v>414208120</v>
      </c>
      <c r="X255" s="34">
        <f>1</f>
        <v>1</v>
      </c>
    </row>
    <row r="256" spans="1:24" x14ac:dyDescent="0.15">
      <c r="A256" s="25" t="s">
        <v>1237</v>
      </c>
      <c r="B256" s="25" t="s">
        <v>694</v>
      </c>
      <c r="C256" s="25" t="s">
        <v>695</v>
      </c>
      <c r="D256" s="25" t="s">
        <v>696</v>
      </c>
      <c r="E256" s="26" t="s">
        <v>45</v>
      </c>
      <c r="F256" s="27" t="s">
        <v>45</v>
      </c>
      <c r="G256" s="28" t="s">
        <v>45</v>
      </c>
      <c r="H256" s="29"/>
      <c r="I256" s="29" t="s">
        <v>46</v>
      </c>
      <c r="J256" s="30">
        <v>10</v>
      </c>
      <c r="K256" s="31">
        <f>1111.5</f>
        <v>1111.5</v>
      </c>
      <c r="L256" s="32" t="s">
        <v>995</v>
      </c>
      <c r="M256" s="31">
        <f>1135</f>
        <v>1135</v>
      </c>
      <c r="N256" s="32" t="s">
        <v>784</v>
      </c>
      <c r="O256" s="31">
        <f>1077</f>
        <v>1077</v>
      </c>
      <c r="P256" s="32" t="s">
        <v>786</v>
      </c>
      <c r="Q256" s="31">
        <f>1103.5</f>
        <v>1103.5</v>
      </c>
      <c r="R256" s="32" t="s">
        <v>1017</v>
      </c>
      <c r="S256" s="33">
        <f>1097.53</f>
        <v>1097.53</v>
      </c>
      <c r="T256" s="30">
        <f>857530</f>
        <v>857530</v>
      </c>
      <c r="U256" s="30">
        <f>579900</f>
        <v>579900</v>
      </c>
      <c r="V256" s="30">
        <f>941549800</f>
        <v>941549800</v>
      </c>
      <c r="W256" s="30">
        <f>636095940</f>
        <v>636095940</v>
      </c>
      <c r="X256" s="34">
        <f>17</f>
        <v>17</v>
      </c>
    </row>
    <row r="257" spans="1:24" x14ac:dyDescent="0.15">
      <c r="A257" s="25" t="s">
        <v>1237</v>
      </c>
      <c r="B257" s="25" t="s">
        <v>697</v>
      </c>
      <c r="C257" s="25" t="s">
        <v>1085</v>
      </c>
      <c r="D257" s="25" t="s">
        <v>1086</v>
      </c>
      <c r="E257" s="26" t="s">
        <v>45</v>
      </c>
      <c r="F257" s="27" t="s">
        <v>45</v>
      </c>
      <c r="G257" s="28" t="s">
        <v>45</v>
      </c>
      <c r="H257" s="29"/>
      <c r="I257" s="29" t="s">
        <v>46</v>
      </c>
      <c r="J257" s="30">
        <v>10</v>
      </c>
      <c r="K257" s="31">
        <f>1105</f>
        <v>1105</v>
      </c>
      <c r="L257" s="32" t="s">
        <v>995</v>
      </c>
      <c r="M257" s="31">
        <f>1105</f>
        <v>1105</v>
      </c>
      <c r="N257" s="32" t="s">
        <v>995</v>
      </c>
      <c r="O257" s="31">
        <f>1055</f>
        <v>1055</v>
      </c>
      <c r="P257" s="32" t="s">
        <v>786</v>
      </c>
      <c r="Q257" s="31">
        <f>1082</f>
        <v>1082</v>
      </c>
      <c r="R257" s="32" t="s">
        <v>1017</v>
      </c>
      <c r="S257" s="33">
        <f>1078.43</f>
        <v>1078.43</v>
      </c>
      <c r="T257" s="30">
        <f>335760</f>
        <v>335760</v>
      </c>
      <c r="U257" s="30">
        <f>90060</f>
        <v>90060</v>
      </c>
      <c r="V257" s="30">
        <f>364622345</f>
        <v>364622345</v>
      </c>
      <c r="W257" s="30">
        <f>98740800</f>
        <v>98740800</v>
      </c>
      <c r="X257" s="34">
        <f>21</f>
        <v>21</v>
      </c>
    </row>
    <row r="258" spans="1:24" x14ac:dyDescent="0.15">
      <c r="A258" s="25" t="s">
        <v>1237</v>
      </c>
      <c r="B258" s="25" t="s">
        <v>700</v>
      </c>
      <c r="C258" s="25" t="s">
        <v>701</v>
      </c>
      <c r="D258" s="25" t="s">
        <v>702</v>
      </c>
      <c r="E258" s="26" t="s">
        <v>45</v>
      </c>
      <c r="F258" s="27" t="s">
        <v>45</v>
      </c>
      <c r="G258" s="28" t="s">
        <v>45</v>
      </c>
      <c r="H258" s="29"/>
      <c r="I258" s="29" t="s">
        <v>46</v>
      </c>
      <c r="J258" s="30">
        <v>1</v>
      </c>
      <c r="K258" s="31">
        <f>1511</f>
        <v>1511</v>
      </c>
      <c r="L258" s="32" t="s">
        <v>995</v>
      </c>
      <c r="M258" s="31">
        <f>1518</f>
        <v>1518</v>
      </c>
      <c r="N258" s="32" t="s">
        <v>78</v>
      </c>
      <c r="O258" s="31">
        <f>1450</f>
        <v>1450</v>
      </c>
      <c r="P258" s="32" t="s">
        <v>788</v>
      </c>
      <c r="Q258" s="31">
        <f>1499</f>
        <v>1499</v>
      </c>
      <c r="R258" s="32" t="s">
        <v>1017</v>
      </c>
      <c r="S258" s="33">
        <f>1490.14</f>
        <v>1490.14</v>
      </c>
      <c r="T258" s="30">
        <f>720571</f>
        <v>720571</v>
      </c>
      <c r="U258" s="30">
        <f>67000</f>
        <v>67000</v>
      </c>
      <c r="V258" s="30">
        <f>1071502530</f>
        <v>1071502530</v>
      </c>
      <c r="W258" s="30">
        <f>100786900</f>
        <v>100786900</v>
      </c>
      <c r="X258" s="34">
        <f>21</f>
        <v>21</v>
      </c>
    </row>
    <row r="259" spans="1:24" x14ac:dyDescent="0.15">
      <c r="A259" s="25" t="s">
        <v>1237</v>
      </c>
      <c r="B259" s="25" t="s">
        <v>703</v>
      </c>
      <c r="C259" s="25" t="s">
        <v>704</v>
      </c>
      <c r="D259" s="25" t="s">
        <v>705</v>
      </c>
      <c r="E259" s="26" t="s">
        <v>45</v>
      </c>
      <c r="F259" s="27" t="s">
        <v>45</v>
      </c>
      <c r="G259" s="28" t="s">
        <v>45</v>
      </c>
      <c r="H259" s="29"/>
      <c r="I259" s="29" t="s">
        <v>46</v>
      </c>
      <c r="J259" s="30">
        <v>1</v>
      </c>
      <c r="K259" s="31">
        <f>12875</f>
        <v>12875</v>
      </c>
      <c r="L259" s="32" t="s">
        <v>995</v>
      </c>
      <c r="M259" s="31">
        <f>12950</f>
        <v>12950</v>
      </c>
      <c r="N259" s="32" t="s">
        <v>995</v>
      </c>
      <c r="O259" s="31">
        <f>11720</f>
        <v>11720</v>
      </c>
      <c r="P259" s="32" t="s">
        <v>786</v>
      </c>
      <c r="Q259" s="31">
        <f>12370</f>
        <v>12370</v>
      </c>
      <c r="R259" s="32" t="s">
        <v>1017</v>
      </c>
      <c r="S259" s="33">
        <f>12308.5</f>
        <v>12308.5</v>
      </c>
      <c r="T259" s="30">
        <f>797</f>
        <v>797</v>
      </c>
      <c r="U259" s="30" t="str">
        <f>"－"</f>
        <v>－</v>
      </c>
      <c r="V259" s="30">
        <f>9641875</f>
        <v>9641875</v>
      </c>
      <c r="W259" s="30" t="str">
        <f>"－"</f>
        <v>－</v>
      </c>
      <c r="X259" s="34">
        <f>20</f>
        <v>20</v>
      </c>
    </row>
    <row r="260" spans="1:24" x14ac:dyDescent="0.15">
      <c r="A260" s="25" t="s">
        <v>1237</v>
      </c>
      <c r="B260" s="25" t="s">
        <v>706</v>
      </c>
      <c r="C260" s="25" t="s">
        <v>707</v>
      </c>
      <c r="D260" s="25" t="s">
        <v>708</v>
      </c>
      <c r="E260" s="26" t="s">
        <v>45</v>
      </c>
      <c r="F260" s="27" t="s">
        <v>45</v>
      </c>
      <c r="G260" s="28" t="s">
        <v>45</v>
      </c>
      <c r="H260" s="29"/>
      <c r="I260" s="29" t="s">
        <v>46</v>
      </c>
      <c r="J260" s="30">
        <v>1</v>
      </c>
      <c r="K260" s="31">
        <f>1977</f>
        <v>1977</v>
      </c>
      <c r="L260" s="32" t="s">
        <v>995</v>
      </c>
      <c r="M260" s="31">
        <f>1977</f>
        <v>1977</v>
      </c>
      <c r="N260" s="32" t="s">
        <v>995</v>
      </c>
      <c r="O260" s="31">
        <f>1888</f>
        <v>1888</v>
      </c>
      <c r="P260" s="32" t="s">
        <v>786</v>
      </c>
      <c r="Q260" s="31">
        <f>1944</f>
        <v>1944</v>
      </c>
      <c r="R260" s="32" t="s">
        <v>1017</v>
      </c>
      <c r="S260" s="33">
        <f>1931.71</f>
        <v>1931.71</v>
      </c>
      <c r="T260" s="30">
        <f>606409</f>
        <v>606409</v>
      </c>
      <c r="U260" s="30">
        <f>550041</f>
        <v>550041</v>
      </c>
      <c r="V260" s="30">
        <f>1159730970</f>
        <v>1159730970</v>
      </c>
      <c r="W260" s="30">
        <f>1050922487</f>
        <v>1050922487</v>
      </c>
      <c r="X260" s="34">
        <f>21</f>
        <v>21</v>
      </c>
    </row>
    <row r="261" spans="1:24" x14ac:dyDescent="0.15">
      <c r="A261" s="25" t="s">
        <v>1237</v>
      </c>
      <c r="B261" s="25" t="s">
        <v>709</v>
      </c>
      <c r="C261" s="25" t="s">
        <v>710</v>
      </c>
      <c r="D261" s="25" t="s">
        <v>711</v>
      </c>
      <c r="E261" s="26" t="s">
        <v>45</v>
      </c>
      <c r="F261" s="27" t="s">
        <v>45</v>
      </c>
      <c r="G261" s="28" t="s">
        <v>45</v>
      </c>
      <c r="H261" s="29"/>
      <c r="I261" s="29" t="s">
        <v>46</v>
      </c>
      <c r="J261" s="30">
        <v>10</v>
      </c>
      <c r="K261" s="31">
        <f>1553</f>
        <v>1553</v>
      </c>
      <c r="L261" s="32" t="s">
        <v>995</v>
      </c>
      <c r="M261" s="31">
        <f>1564.5</f>
        <v>1564.5</v>
      </c>
      <c r="N261" s="32" t="s">
        <v>80</v>
      </c>
      <c r="O261" s="31">
        <f>1414</f>
        <v>1414</v>
      </c>
      <c r="P261" s="32" t="s">
        <v>786</v>
      </c>
      <c r="Q261" s="31">
        <f>1440</f>
        <v>1440</v>
      </c>
      <c r="R261" s="32" t="s">
        <v>1017</v>
      </c>
      <c r="S261" s="33">
        <f>1460.29</f>
        <v>1460.29</v>
      </c>
      <c r="T261" s="30">
        <f>2200</f>
        <v>2200</v>
      </c>
      <c r="U261" s="30" t="str">
        <f>"－"</f>
        <v>－</v>
      </c>
      <c r="V261" s="30">
        <f>3226610</f>
        <v>3226610</v>
      </c>
      <c r="W261" s="30" t="str">
        <f>"－"</f>
        <v>－</v>
      </c>
      <c r="X261" s="34">
        <f>14</f>
        <v>14</v>
      </c>
    </row>
    <row r="262" spans="1:24" x14ac:dyDescent="0.15">
      <c r="A262" s="25" t="s">
        <v>1237</v>
      </c>
      <c r="B262" s="25" t="s">
        <v>712</v>
      </c>
      <c r="C262" s="25" t="s">
        <v>795</v>
      </c>
      <c r="D262" s="25" t="s">
        <v>796</v>
      </c>
      <c r="E262" s="26" t="s">
        <v>45</v>
      </c>
      <c r="F262" s="27" t="s">
        <v>45</v>
      </c>
      <c r="G262" s="28" t="s">
        <v>45</v>
      </c>
      <c r="H262" s="29"/>
      <c r="I262" s="29" t="s">
        <v>46</v>
      </c>
      <c r="J262" s="30">
        <v>10</v>
      </c>
      <c r="K262" s="31">
        <f>811</f>
        <v>811</v>
      </c>
      <c r="L262" s="32" t="s">
        <v>995</v>
      </c>
      <c r="M262" s="31">
        <f>830.2</f>
        <v>830.2</v>
      </c>
      <c r="N262" s="32" t="s">
        <v>997</v>
      </c>
      <c r="O262" s="31">
        <f>809.5</f>
        <v>809.5</v>
      </c>
      <c r="P262" s="32" t="s">
        <v>56</v>
      </c>
      <c r="Q262" s="31">
        <f>825</f>
        <v>825</v>
      </c>
      <c r="R262" s="32" t="s">
        <v>1017</v>
      </c>
      <c r="S262" s="33">
        <f>818.36</f>
        <v>818.36</v>
      </c>
      <c r="T262" s="30">
        <f>396410</f>
        <v>396410</v>
      </c>
      <c r="U262" s="30">
        <f>177760</f>
        <v>177760</v>
      </c>
      <c r="V262" s="30">
        <f>325498854</f>
        <v>325498854</v>
      </c>
      <c r="W262" s="30">
        <f>146865312</f>
        <v>146865312</v>
      </c>
      <c r="X262" s="34">
        <f>21</f>
        <v>21</v>
      </c>
    </row>
    <row r="263" spans="1:24" x14ac:dyDescent="0.15">
      <c r="A263" s="25" t="s">
        <v>1237</v>
      </c>
      <c r="B263" s="25" t="s">
        <v>713</v>
      </c>
      <c r="C263" s="25" t="s">
        <v>714</v>
      </c>
      <c r="D263" s="25" t="s">
        <v>715</v>
      </c>
      <c r="E263" s="26" t="s">
        <v>45</v>
      </c>
      <c r="F263" s="27" t="s">
        <v>45</v>
      </c>
      <c r="G263" s="28" t="s">
        <v>45</v>
      </c>
      <c r="H263" s="29"/>
      <c r="I263" s="29" t="s">
        <v>46</v>
      </c>
      <c r="J263" s="30">
        <v>10</v>
      </c>
      <c r="K263" s="31">
        <f>1889.5</f>
        <v>1889.5</v>
      </c>
      <c r="L263" s="32" t="s">
        <v>995</v>
      </c>
      <c r="M263" s="31">
        <f>1889.5</f>
        <v>1889.5</v>
      </c>
      <c r="N263" s="32" t="s">
        <v>995</v>
      </c>
      <c r="O263" s="31">
        <f>1814</f>
        <v>1814</v>
      </c>
      <c r="P263" s="32" t="s">
        <v>786</v>
      </c>
      <c r="Q263" s="31">
        <f>1860</f>
        <v>1860</v>
      </c>
      <c r="R263" s="32" t="s">
        <v>1017</v>
      </c>
      <c r="S263" s="33">
        <f>1851.1</f>
        <v>1851.1</v>
      </c>
      <c r="T263" s="30">
        <f>1200650</f>
        <v>1200650</v>
      </c>
      <c r="U263" s="30">
        <f>1012900</f>
        <v>1012900</v>
      </c>
      <c r="V263" s="30">
        <f>2192212615</f>
        <v>2192212615</v>
      </c>
      <c r="W263" s="30">
        <f>1843101695</f>
        <v>1843101695</v>
      </c>
      <c r="X263" s="34">
        <f>21</f>
        <v>21</v>
      </c>
    </row>
    <row r="264" spans="1:24" x14ac:dyDescent="0.15">
      <c r="A264" s="25" t="s">
        <v>1237</v>
      </c>
      <c r="B264" s="25" t="s">
        <v>716</v>
      </c>
      <c r="C264" s="25" t="s">
        <v>717</v>
      </c>
      <c r="D264" s="25" t="s">
        <v>718</v>
      </c>
      <c r="E264" s="26" t="s">
        <v>45</v>
      </c>
      <c r="F264" s="27" t="s">
        <v>45</v>
      </c>
      <c r="G264" s="28" t="s">
        <v>45</v>
      </c>
      <c r="H264" s="29"/>
      <c r="I264" s="29" t="s">
        <v>46</v>
      </c>
      <c r="J264" s="30">
        <v>10</v>
      </c>
      <c r="K264" s="31">
        <f>1880</f>
        <v>1880</v>
      </c>
      <c r="L264" s="32" t="s">
        <v>995</v>
      </c>
      <c r="M264" s="31">
        <f>1883</f>
        <v>1883</v>
      </c>
      <c r="N264" s="32" t="s">
        <v>995</v>
      </c>
      <c r="O264" s="31">
        <f>1807</f>
        <v>1807</v>
      </c>
      <c r="P264" s="32" t="s">
        <v>786</v>
      </c>
      <c r="Q264" s="31">
        <f>1862.5</f>
        <v>1862.5</v>
      </c>
      <c r="R264" s="32" t="s">
        <v>1017</v>
      </c>
      <c r="S264" s="33">
        <f>1850.57</f>
        <v>1850.57</v>
      </c>
      <c r="T264" s="30">
        <f>1659320</f>
        <v>1659320</v>
      </c>
      <c r="U264" s="30">
        <f>474760</f>
        <v>474760</v>
      </c>
      <c r="V264" s="30">
        <f>3064504626</f>
        <v>3064504626</v>
      </c>
      <c r="W264" s="30">
        <f>872313731</f>
        <v>872313731</v>
      </c>
      <c r="X264" s="34">
        <f>21</f>
        <v>21</v>
      </c>
    </row>
    <row r="265" spans="1:24" x14ac:dyDescent="0.15">
      <c r="A265" s="25" t="s">
        <v>1237</v>
      </c>
      <c r="B265" s="25" t="s">
        <v>719</v>
      </c>
      <c r="C265" s="25" t="s">
        <v>720</v>
      </c>
      <c r="D265" s="25" t="s">
        <v>721</v>
      </c>
      <c r="E265" s="26" t="s">
        <v>45</v>
      </c>
      <c r="F265" s="27" t="s">
        <v>45</v>
      </c>
      <c r="G265" s="28" t="s">
        <v>45</v>
      </c>
      <c r="H265" s="29"/>
      <c r="I265" s="29" t="s">
        <v>46</v>
      </c>
      <c r="J265" s="30">
        <v>10</v>
      </c>
      <c r="K265" s="31">
        <f>2406</f>
        <v>2406</v>
      </c>
      <c r="L265" s="32" t="s">
        <v>995</v>
      </c>
      <c r="M265" s="31">
        <f>2408.5</f>
        <v>2408.5</v>
      </c>
      <c r="N265" s="32" t="s">
        <v>78</v>
      </c>
      <c r="O265" s="31">
        <f>2316</f>
        <v>2316</v>
      </c>
      <c r="P265" s="32" t="s">
        <v>788</v>
      </c>
      <c r="Q265" s="31">
        <f>2387.5</f>
        <v>2387.5</v>
      </c>
      <c r="R265" s="32" t="s">
        <v>1017</v>
      </c>
      <c r="S265" s="33">
        <f>2367.98</f>
        <v>2367.98</v>
      </c>
      <c r="T265" s="30">
        <f>2269480</f>
        <v>2269480</v>
      </c>
      <c r="U265" s="30">
        <f>171450</f>
        <v>171450</v>
      </c>
      <c r="V265" s="30">
        <f>5365115370</f>
        <v>5365115370</v>
      </c>
      <c r="W265" s="30">
        <f>406684475</f>
        <v>406684475</v>
      </c>
      <c r="X265" s="34">
        <f>21</f>
        <v>21</v>
      </c>
    </row>
    <row r="266" spans="1:24" x14ac:dyDescent="0.15">
      <c r="A266" s="25" t="s">
        <v>1237</v>
      </c>
      <c r="B266" s="25" t="s">
        <v>722</v>
      </c>
      <c r="C266" s="25" t="s">
        <v>723</v>
      </c>
      <c r="D266" s="25" t="s">
        <v>724</v>
      </c>
      <c r="E266" s="26" t="s">
        <v>45</v>
      </c>
      <c r="F266" s="27" t="s">
        <v>45</v>
      </c>
      <c r="G266" s="28" t="s">
        <v>45</v>
      </c>
      <c r="H266" s="29"/>
      <c r="I266" s="29" t="s">
        <v>46</v>
      </c>
      <c r="J266" s="30">
        <v>1</v>
      </c>
      <c r="K266" s="31">
        <f>19495</f>
        <v>19495</v>
      </c>
      <c r="L266" s="32" t="s">
        <v>995</v>
      </c>
      <c r="M266" s="31">
        <f>19700</f>
        <v>19700</v>
      </c>
      <c r="N266" s="32" t="s">
        <v>80</v>
      </c>
      <c r="O266" s="31">
        <f>18740</f>
        <v>18740</v>
      </c>
      <c r="P266" s="32" t="s">
        <v>1000</v>
      </c>
      <c r="Q266" s="31">
        <f>19440</f>
        <v>19440</v>
      </c>
      <c r="R266" s="32" t="s">
        <v>1017</v>
      </c>
      <c r="S266" s="33">
        <f>19361.67</f>
        <v>19361.669999999998</v>
      </c>
      <c r="T266" s="30">
        <f>1101393</f>
        <v>1101393</v>
      </c>
      <c r="U266" s="30">
        <f>38638</f>
        <v>38638</v>
      </c>
      <c r="V266" s="30">
        <f>21274784724</f>
        <v>21274784724</v>
      </c>
      <c r="W266" s="30">
        <f>746757974</f>
        <v>746757974</v>
      </c>
      <c r="X266" s="34">
        <f>21</f>
        <v>21</v>
      </c>
    </row>
    <row r="267" spans="1:24" x14ac:dyDescent="0.15">
      <c r="A267" s="25" t="s">
        <v>1237</v>
      </c>
      <c r="B267" s="25" t="s">
        <v>725</v>
      </c>
      <c r="C267" s="25" t="s">
        <v>726</v>
      </c>
      <c r="D267" s="25" t="s">
        <v>727</v>
      </c>
      <c r="E267" s="26" t="s">
        <v>45</v>
      </c>
      <c r="F267" s="27" t="s">
        <v>45</v>
      </c>
      <c r="G267" s="28" t="s">
        <v>45</v>
      </c>
      <c r="H267" s="29"/>
      <c r="I267" s="29" t="s">
        <v>46</v>
      </c>
      <c r="J267" s="30">
        <v>1</v>
      </c>
      <c r="K267" s="31">
        <f>17015</f>
        <v>17015</v>
      </c>
      <c r="L267" s="32" t="s">
        <v>995</v>
      </c>
      <c r="M267" s="31">
        <f>17165</f>
        <v>17165</v>
      </c>
      <c r="N267" s="32" t="s">
        <v>255</v>
      </c>
      <c r="O267" s="31">
        <f>16350</f>
        <v>16350</v>
      </c>
      <c r="P267" s="32" t="s">
        <v>1000</v>
      </c>
      <c r="Q267" s="31">
        <f>17120</f>
        <v>17120</v>
      </c>
      <c r="R267" s="32" t="s">
        <v>1017</v>
      </c>
      <c r="S267" s="33">
        <f>16881.19</f>
        <v>16881.189999999999</v>
      </c>
      <c r="T267" s="30">
        <f>314686</f>
        <v>314686</v>
      </c>
      <c r="U267" s="30">
        <f>477</f>
        <v>477</v>
      </c>
      <c r="V267" s="30">
        <f>5322786635</f>
        <v>5322786635</v>
      </c>
      <c r="W267" s="30">
        <f>8081465</f>
        <v>8081465</v>
      </c>
      <c r="X267" s="34">
        <f>21</f>
        <v>21</v>
      </c>
    </row>
    <row r="268" spans="1:24" x14ac:dyDescent="0.15">
      <c r="A268" s="25" t="s">
        <v>1237</v>
      </c>
      <c r="B268" s="25" t="s">
        <v>728</v>
      </c>
      <c r="C268" s="25" t="s">
        <v>729</v>
      </c>
      <c r="D268" s="25" t="s">
        <v>730</v>
      </c>
      <c r="E268" s="26" t="s">
        <v>45</v>
      </c>
      <c r="F268" s="27" t="s">
        <v>45</v>
      </c>
      <c r="G268" s="28" t="s">
        <v>45</v>
      </c>
      <c r="H268" s="29"/>
      <c r="I268" s="29" t="s">
        <v>46</v>
      </c>
      <c r="J268" s="30">
        <v>1</v>
      </c>
      <c r="K268" s="31">
        <f>34450</f>
        <v>34450</v>
      </c>
      <c r="L268" s="32" t="s">
        <v>794</v>
      </c>
      <c r="M268" s="31">
        <f>38580</f>
        <v>38580</v>
      </c>
      <c r="N268" s="32" t="s">
        <v>794</v>
      </c>
      <c r="O268" s="31">
        <f>30880</f>
        <v>30880</v>
      </c>
      <c r="P268" s="32" t="s">
        <v>787</v>
      </c>
      <c r="Q268" s="31">
        <f>31100</f>
        <v>31100</v>
      </c>
      <c r="R268" s="32" t="s">
        <v>255</v>
      </c>
      <c r="S268" s="33">
        <f>31876.67</f>
        <v>31876.67</v>
      </c>
      <c r="T268" s="30">
        <f>127</f>
        <v>127</v>
      </c>
      <c r="U268" s="30" t="str">
        <f>"－"</f>
        <v>－</v>
      </c>
      <c r="V268" s="30">
        <f>4077110</f>
        <v>4077110</v>
      </c>
      <c r="W268" s="30" t="str">
        <f>"－"</f>
        <v>－</v>
      </c>
      <c r="X268" s="34">
        <f>6</f>
        <v>6</v>
      </c>
    </row>
    <row r="269" spans="1:24" x14ac:dyDescent="0.15">
      <c r="A269" s="25" t="s">
        <v>1237</v>
      </c>
      <c r="B269" s="25" t="s">
        <v>731</v>
      </c>
      <c r="C269" s="25" t="s">
        <v>732</v>
      </c>
      <c r="D269" s="25" t="s">
        <v>733</v>
      </c>
      <c r="E269" s="26" t="s">
        <v>45</v>
      </c>
      <c r="F269" s="27" t="s">
        <v>45</v>
      </c>
      <c r="G269" s="28" t="s">
        <v>45</v>
      </c>
      <c r="H269" s="29"/>
      <c r="I269" s="29" t="s">
        <v>46</v>
      </c>
      <c r="J269" s="30">
        <v>1</v>
      </c>
      <c r="K269" s="31">
        <f>2450</f>
        <v>2450</v>
      </c>
      <c r="L269" s="32" t="s">
        <v>995</v>
      </c>
      <c r="M269" s="31">
        <f>2495</f>
        <v>2495</v>
      </c>
      <c r="N269" s="32" t="s">
        <v>998</v>
      </c>
      <c r="O269" s="31">
        <f>2419</f>
        <v>2419</v>
      </c>
      <c r="P269" s="32" t="s">
        <v>794</v>
      </c>
      <c r="Q269" s="31">
        <f>2471</f>
        <v>2471</v>
      </c>
      <c r="R269" s="32" t="s">
        <v>1017</v>
      </c>
      <c r="S269" s="33">
        <f>2461</f>
        <v>2461</v>
      </c>
      <c r="T269" s="30">
        <f>1815861</f>
        <v>1815861</v>
      </c>
      <c r="U269" s="30">
        <f>1595411</f>
        <v>1595411</v>
      </c>
      <c r="V269" s="30">
        <f>4481578101</f>
        <v>4481578101</v>
      </c>
      <c r="W269" s="30">
        <f>3939299266</f>
        <v>3939299266</v>
      </c>
      <c r="X269" s="34">
        <f>21</f>
        <v>21</v>
      </c>
    </row>
    <row r="270" spans="1:24" x14ac:dyDescent="0.15">
      <c r="A270" s="25" t="s">
        <v>1237</v>
      </c>
      <c r="B270" s="25" t="s">
        <v>734</v>
      </c>
      <c r="C270" s="25" t="s">
        <v>735</v>
      </c>
      <c r="D270" s="25" t="s">
        <v>736</v>
      </c>
      <c r="E270" s="26" t="s">
        <v>45</v>
      </c>
      <c r="F270" s="27" t="s">
        <v>45</v>
      </c>
      <c r="G270" s="28" t="s">
        <v>45</v>
      </c>
      <c r="H270" s="29"/>
      <c r="I270" s="29" t="s">
        <v>46</v>
      </c>
      <c r="J270" s="30">
        <v>10</v>
      </c>
      <c r="K270" s="31">
        <f>2860.5</f>
        <v>2860.5</v>
      </c>
      <c r="L270" s="32" t="s">
        <v>995</v>
      </c>
      <c r="M270" s="31">
        <f>2988</f>
        <v>2988</v>
      </c>
      <c r="N270" s="32" t="s">
        <v>1017</v>
      </c>
      <c r="O270" s="31">
        <f>2860</f>
        <v>2860</v>
      </c>
      <c r="P270" s="32" t="s">
        <v>995</v>
      </c>
      <c r="Q270" s="31">
        <f>2986</f>
        <v>2986</v>
      </c>
      <c r="R270" s="32" t="s">
        <v>1017</v>
      </c>
      <c r="S270" s="33">
        <f>2929.69</f>
        <v>2929.69</v>
      </c>
      <c r="T270" s="30">
        <f>2070860</f>
        <v>2070860</v>
      </c>
      <c r="U270" s="30">
        <f>962730</f>
        <v>962730</v>
      </c>
      <c r="V270" s="30">
        <f>6013278683</f>
        <v>6013278683</v>
      </c>
      <c r="W270" s="30">
        <f>2780914003</f>
        <v>2780914003</v>
      </c>
      <c r="X270" s="34">
        <f>21</f>
        <v>21</v>
      </c>
    </row>
    <row r="271" spans="1:24" x14ac:dyDescent="0.15">
      <c r="A271" s="25" t="s">
        <v>1237</v>
      </c>
      <c r="B271" s="25" t="s">
        <v>737</v>
      </c>
      <c r="C271" s="25" t="s">
        <v>738</v>
      </c>
      <c r="D271" s="25" t="s">
        <v>739</v>
      </c>
      <c r="E271" s="26" t="s">
        <v>45</v>
      </c>
      <c r="F271" s="27" t="s">
        <v>45</v>
      </c>
      <c r="G271" s="28" t="s">
        <v>45</v>
      </c>
      <c r="H271" s="29"/>
      <c r="I271" s="29" t="s">
        <v>46</v>
      </c>
      <c r="J271" s="30">
        <v>10</v>
      </c>
      <c r="K271" s="31">
        <f>273.2</f>
        <v>273.2</v>
      </c>
      <c r="L271" s="32" t="s">
        <v>995</v>
      </c>
      <c r="M271" s="31">
        <f>285.4</f>
        <v>285.39999999999998</v>
      </c>
      <c r="N271" s="32" t="s">
        <v>997</v>
      </c>
      <c r="O271" s="31">
        <f>271.9</f>
        <v>271.89999999999998</v>
      </c>
      <c r="P271" s="32" t="s">
        <v>1003</v>
      </c>
      <c r="Q271" s="31">
        <f>284.9</f>
        <v>284.89999999999998</v>
      </c>
      <c r="R271" s="32" t="s">
        <v>1017</v>
      </c>
      <c r="S271" s="33">
        <f>279.36</f>
        <v>279.36</v>
      </c>
      <c r="T271" s="30">
        <f>52225900</f>
        <v>52225900</v>
      </c>
      <c r="U271" s="30">
        <f>5357600</f>
        <v>5357600</v>
      </c>
      <c r="V271" s="30">
        <f>14587271615</f>
        <v>14587271615</v>
      </c>
      <c r="W271" s="30">
        <f>1501222936</f>
        <v>1501222936</v>
      </c>
      <c r="X271" s="34">
        <f>21</f>
        <v>21</v>
      </c>
    </row>
    <row r="272" spans="1:24" x14ac:dyDescent="0.15">
      <c r="A272" s="25" t="s">
        <v>1237</v>
      </c>
      <c r="B272" s="25" t="s">
        <v>740</v>
      </c>
      <c r="C272" s="25" t="s">
        <v>741</v>
      </c>
      <c r="D272" s="25" t="s">
        <v>742</v>
      </c>
      <c r="E272" s="26" t="s">
        <v>45</v>
      </c>
      <c r="F272" s="27" t="s">
        <v>45</v>
      </c>
      <c r="G272" s="28" t="s">
        <v>45</v>
      </c>
      <c r="H272" s="29"/>
      <c r="I272" s="29" t="s">
        <v>46</v>
      </c>
      <c r="J272" s="30">
        <v>1</v>
      </c>
      <c r="K272" s="31">
        <f>2555</f>
        <v>2555</v>
      </c>
      <c r="L272" s="32" t="s">
        <v>995</v>
      </c>
      <c r="M272" s="31">
        <f>2583</f>
        <v>2583</v>
      </c>
      <c r="N272" s="32" t="s">
        <v>997</v>
      </c>
      <c r="O272" s="31">
        <f>2448</f>
        <v>2448</v>
      </c>
      <c r="P272" s="32" t="s">
        <v>1005</v>
      </c>
      <c r="Q272" s="31">
        <f>2560</f>
        <v>2560</v>
      </c>
      <c r="R272" s="32" t="s">
        <v>1017</v>
      </c>
      <c r="S272" s="33">
        <f>2529.71</f>
        <v>2529.71</v>
      </c>
      <c r="T272" s="30">
        <f>1023623</f>
        <v>1023623</v>
      </c>
      <c r="U272" s="30">
        <f>194268</f>
        <v>194268</v>
      </c>
      <c r="V272" s="30">
        <f>2580918872</f>
        <v>2580918872</v>
      </c>
      <c r="W272" s="30">
        <f>487723897</f>
        <v>487723897</v>
      </c>
      <c r="X272" s="34">
        <f>21</f>
        <v>21</v>
      </c>
    </row>
    <row r="273" spans="1:24" x14ac:dyDescent="0.15">
      <c r="A273" s="25" t="s">
        <v>1237</v>
      </c>
      <c r="B273" s="25" t="s">
        <v>743</v>
      </c>
      <c r="C273" s="25" t="s">
        <v>744</v>
      </c>
      <c r="D273" s="25" t="s">
        <v>745</v>
      </c>
      <c r="E273" s="26" t="s">
        <v>45</v>
      </c>
      <c r="F273" s="27" t="s">
        <v>45</v>
      </c>
      <c r="G273" s="28" t="s">
        <v>45</v>
      </c>
      <c r="H273" s="29"/>
      <c r="I273" s="29" t="s">
        <v>46</v>
      </c>
      <c r="J273" s="30">
        <v>1</v>
      </c>
      <c r="K273" s="31">
        <f>942</f>
        <v>942</v>
      </c>
      <c r="L273" s="32" t="s">
        <v>995</v>
      </c>
      <c r="M273" s="31">
        <f>942</f>
        <v>942</v>
      </c>
      <c r="N273" s="32" t="s">
        <v>995</v>
      </c>
      <c r="O273" s="31">
        <f>887</f>
        <v>887</v>
      </c>
      <c r="P273" s="32" t="s">
        <v>786</v>
      </c>
      <c r="Q273" s="31">
        <f>923</f>
        <v>923</v>
      </c>
      <c r="R273" s="32" t="s">
        <v>1017</v>
      </c>
      <c r="S273" s="33">
        <f>915.86</f>
        <v>915.86</v>
      </c>
      <c r="T273" s="30">
        <f>3274758</f>
        <v>3274758</v>
      </c>
      <c r="U273" s="30">
        <f>2782002</f>
        <v>2782002</v>
      </c>
      <c r="V273" s="30">
        <f>3028512272</f>
        <v>3028512272</v>
      </c>
      <c r="W273" s="30">
        <f>2576764355</f>
        <v>2576764355</v>
      </c>
      <c r="X273" s="34">
        <f>21</f>
        <v>21</v>
      </c>
    </row>
    <row r="274" spans="1:24" x14ac:dyDescent="0.15">
      <c r="A274" s="25" t="s">
        <v>1237</v>
      </c>
      <c r="B274" s="25" t="s">
        <v>746</v>
      </c>
      <c r="C274" s="25" t="s">
        <v>747</v>
      </c>
      <c r="D274" s="25" t="s">
        <v>748</v>
      </c>
      <c r="E274" s="26" t="s">
        <v>45</v>
      </c>
      <c r="F274" s="27" t="s">
        <v>45</v>
      </c>
      <c r="G274" s="28" t="s">
        <v>45</v>
      </c>
      <c r="H274" s="29"/>
      <c r="I274" s="29" t="s">
        <v>46</v>
      </c>
      <c r="J274" s="30">
        <v>10</v>
      </c>
      <c r="K274" s="31">
        <f>1035.5</f>
        <v>1035.5</v>
      </c>
      <c r="L274" s="32" t="s">
        <v>995</v>
      </c>
      <c r="M274" s="31">
        <f>1037</f>
        <v>1037</v>
      </c>
      <c r="N274" s="32" t="s">
        <v>995</v>
      </c>
      <c r="O274" s="31">
        <f>994.1</f>
        <v>994.1</v>
      </c>
      <c r="P274" s="32" t="s">
        <v>786</v>
      </c>
      <c r="Q274" s="31">
        <f>1023</f>
        <v>1023</v>
      </c>
      <c r="R274" s="32" t="s">
        <v>1017</v>
      </c>
      <c r="S274" s="33">
        <f>1016.48</f>
        <v>1016.48</v>
      </c>
      <c r="T274" s="30">
        <f>86380</f>
        <v>86380</v>
      </c>
      <c r="U274" s="30" t="str">
        <f>"－"</f>
        <v>－</v>
      </c>
      <c r="V274" s="30">
        <f>88236168</f>
        <v>88236168</v>
      </c>
      <c r="W274" s="30" t="str">
        <f>"－"</f>
        <v>－</v>
      </c>
      <c r="X274" s="34">
        <f>21</f>
        <v>21</v>
      </c>
    </row>
    <row r="275" spans="1:24" x14ac:dyDescent="0.15">
      <c r="A275" s="25" t="s">
        <v>1237</v>
      </c>
      <c r="B275" s="25" t="s">
        <v>749</v>
      </c>
      <c r="C275" s="25" t="s">
        <v>750</v>
      </c>
      <c r="D275" s="25" t="s">
        <v>751</v>
      </c>
      <c r="E275" s="26" t="s">
        <v>45</v>
      </c>
      <c r="F275" s="27" t="s">
        <v>45</v>
      </c>
      <c r="G275" s="28" t="s">
        <v>45</v>
      </c>
      <c r="H275" s="29"/>
      <c r="I275" s="29" t="s">
        <v>46</v>
      </c>
      <c r="J275" s="30">
        <v>10</v>
      </c>
      <c r="K275" s="31">
        <f>322.9</f>
        <v>322.89999999999998</v>
      </c>
      <c r="L275" s="32" t="s">
        <v>995</v>
      </c>
      <c r="M275" s="31">
        <f>323.9</f>
        <v>323.89999999999998</v>
      </c>
      <c r="N275" s="32" t="s">
        <v>995</v>
      </c>
      <c r="O275" s="31">
        <f>310.6</f>
        <v>310.60000000000002</v>
      </c>
      <c r="P275" s="32" t="s">
        <v>788</v>
      </c>
      <c r="Q275" s="31">
        <f>317.4</f>
        <v>317.39999999999998</v>
      </c>
      <c r="R275" s="32" t="s">
        <v>1017</v>
      </c>
      <c r="S275" s="33">
        <f>315.27</f>
        <v>315.27</v>
      </c>
      <c r="T275" s="30">
        <f>12980</f>
        <v>12980</v>
      </c>
      <c r="U275" s="30" t="str">
        <f>"－"</f>
        <v>－</v>
      </c>
      <c r="V275" s="30">
        <f>4098951</f>
        <v>4098951</v>
      </c>
      <c r="W275" s="30" t="str">
        <f>"－"</f>
        <v>－</v>
      </c>
      <c r="X275" s="34">
        <f>20</f>
        <v>20</v>
      </c>
    </row>
    <row r="276" spans="1:24" x14ac:dyDescent="0.15">
      <c r="A276" s="25" t="s">
        <v>1237</v>
      </c>
      <c r="B276" s="25" t="s">
        <v>752</v>
      </c>
      <c r="C276" s="25" t="s">
        <v>753</v>
      </c>
      <c r="D276" s="25" t="s">
        <v>754</v>
      </c>
      <c r="E276" s="26" t="s">
        <v>45</v>
      </c>
      <c r="F276" s="27" t="s">
        <v>45</v>
      </c>
      <c r="G276" s="28" t="s">
        <v>45</v>
      </c>
      <c r="H276" s="29"/>
      <c r="I276" s="29" t="s">
        <v>46</v>
      </c>
      <c r="J276" s="30">
        <v>10</v>
      </c>
      <c r="K276" s="31">
        <f>4057</f>
        <v>4057</v>
      </c>
      <c r="L276" s="32" t="s">
        <v>995</v>
      </c>
      <c r="M276" s="31">
        <f>4171</f>
        <v>4171</v>
      </c>
      <c r="N276" s="32" t="s">
        <v>80</v>
      </c>
      <c r="O276" s="31">
        <f>3928</f>
        <v>3928</v>
      </c>
      <c r="P276" s="32" t="s">
        <v>1000</v>
      </c>
      <c r="Q276" s="31">
        <f>4118</f>
        <v>4118</v>
      </c>
      <c r="R276" s="32" t="s">
        <v>1017</v>
      </c>
      <c r="S276" s="33">
        <f>4073.29</f>
        <v>4073.29</v>
      </c>
      <c r="T276" s="30">
        <f>3239800</f>
        <v>3239800</v>
      </c>
      <c r="U276" s="30">
        <f>247000</f>
        <v>247000</v>
      </c>
      <c r="V276" s="30">
        <f>13177779096</f>
        <v>13177779096</v>
      </c>
      <c r="W276" s="30">
        <f>1001262566</f>
        <v>1001262566</v>
      </c>
      <c r="X276" s="34">
        <f>21</f>
        <v>21</v>
      </c>
    </row>
    <row r="277" spans="1:24" x14ac:dyDescent="0.15">
      <c r="A277" s="25" t="s">
        <v>1237</v>
      </c>
      <c r="B277" s="25" t="s">
        <v>755</v>
      </c>
      <c r="C277" s="25" t="s">
        <v>756</v>
      </c>
      <c r="D277" s="25" t="s">
        <v>757</v>
      </c>
      <c r="E277" s="26" t="s">
        <v>45</v>
      </c>
      <c r="F277" s="27" t="s">
        <v>45</v>
      </c>
      <c r="G277" s="28" t="s">
        <v>45</v>
      </c>
      <c r="H277" s="29"/>
      <c r="I277" s="29" t="s">
        <v>46</v>
      </c>
      <c r="J277" s="30">
        <v>10</v>
      </c>
      <c r="K277" s="31">
        <f>2611</f>
        <v>2611</v>
      </c>
      <c r="L277" s="32" t="s">
        <v>995</v>
      </c>
      <c r="M277" s="31">
        <f>2762</f>
        <v>2762</v>
      </c>
      <c r="N277" s="32" t="s">
        <v>997</v>
      </c>
      <c r="O277" s="31">
        <f>2583</f>
        <v>2583</v>
      </c>
      <c r="P277" s="32" t="s">
        <v>1003</v>
      </c>
      <c r="Q277" s="31">
        <f>2752</f>
        <v>2752</v>
      </c>
      <c r="R277" s="32" t="s">
        <v>1017</v>
      </c>
      <c r="S277" s="33">
        <f>2684.98</f>
        <v>2684.98</v>
      </c>
      <c r="T277" s="30">
        <f>5696070</f>
        <v>5696070</v>
      </c>
      <c r="U277" s="30">
        <f>2093690</f>
        <v>2093690</v>
      </c>
      <c r="V277" s="30">
        <f>15101068835</f>
        <v>15101068835</v>
      </c>
      <c r="W277" s="30">
        <f>5505431200</f>
        <v>5505431200</v>
      </c>
      <c r="X277" s="34">
        <f>21</f>
        <v>21</v>
      </c>
    </row>
    <row r="278" spans="1:24" x14ac:dyDescent="0.15">
      <c r="A278" s="25" t="s">
        <v>1237</v>
      </c>
      <c r="B278" s="25" t="s">
        <v>758</v>
      </c>
      <c r="C278" s="25" t="s">
        <v>759</v>
      </c>
      <c r="D278" s="25" t="s">
        <v>760</v>
      </c>
      <c r="E278" s="26" t="s">
        <v>45</v>
      </c>
      <c r="F278" s="27" t="s">
        <v>45</v>
      </c>
      <c r="G278" s="28" t="s">
        <v>45</v>
      </c>
      <c r="H278" s="29"/>
      <c r="I278" s="29" t="s">
        <v>46</v>
      </c>
      <c r="J278" s="30">
        <v>10</v>
      </c>
      <c r="K278" s="31">
        <f>332.2</f>
        <v>332.2</v>
      </c>
      <c r="L278" s="32" t="s">
        <v>995</v>
      </c>
      <c r="M278" s="31">
        <f>336</f>
        <v>336</v>
      </c>
      <c r="N278" s="32" t="s">
        <v>785</v>
      </c>
      <c r="O278" s="31">
        <f>319.2</f>
        <v>319.2</v>
      </c>
      <c r="P278" s="32" t="s">
        <v>1005</v>
      </c>
      <c r="Q278" s="31">
        <f>320.7</f>
        <v>320.7</v>
      </c>
      <c r="R278" s="32" t="s">
        <v>1017</v>
      </c>
      <c r="S278" s="33">
        <f>325.22</f>
        <v>325.22000000000003</v>
      </c>
      <c r="T278" s="30">
        <f>74191600</f>
        <v>74191600</v>
      </c>
      <c r="U278" s="30">
        <f>51047280</f>
        <v>51047280</v>
      </c>
      <c r="V278" s="30">
        <f>24028551131</f>
        <v>24028551131</v>
      </c>
      <c r="W278" s="30">
        <f>16504425062</f>
        <v>16504425062</v>
      </c>
      <c r="X278" s="34">
        <f>21</f>
        <v>21</v>
      </c>
    </row>
    <row r="279" spans="1:24" x14ac:dyDescent="0.15">
      <c r="A279" s="25" t="s">
        <v>1237</v>
      </c>
      <c r="B279" s="25" t="s">
        <v>761</v>
      </c>
      <c r="C279" s="25" t="s">
        <v>762</v>
      </c>
      <c r="D279" s="25" t="s">
        <v>763</v>
      </c>
      <c r="E279" s="26" t="s">
        <v>45</v>
      </c>
      <c r="F279" s="27" t="s">
        <v>45</v>
      </c>
      <c r="G279" s="28" t="s">
        <v>45</v>
      </c>
      <c r="H279" s="29"/>
      <c r="I279" s="29" t="s">
        <v>46</v>
      </c>
      <c r="J279" s="30">
        <v>1</v>
      </c>
      <c r="K279" s="31">
        <f>1265</f>
        <v>1265</v>
      </c>
      <c r="L279" s="32" t="s">
        <v>995</v>
      </c>
      <c r="M279" s="31">
        <f>1381</f>
        <v>1381</v>
      </c>
      <c r="N279" s="32" t="s">
        <v>997</v>
      </c>
      <c r="O279" s="31">
        <f>1260</f>
        <v>1260</v>
      </c>
      <c r="P279" s="32" t="s">
        <v>995</v>
      </c>
      <c r="Q279" s="31">
        <f>1369</f>
        <v>1369</v>
      </c>
      <c r="R279" s="32" t="s">
        <v>1017</v>
      </c>
      <c r="S279" s="33">
        <f>1335.1</f>
        <v>1335.1</v>
      </c>
      <c r="T279" s="30">
        <f>42007424</f>
        <v>42007424</v>
      </c>
      <c r="U279" s="30">
        <f>194348</f>
        <v>194348</v>
      </c>
      <c r="V279" s="30">
        <f>55975207170</f>
        <v>55975207170</v>
      </c>
      <c r="W279" s="30">
        <f>259493505</f>
        <v>259493505</v>
      </c>
      <c r="X279" s="34">
        <f>21</f>
        <v>21</v>
      </c>
    </row>
    <row r="280" spans="1:24" x14ac:dyDescent="0.15">
      <c r="A280" s="25" t="s">
        <v>1237</v>
      </c>
      <c r="B280" s="25" t="s">
        <v>764</v>
      </c>
      <c r="C280" s="25" t="s">
        <v>765</v>
      </c>
      <c r="D280" s="25" t="s">
        <v>766</v>
      </c>
      <c r="E280" s="26" t="s">
        <v>45</v>
      </c>
      <c r="F280" s="27" t="s">
        <v>45</v>
      </c>
      <c r="G280" s="28" t="s">
        <v>45</v>
      </c>
      <c r="H280" s="29"/>
      <c r="I280" s="29" t="s">
        <v>46</v>
      </c>
      <c r="J280" s="30">
        <v>1</v>
      </c>
      <c r="K280" s="31">
        <f>1759</f>
        <v>1759</v>
      </c>
      <c r="L280" s="32" t="s">
        <v>995</v>
      </c>
      <c r="M280" s="31">
        <f>1840</f>
        <v>1840</v>
      </c>
      <c r="N280" s="32" t="s">
        <v>997</v>
      </c>
      <c r="O280" s="31">
        <f>1750</f>
        <v>1750</v>
      </c>
      <c r="P280" s="32" t="s">
        <v>995</v>
      </c>
      <c r="Q280" s="31">
        <f>1827</f>
        <v>1827</v>
      </c>
      <c r="R280" s="32" t="s">
        <v>1017</v>
      </c>
      <c r="S280" s="33">
        <f>1799.19</f>
        <v>1799.19</v>
      </c>
      <c r="T280" s="30">
        <f>76669</f>
        <v>76669</v>
      </c>
      <c r="U280" s="30" t="str">
        <f>"－"</f>
        <v>－</v>
      </c>
      <c r="V280" s="30">
        <f>137592056</f>
        <v>137592056</v>
      </c>
      <c r="W280" s="30" t="str">
        <f>"－"</f>
        <v>－</v>
      </c>
      <c r="X280" s="34">
        <f>21</f>
        <v>21</v>
      </c>
    </row>
    <row r="281" spans="1:24" x14ac:dyDescent="0.15">
      <c r="A281" s="25" t="s">
        <v>1237</v>
      </c>
      <c r="B281" s="25" t="s">
        <v>767</v>
      </c>
      <c r="C281" s="25" t="s">
        <v>768</v>
      </c>
      <c r="D281" s="25" t="s">
        <v>769</v>
      </c>
      <c r="E281" s="26" t="s">
        <v>45</v>
      </c>
      <c r="F281" s="27" t="s">
        <v>45</v>
      </c>
      <c r="G281" s="28" t="s">
        <v>45</v>
      </c>
      <c r="H281" s="29"/>
      <c r="I281" s="29" t="s">
        <v>46</v>
      </c>
      <c r="J281" s="30">
        <v>1</v>
      </c>
      <c r="K281" s="31">
        <f>2066</f>
        <v>2066</v>
      </c>
      <c r="L281" s="32" t="s">
        <v>995</v>
      </c>
      <c r="M281" s="31">
        <f>2206</f>
        <v>2206</v>
      </c>
      <c r="N281" s="32" t="s">
        <v>997</v>
      </c>
      <c r="O281" s="31">
        <f>2038</f>
        <v>2038</v>
      </c>
      <c r="P281" s="32" t="s">
        <v>785</v>
      </c>
      <c r="Q281" s="31">
        <f>2154</f>
        <v>2154</v>
      </c>
      <c r="R281" s="32" t="s">
        <v>1017</v>
      </c>
      <c r="S281" s="33">
        <f>2129.38</f>
        <v>2129.38</v>
      </c>
      <c r="T281" s="30">
        <f>1039469</f>
        <v>1039469</v>
      </c>
      <c r="U281" s="30">
        <f>1034000</f>
        <v>1034000</v>
      </c>
      <c r="V281" s="30">
        <f>2224317523</f>
        <v>2224317523</v>
      </c>
      <c r="W281" s="30">
        <f>2212701600</f>
        <v>2212701600</v>
      </c>
      <c r="X281" s="34">
        <f>21</f>
        <v>21</v>
      </c>
    </row>
    <row r="282" spans="1:24" x14ac:dyDescent="0.15">
      <c r="A282" s="25" t="s">
        <v>1237</v>
      </c>
      <c r="B282" s="25" t="s">
        <v>770</v>
      </c>
      <c r="C282" s="25" t="s">
        <v>771</v>
      </c>
      <c r="D282" s="25" t="s">
        <v>1087</v>
      </c>
      <c r="E282" s="26" t="s">
        <v>45</v>
      </c>
      <c r="F282" s="27" t="s">
        <v>45</v>
      </c>
      <c r="G282" s="28" t="s">
        <v>45</v>
      </c>
      <c r="H282" s="29"/>
      <c r="I282" s="29" t="s">
        <v>46</v>
      </c>
      <c r="J282" s="30">
        <v>1</v>
      </c>
      <c r="K282" s="31">
        <f>3370</f>
        <v>3370</v>
      </c>
      <c r="L282" s="32" t="s">
        <v>995</v>
      </c>
      <c r="M282" s="31">
        <f>3395</f>
        <v>3395</v>
      </c>
      <c r="N282" s="32" t="s">
        <v>80</v>
      </c>
      <c r="O282" s="31">
        <f>3230</f>
        <v>3230</v>
      </c>
      <c r="P282" s="32" t="s">
        <v>1000</v>
      </c>
      <c r="Q282" s="31">
        <f>3360</f>
        <v>3360</v>
      </c>
      <c r="R282" s="32" t="s">
        <v>1017</v>
      </c>
      <c r="S282" s="33">
        <f>3321.9</f>
        <v>3321.9</v>
      </c>
      <c r="T282" s="30">
        <f>1039300</f>
        <v>1039300</v>
      </c>
      <c r="U282" s="30">
        <f>418000</f>
        <v>418000</v>
      </c>
      <c r="V282" s="30">
        <f>3453522010</f>
        <v>3453522010</v>
      </c>
      <c r="W282" s="30">
        <f>1383883100</f>
        <v>1383883100</v>
      </c>
      <c r="X282" s="34">
        <f>21</f>
        <v>21</v>
      </c>
    </row>
    <row r="283" spans="1:24" x14ac:dyDescent="0.15">
      <c r="A283" s="25" t="s">
        <v>1237</v>
      </c>
      <c r="B283" s="25" t="s">
        <v>773</v>
      </c>
      <c r="C283" s="25" t="s">
        <v>774</v>
      </c>
      <c r="D283" s="25" t="s">
        <v>1088</v>
      </c>
      <c r="E283" s="26" t="s">
        <v>45</v>
      </c>
      <c r="F283" s="27" t="s">
        <v>45</v>
      </c>
      <c r="G283" s="28" t="s">
        <v>45</v>
      </c>
      <c r="H283" s="29"/>
      <c r="I283" s="29" t="s">
        <v>46</v>
      </c>
      <c r="J283" s="30">
        <v>1</v>
      </c>
      <c r="K283" s="31">
        <f>2391</f>
        <v>2391</v>
      </c>
      <c r="L283" s="32" t="s">
        <v>995</v>
      </c>
      <c r="M283" s="31">
        <f>2393</f>
        <v>2393</v>
      </c>
      <c r="N283" s="32" t="s">
        <v>78</v>
      </c>
      <c r="O283" s="31">
        <f>2299</f>
        <v>2299</v>
      </c>
      <c r="P283" s="32" t="s">
        <v>788</v>
      </c>
      <c r="Q283" s="31">
        <f>2371</f>
        <v>2371</v>
      </c>
      <c r="R283" s="32" t="s">
        <v>1017</v>
      </c>
      <c r="S283" s="33">
        <f>2351.95</f>
        <v>2351.9499999999998</v>
      </c>
      <c r="T283" s="30">
        <f>2859373</f>
        <v>2859373</v>
      </c>
      <c r="U283" s="30">
        <f>998148</f>
        <v>998148</v>
      </c>
      <c r="V283" s="30">
        <f>6679229686</f>
        <v>6679229686</v>
      </c>
      <c r="W283" s="30">
        <f>2310279225</f>
        <v>2310279225</v>
      </c>
      <c r="X283" s="34">
        <f>21</f>
        <v>21</v>
      </c>
    </row>
    <row r="284" spans="1:24" x14ac:dyDescent="0.15">
      <c r="A284" s="25" t="s">
        <v>1237</v>
      </c>
      <c r="B284" s="25" t="s">
        <v>776</v>
      </c>
      <c r="C284" s="25" t="s">
        <v>777</v>
      </c>
      <c r="D284" s="25" t="s">
        <v>778</v>
      </c>
      <c r="E284" s="26" t="s">
        <v>45</v>
      </c>
      <c r="F284" s="27" t="s">
        <v>45</v>
      </c>
      <c r="G284" s="28" t="s">
        <v>45</v>
      </c>
      <c r="H284" s="29"/>
      <c r="I284" s="29" t="s">
        <v>46</v>
      </c>
      <c r="J284" s="30">
        <v>1</v>
      </c>
      <c r="K284" s="31">
        <f>2060</f>
        <v>2060</v>
      </c>
      <c r="L284" s="32" t="s">
        <v>995</v>
      </c>
      <c r="M284" s="31">
        <f>2060</f>
        <v>2060</v>
      </c>
      <c r="N284" s="32" t="s">
        <v>995</v>
      </c>
      <c r="O284" s="31">
        <f>1980</f>
        <v>1980</v>
      </c>
      <c r="P284" s="32" t="s">
        <v>789</v>
      </c>
      <c r="Q284" s="31">
        <f>2047</f>
        <v>2047</v>
      </c>
      <c r="R284" s="32" t="s">
        <v>1017</v>
      </c>
      <c r="S284" s="33">
        <f>2021.75</f>
        <v>2021.75</v>
      </c>
      <c r="T284" s="30">
        <f>38197</f>
        <v>38197</v>
      </c>
      <c r="U284" s="30" t="str">
        <f>"－"</f>
        <v>－</v>
      </c>
      <c r="V284" s="30">
        <f>77189325</f>
        <v>77189325</v>
      </c>
      <c r="W284" s="30" t="str">
        <f>"－"</f>
        <v>－</v>
      </c>
      <c r="X284" s="34">
        <f>20</f>
        <v>20</v>
      </c>
    </row>
    <row r="285" spans="1:24" x14ac:dyDescent="0.15">
      <c r="A285" s="25" t="s">
        <v>1237</v>
      </c>
      <c r="B285" s="25" t="s">
        <v>779</v>
      </c>
      <c r="C285" s="25" t="s">
        <v>780</v>
      </c>
      <c r="D285" s="25" t="s">
        <v>781</v>
      </c>
      <c r="E285" s="26" t="s">
        <v>45</v>
      </c>
      <c r="F285" s="27" t="s">
        <v>45</v>
      </c>
      <c r="G285" s="28" t="s">
        <v>45</v>
      </c>
      <c r="H285" s="29"/>
      <c r="I285" s="29" t="s">
        <v>46</v>
      </c>
      <c r="J285" s="30">
        <v>1</v>
      </c>
      <c r="K285" s="31">
        <f>1279</f>
        <v>1279</v>
      </c>
      <c r="L285" s="32" t="s">
        <v>995</v>
      </c>
      <c r="M285" s="31">
        <f>1324</f>
        <v>1324</v>
      </c>
      <c r="N285" s="32" t="s">
        <v>1017</v>
      </c>
      <c r="O285" s="31">
        <f>1212</f>
        <v>1212</v>
      </c>
      <c r="P285" s="32" t="s">
        <v>1000</v>
      </c>
      <c r="Q285" s="31">
        <f>1324</f>
        <v>1324</v>
      </c>
      <c r="R285" s="32" t="s">
        <v>1017</v>
      </c>
      <c r="S285" s="33">
        <f>1275.43</f>
        <v>1275.43</v>
      </c>
      <c r="T285" s="30">
        <f>30473</f>
        <v>30473</v>
      </c>
      <c r="U285" s="30" t="str">
        <f>"－"</f>
        <v>－</v>
      </c>
      <c r="V285" s="30">
        <f>39053296</f>
        <v>39053296</v>
      </c>
      <c r="W285" s="30" t="str">
        <f>"－"</f>
        <v>－</v>
      </c>
      <c r="X285" s="34">
        <f>21</f>
        <v>21</v>
      </c>
    </row>
    <row r="286" spans="1:24" x14ac:dyDescent="0.15">
      <c r="A286" s="25" t="s">
        <v>1237</v>
      </c>
      <c r="B286" s="25" t="s">
        <v>797</v>
      </c>
      <c r="C286" s="25" t="s">
        <v>798</v>
      </c>
      <c r="D286" s="25" t="s">
        <v>799</v>
      </c>
      <c r="E286" s="26" t="s">
        <v>45</v>
      </c>
      <c r="F286" s="27" t="s">
        <v>45</v>
      </c>
      <c r="G286" s="28" t="s">
        <v>45</v>
      </c>
      <c r="H286" s="29"/>
      <c r="I286" s="29" t="s">
        <v>46</v>
      </c>
      <c r="J286" s="30">
        <v>1</v>
      </c>
      <c r="K286" s="31">
        <f>1829</f>
        <v>1829</v>
      </c>
      <c r="L286" s="32" t="s">
        <v>995</v>
      </c>
      <c r="M286" s="31">
        <f>1842</f>
        <v>1842</v>
      </c>
      <c r="N286" s="32" t="s">
        <v>785</v>
      </c>
      <c r="O286" s="31">
        <f>1664</f>
        <v>1664</v>
      </c>
      <c r="P286" s="32" t="s">
        <v>786</v>
      </c>
      <c r="Q286" s="31">
        <f>1730</f>
        <v>1730</v>
      </c>
      <c r="R286" s="32" t="s">
        <v>1017</v>
      </c>
      <c r="S286" s="33">
        <f>1750.52</f>
        <v>1750.52</v>
      </c>
      <c r="T286" s="30">
        <f>43959</f>
        <v>43959</v>
      </c>
      <c r="U286" s="30" t="str">
        <f>"－"</f>
        <v>－</v>
      </c>
      <c r="V286" s="30">
        <f>76862368</f>
        <v>76862368</v>
      </c>
      <c r="W286" s="30" t="str">
        <f>"－"</f>
        <v>－</v>
      </c>
      <c r="X286" s="34">
        <f>21</f>
        <v>21</v>
      </c>
    </row>
    <row r="287" spans="1:24" x14ac:dyDescent="0.15">
      <c r="A287" s="25" t="s">
        <v>1237</v>
      </c>
      <c r="B287" s="25" t="s">
        <v>800</v>
      </c>
      <c r="C287" s="25" t="s">
        <v>801</v>
      </c>
      <c r="D287" s="25" t="s">
        <v>802</v>
      </c>
      <c r="E287" s="26" t="s">
        <v>45</v>
      </c>
      <c r="F287" s="27" t="s">
        <v>45</v>
      </c>
      <c r="G287" s="28" t="s">
        <v>45</v>
      </c>
      <c r="H287" s="29"/>
      <c r="I287" s="29" t="s">
        <v>46</v>
      </c>
      <c r="J287" s="30">
        <v>1</v>
      </c>
      <c r="K287" s="31">
        <f>2311</f>
        <v>2311</v>
      </c>
      <c r="L287" s="32" t="s">
        <v>995</v>
      </c>
      <c r="M287" s="31">
        <f>2425</f>
        <v>2425</v>
      </c>
      <c r="N287" s="32" t="s">
        <v>784</v>
      </c>
      <c r="O287" s="31">
        <f>2107</f>
        <v>2107</v>
      </c>
      <c r="P287" s="32" t="s">
        <v>789</v>
      </c>
      <c r="Q287" s="31">
        <f>2189</f>
        <v>2189</v>
      </c>
      <c r="R287" s="32" t="s">
        <v>1017</v>
      </c>
      <c r="S287" s="33">
        <f>2189.71</f>
        <v>2189.71</v>
      </c>
      <c r="T287" s="30">
        <f>2657</f>
        <v>2657</v>
      </c>
      <c r="U287" s="30" t="str">
        <f>"－"</f>
        <v>－</v>
      </c>
      <c r="V287" s="30">
        <f>5847784</f>
        <v>5847784</v>
      </c>
      <c r="W287" s="30" t="str">
        <f>"－"</f>
        <v>－</v>
      </c>
      <c r="X287" s="34">
        <f>21</f>
        <v>21</v>
      </c>
    </row>
    <row r="288" spans="1:24" x14ac:dyDescent="0.15">
      <c r="A288" s="25" t="s">
        <v>1237</v>
      </c>
      <c r="B288" s="25" t="s">
        <v>803</v>
      </c>
      <c r="C288" s="25" t="s">
        <v>804</v>
      </c>
      <c r="D288" s="25" t="s">
        <v>805</v>
      </c>
      <c r="E288" s="26" t="s">
        <v>45</v>
      </c>
      <c r="F288" s="27" t="s">
        <v>45</v>
      </c>
      <c r="G288" s="28" t="s">
        <v>45</v>
      </c>
      <c r="H288" s="29"/>
      <c r="I288" s="29" t="s">
        <v>46</v>
      </c>
      <c r="J288" s="30">
        <v>1</v>
      </c>
      <c r="K288" s="31">
        <f>10840</f>
        <v>10840</v>
      </c>
      <c r="L288" s="32" t="s">
        <v>995</v>
      </c>
      <c r="M288" s="31">
        <f>11255</f>
        <v>11255</v>
      </c>
      <c r="N288" s="32" t="s">
        <v>997</v>
      </c>
      <c r="O288" s="31">
        <f>10720</f>
        <v>10720</v>
      </c>
      <c r="P288" s="32" t="s">
        <v>1003</v>
      </c>
      <c r="Q288" s="31">
        <f>11230</f>
        <v>11230</v>
      </c>
      <c r="R288" s="32" t="s">
        <v>1017</v>
      </c>
      <c r="S288" s="33">
        <f>11031.9</f>
        <v>11031.9</v>
      </c>
      <c r="T288" s="30">
        <f>985241</f>
        <v>985241</v>
      </c>
      <c r="U288" s="30">
        <f>506447</f>
        <v>506447</v>
      </c>
      <c r="V288" s="30">
        <f>10784739838</f>
        <v>10784739838</v>
      </c>
      <c r="W288" s="30">
        <f>5507366098</f>
        <v>5507366098</v>
      </c>
      <c r="X288" s="34">
        <f>21</f>
        <v>21</v>
      </c>
    </row>
    <row r="289" spans="1:24" x14ac:dyDescent="0.15">
      <c r="A289" s="25" t="s">
        <v>1237</v>
      </c>
      <c r="B289" s="25" t="s">
        <v>806</v>
      </c>
      <c r="C289" s="25" t="s">
        <v>807</v>
      </c>
      <c r="D289" s="25" t="s">
        <v>808</v>
      </c>
      <c r="E289" s="26" t="s">
        <v>45</v>
      </c>
      <c r="F289" s="27" t="s">
        <v>45</v>
      </c>
      <c r="G289" s="28" t="s">
        <v>45</v>
      </c>
      <c r="H289" s="29"/>
      <c r="I289" s="29" t="s">
        <v>46</v>
      </c>
      <c r="J289" s="30">
        <v>1</v>
      </c>
      <c r="K289" s="31">
        <f>16960</f>
        <v>16960</v>
      </c>
      <c r="L289" s="32" t="s">
        <v>995</v>
      </c>
      <c r="M289" s="31">
        <f>17400</f>
        <v>17400</v>
      </c>
      <c r="N289" s="32" t="s">
        <v>80</v>
      </c>
      <c r="O289" s="31">
        <f>16370</f>
        <v>16370</v>
      </c>
      <c r="P289" s="32" t="s">
        <v>1000</v>
      </c>
      <c r="Q289" s="31">
        <f>17150</f>
        <v>17150</v>
      </c>
      <c r="R289" s="32" t="s">
        <v>1017</v>
      </c>
      <c r="S289" s="33">
        <f>16992.62</f>
        <v>16992.62</v>
      </c>
      <c r="T289" s="30">
        <f>761528</f>
        <v>761528</v>
      </c>
      <c r="U289" s="30">
        <f>310</f>
        <v>310</v>
      </c>
      <c r="V289" s="30">
        <f>12916980845</f>
        <v>12916980845</v>
      </c>
      <c r="W289" s="30">
        <f>4976620</f>
        <v>4976620</v>
      </c>
      <c r="X289" s="34">
        <f>21</f>
        <v>21</v>
      </c>
    </row>
    <row r="290" spans="1:24" x14ac:dyDescent="0.15">
      <c r="A290" s="25" t="s">
        <v>1237</v>
      </c>
      <c r="B290" s="25" t="s">
        <v>809</v>
      </c>
      <c r="C290" s="25" t="s">
        <v>810</v>
      </c>
      <c r="D290" s="25" t="s">
        <v>811</v>
      </c>
      <c r="E290" s="26" t="s">
        <v>45</v>
      </c>
      <c r="F290" s="27" t="s">
        <v>45</v>
      </c>
      <c r="G290" s="28" t="s">
        <v>45</v>
      </c>
      <c r="H290" s="29"/>
      <c r="I290" s="29" t="s">
        <v>46</v>
      </c>
      <c r="J290" s="30">
        <v>1</v>
      </c>
      <c r="K290" s="31">
        <f>10970</f>
        <v>10970</v>
      </c>
      <c r="L290" s="32" t="s">
        <v>995</v>
      </c>
      <c r="M290" s="31">
        <f>11570</f>
        <v>11570</v>
      </c>
      <c r="N290" s="32" t="s">
        <v>997</v>
      </c>
      <c r="O290" s="31">
        <f>10810</f>
        <v>10810</v>
      </c>
      <c r="P290" s="32" t="s">
        <v>1003</v>
      </c>
      <c r="Q290" s="31">
        <f>11530</f>
        <v>11530</v>
      </c>
      <c r="R290" s="32" t="s">
        <v>1017</v>
      </c>
      <c r="S290" s="33">
        <f>11249.76</f>
        <v>11249.76</v>
      </c>
      <c r="T290" s="30">
        <f>956570</f>
        <v>956570</v>
      </c>
      <c r="U290" s="30">
        <f>129490</f>
        <v>129490</v>
      </c>
      <c r="V290" s="30">
        <f>10752072437</f>
        <v>10752072437</v>
      </c>
      <c r="W290" s="30">
        <f>1450511877</f>
        <v>1450511877</v>
      </c>
      <c r="X290" s="34">
        <f>21</f>
        <v>21</v>
      </c>
    </row>
    <row r="291" spans="1:24" x14ac:dyDescent="0.15">
      <c r="A291" s="25" t="s">
        <v>1237</v>
      </c>
      <c r="B291" s="25" t="s">
        <v>812</v>
      </c>
      <c r="C291" s="25" t="s">
        <v>813</v>
      </c>
      <c r="D291" s="25" t="s">
        <v>814</v>
      </c>
      <c r="E291" s="26" t="s">
        <v>1238</v>
      </c>
      <c r="F291" s="27" t="s">
        <v>1239</v>
      </c>
      <c r="G291" s="28" t="s">
        <v>45</v>
      </c>
      <c r="H291" s="29"/>
      <c r="I291" s="29" t="s">
        <v>46</v>
      </c>
      <c r="J291" s="30">
        <v>10</v>
      </c>
      <c r="K291" s="31">
        <f>3118</f>
        <v>3118</v>
      </c>
      <c r="L291" s="32" t="s">
        <v>995</v>
      </c>
      <c r="M291" s="31">
        <f>3120</f>
        <v>3120</v>
      </c>
      <c r="N291" s="32" t="s">
        <v>995</v>
      </c>
      <c r="O291" s="31">
        <f>3093</f>
        <v>3093</v>
      </c>
      <c r="P291" s="32" t="s">
        <v>784</v>
      </c>
      <c r="Q291" s="31">
        <f>3095</f>
        <v>3095</v>
      </c>
      <c r="R291" s="32" t="s">
        <v>784</v>
      </c>
      <c r="S291" s="33">
        <f>3106.33</f>
        <v>3106.33</v>
      </c>
      <c r="T291" s="30">
        <f>67830</f>
        <v>67830</v>
      </c>
      <c r="U291" s="30" t="str">
        <f>"－"</f>
        <v>－</v>
      </c>
      <c r="V291" s="30">
        <f>210306330</f>
        <v>210306330</v>
      </c>
      <c r="W291" s="30" t="str">
        <f>"－"</f>
        <v>－</v>
      </c>
      <c r="X291" s="34">
        <f>3</f>
        <v>3</v>
      </c>
    </row>
    <row r="292" spans="1:24" x14ac:dyDescent="0.15">
      <c r="A292" s="25" t="s">
        <v>1237</v>
      </c>
      <c r="B292" s="25" t="s">
        <v>812</v>
      </c>
      <c r="C292" s="25" t="s">
        <v>813</v>
      </c>
      <c r="D292" s="25" t="s">
        <v>814</v>
      </c>
      <c r="E292" s="26" t="s">
        <v>1238</v>
      </c>
      <c r="F292" s="27" t="s">
        <v>1239</v>
      </c>
      <c r="G292" s="28" t="s">
        <v>45</v>
      </c>
      <c r="H292" s="29"/>
      <c r="I292" s="29" t="s">
        <v>46</v>
      </c>
      <c r="J292" s="30">
        <v>10</v>
      </c>
      <c r="K292" s="31">
        <f>314</f>
        <v>314</v>
      </c>
      <c r="L292" s="32" t="s">
        <v>78</v>
      </c>
      <c r="M292" s="31">
        <f>317</f>
        <v>317</v>
      </c>
      <c r="N292" s="32" t="s">
        <v>78</v>
      </c>
      <c r="O292" s="31">
        <f>301.5</f>
        <v>301.5</v>
      </c>
      <c r="P292" s="32" t="s">
        <v>1000</v>
      </c>
      <c r="Q292" s="31">
        <f>312.8</f>
        <v>312.8</v>
      </c>
      <c r="R292" s="32" t="s">
        <v>1017</v>
      </c>
      <c r="S292" s="33">
        <f>311.21</f>
        <v>311.20999999999998</v>
      </c>
      <c r="T292" s="30">
        <f>10135520</f>
        <v>10135520</v>
      </c>
      <c r="U292" s="30">
        <f>500</f>
        <v>500</v>
      </c>
      <c r="V292" s="30">
        <f>3138343256</f>
        <v>3138343256</v>
      </c>
      <c r="W292" s="30">
        <f>156850</f>
        <v>156850</v>
      </c>
      <c r="X292" s="34">
        <f>18</f>
        <v>18</v>
      </c>
    </row>
    <row r="293" spans="1:24" x14ac:dyDescent="0.15">
      <c r="A293" s="25" t="s">
        <v>1237</v>
      </c>
      <c r="B293" s="25" t="s">
        <v>815</v>
      </c>
      <c r="C293" s="25" t="s">
        <v>816</v>
      </c>
      <c r="D293" s="25" t="s">
        <v>817</v>
      </c>
      <c r="E293" s="26" t="s">
        <v>45</v>
      </c>
      <c r="F293" s="27" t="s">
        <v>45</v>
      </c>
      <c r="G293" s="28" t="s">
        <v>45</v>
      </c>
      <c r="H293" s="29"/>
      <c r="I293" s="29" t="s">
        <v>46</v>
      </c>
      <c r="J293" s="30">
        <v>10</v>
      </c>
      <c r="K293" s="31">
        <f>2122</f>
        <v>2122</v>
      </c>
      <c r="L293" s="32" t="s">
        <v>995</v>
      </c>
      <c r="M293" s="31">
        <f>2220</f>
        <v>2220</v>
      </c>
      <c r="N293" s="32" t="s">
        <v>1017</v>
      </c>
      <c r="O293" s="31">
        <f>2112</f>
        <v>2112</v>
      </c>
      <c r="P293" s="32" t="s">
        <v>1003</v>
      </c>
      <c r="Q293" s="31">
        <f>2214</f>
        <v>2214</v>
      </c>
      <c r="R293" s="32" t="s">
        <v>1017</v>
      </c>
      <c r="S293" s="33">
        <f>2170.05</f>
        <v>2170.0500000000002</v>
      </c>
      <c r="T293" s="30">
        <f>5365160</f>
        <v>5365160</v>
      </c>
      <c r="U293" s="30">
        <f>2968500</f>
        <v>2968500</v>
      </c>
      <c r="V293" s="30">
        <f>11579985178</f>
        <v>11579985178</v>
      </c>
      <c r="W293" s="30">
        <f>6397461558</f>
        <v>6397461558</v>
      </c>
      <c r="X293" s="34">
        <f>21</f>
        <v>21</v>
      </c>
    </row>
    <row r="294" spans="1:24" x14ac:dyDescent="0.15">
      <c r="A294" s="25" t="s">
        <v>1237</v>
      </c>
      <c r="B294" s="25" t="s">
        <v>818</v>
      </c>
      <c r="C294" s="25" t="s">
        <v>819</v>
      </c>
      <c r="D294" s="25" t="s">
        <v>820</v>
      </c>
      <c r="E294" s="26" t="s">
        <v>45</v>
      </c>
      <c r="F294" s="27" t="s">
        <v>45</v>
      </c>
      <c r="G294" s="28" t="s">
        <v>45</v>
      </c>
      <c r="H294" s="29"/>
      <c r="I294" s="29" t="s">
        <v>46</v>
      </c>
      <c r="J294" s="30">
        <v>10</v>
      </c>
      <c r="K294" s="31">
        <f>3252</f>
        <v>3252</v>
      </c>
      <c r="L294" s="32" t="s">
        <v>995</v>
      </c>
      <c r="M294" s="31">
        <f>3299</f>
        <v>3299</v>
      </c>
      <c r="N294" s="32" t="s">
        <v>997</v>
      </c>
      <c r="O294" s="31">
        <f>3152</f>
        <v>3152</v>
      </c>
      <c r="P294" s="32" t="s">
        <v>1000</v>
      </c>
      <c r="Q294" s="31">
        <f>3253</f>
        <v>3253</v>
      </c>
      <c r="R294" s="32" t="s">
        <v>1017</v>
      </c>
      <c r="S294" s="33">
        <f>3238.05</f>
        <v>3238.05</v>
      </c>
      <c r="T294" s="30">
        <f>57740</f>
        <v>57740</v>
      </c>
      <c r="U294" s="30">
        <f>50020</f>
        <v>50020</v>
      </c>
      <c r="V294" s="30">
        <f>187192400</f>
        <v>187192400</v>
      </c>
      <c r="W294" s="30">
        <f>162154400</f>
        <v>162154400</v>
      </c>
      <c r="X294" s="34">
        <f>19</f>
        <v>19</v>
      </c>
    </row>
    <row r="295" spans="1:24" x14ac:dyDescent="0.15">
      <c r="A295" s="25" t="s">
        <v>1237</v>
      </c>
      <c r="B295" s="25" t="s">
        <v>821</v>
      </c>
      <c r="C295" s="25" t="s">
        <v>822</v>
      </c>
      <c r="D295" s="25" t="s">
        <v>823</v>
      </c>
      <c r="E295" s="26" t="s">
        <v>45</v>
      </c>
      <c r="F295" s="27" t="s">
        <v>45</v>
      </c>
      <c r="G295" s="28" t="s">
        <v>45</v>
      </c>
      <c r="H295" s="29"/>
      <c r="I295" s="29" t="s">
        <v>46</v>
      </c>
      <c r="J295" s="30">
        <v>1</v>
      </c>
      <c r="K295" s="31">
        <f>2898</f>
        <v>2898</v>
      </c>
      <c r="L295" s="32" t="s">
        <v>995</v>
      </c>
      <c r="M295" s="31">
        <f>2925</f>
        <v>2925</v>
      </c>
      <c r="N295" s="32" t="s">
        <v>1017</v>
      </c>
      <c r="O295" s="31">
        <f>2800</f>
        <v>2800</v>
      </c>
      <c r="P295" s="32" t="s">
        <v>1000</v>
      </c>
      <c r="Q295" s="31">
        <f>2904</f>
        <v>2904</v>
      </c>
      <c r="R295" s="32" t="s">
        <v>1017</v>
      </c>
      <c r="S295" s="33">
        <f>2868.71</f>
        <v>2868.71</v>
      </c>
      <c r="T295" s="30">
        <f>11482</f>
        <v>11482</v>
      </c>
      <c r="U295" s="30" t="str">
        <f>"－"</f>
        <v>－</v>
      </c>
      <c r="V295" s="30">
        <f>32877418</f>
        <v>32877418</v>
      </c>
      <c r="W295" s="30" t="str">
        <f>"－"</f>
        <v>－</v>
      </c>
      <c r="X295" s="34">
        <f>21</f>
        <v>21</v>
      </c>
    </row>
    <row r="296" spans="1:24" x14ac:dyDescent="0.15">
      <c r="A296" s="25" t="s">
        <v>1237</v>
      </c>
      <c r="B296" s="25" t="s">
        <v>824</v>
      </c>
      <c r="C296" s="25" t="s">
        <v>1188</v>
      </c>
      <c r="D296" s="25" t="s">
        <v>1187</v>
      </c>
      <c r="E296" s="26" t="s">
        <v>45</v>
      </c>
      <c r="F296" s="27" t="s">
        <v>45</v>
      </c>
      <c r="G296" s="28" t="s">
        <v>45</v>
      </c>
      <c r="H296" s="29"/>
      <c r="I296" s="29" t="s">
        <v>46</v>
      </c>
      <c r="J296" s="30">
        <v>1</v>
      </c>
      <c r="K296" s="31">
        <f>1525</f>
        <v>1525</v>
      </c>
      <c r="L296" s="32" t="s">
        <v>995</v>
      </c>
      <c r="M296" s="31">
        <f>1526</f>
        <v>1526</v>
      </c>
      <c r="N296" s="32" t="s">
        <v>995</v>
      </c>
      <c r="O296" s="31">
        <f>1444</f>
        <v>1444</v>
      </c>
      <c r="P296" s="32" t="s">
        <v>1000</v>
      </c>
      <c r="Q296" s="31">
        <f>1519</f>
        <v>1519</v>
      </c>
      <c r="R296" s="32" t="s">
        <v>1017</v>
      </c>
      <c r="S296" s="33">
        <f>1490.14</f>
        <v>1490.14</v>
      </c>
      <c r="T296" s="30">
        <f>22448</f>
        <v>22448</v>
      </c>
      <c r="U296" s="30" t="str">
        <f>"－"</f>
        <v>－</v>
      </c>
      <c r="V296" s="30">
        <f>33762740</f>
        <v>33762740</v>
      </c>
      <c r="W296" s="30" t="str">
        <f>"－"</f>
        <v>－</v>
      </c>
      <c r="X296" s="34">
        <f>21</f>
        <v>21</v>
      </c>
    </row>
    <row r="297" spans="1:24" x14ac:dyDescent="0.15">
      <c r="A297" s="25" t="s">
        <v>1237</v>
      </c>
      <c r="B297" s="25" t="s">
        <v>827</v>
      </c>
      <c r="C297" s="25" t="s">
        <v>828</v>
      </c>
      <c r="D297" s="25" t="s">
        <v>829</v>
      </c>
      <c r="E297" s="26" t="s">
        <v>45</v>
      </c>
      <c r="F297" s="27" t="s">
        <v>45</v>
      </c>
      <c r="G297" s="28" t="s">
        <v>45</v>
      </c>
      <c r="H297" s="29"/>
      <c r="I297" s="29" t="s">
        <v>46</v>
      </c>
      <c r="J297" s="30">
        <v>1</v>
      </c>
      <c r="K297" s="31">
        <f>2000</f>
        <v>2000</v>
      </c>
      <c r="L297" s="32" t="s">
        <v>995</v>
      </c>
      <c r="M297" s="31">
        <f>2130</f>
        <v>2130</v>
      </c>
      <c r="N297" s="32" t="s">
        <v>997</v>
      </c>
      <c r="O297" s="31">
        <f>1883</f>
        <v>1883</v>
      </c>
      <c r="P297" s="32" t="s">
        <v>1000</v>
      </c>
      <c r="Q297" s="31">
        <f>2007</f>
        <v>2007</v>
      </c>
      <c r="R297" s="32" t="s">
        <v>1017</v>
      </c>
      <c r="S297" s="33">
        <f>1949.19</f>
        <v>1949.19</v>
      </c>
      <c r="T297" s="30">
        <f>200440</f>
        <v>200440</v>
      </c>
      <c r="U297" s="30">
        <f>5000</f>
        <v>5000</v>
      </c>
      <c r="V297" s="30">
        <f>388491484</f>
        <v>388491484</v>
      </c>
      <c r="W297" s="30">
        <f>9725000</f>
        <v>9725000</v>
      </c>
      <c r="X297" s="34">
        <f>21</f>
        <v>21</v>
      </c>
    </row>
    <row r="298" spans="1:24" x14ac:dyDescent="0.15">
      <c r="A298" s="25" t="s">
        <v>1237</v>
      </c>
      <c r="B298" s="25" t="s">
        <v>830</v>
      </c>
      <c r="C298" s="25" t="s">
        <v>831</v>
      </c>
      <c r="D298" s="25" t="s">
        <v>832</v>
      </c>
      <c r="E298" s="26" t="s">
        <v>45</v>
      </c>
      <c r="F298" s="27" t="s">
        <v>45</v>
      </c>
      <c r="G298" s="28" t="s">
        <v>45</v>
      </c>
      <c r="H298" s="29"/>
      <c r="I298" s="29" t="s">
        <v>46</v>
      </c>
      <c r="J298" s="30">
        <v>1</v>
      </c>
      <c r="K298" s="31">
        <f>1608</f>
        <v>1608</v>
      </c>
      <c r="L298" s="32" t="s">
        <v>995</v>
      </c>
      <c r="M298" s="31">
        <f>1619</f>
        <v>1619</v>
      </c>
      <c r="N298" s="32" t="s">
        <v>1000</v>
      </c>
      <c r="O298" s="31">
        <f>1543</f>
        <v>1543</v>
      </c>
      <c r="P298" s="32" t="s">
        <v>998</v>
      </c>
      <c r="Q298" s="31">
        <f>1589</f>
        <v>1589</v>
      </c>
      <c r="R298" s="32" t="s">
        <v>1017</v>
      </c>
      <c r="S298" s="33">
        <f>1574.19</f>
        <v>1574.19</v>
      </c>
      <c r="T298" s="30">
        <f>51394</f>
        <v>51394</v>
      </c>
      <c r="U298" s="30" t="str">
        <f>"－"</f>
        <v>－</v>
      </c>
      <c r="V298" s="30">
        <f>81118343</f>
        <v>81118343</v>
      </c>
      <c r="W298" s="30" t="str">
        <f>"－"</f>
        <v>－</v>
      </c>
      <c r="X298" s="34">
        <f>21</f>
        <v>21</v>
      </c>
    </row>
    <row r="299" spans="1:24" x14ac:dyDescent="0.15">
      <c r="A299" s="25" t="s">
        <v>1237</v>
      </c>
      <c r="B299" s="25" t="s">
        <v>833</v>
      </c>
      <c r="C299" s="25" t="s">
        <v>834</v>
      </c>
      <c r="D299" s="25" t="s">
        <v>835</v>
      </c>
      <c r="E299" s="26" t="s">
        <v>45</v>
      </c>
      <c r="F299" s="27" t="s">
        <v>45</v>
      </c>
      <c r="G299" s="28" t="s">
        <v>45</v>
      </c>
      <c r="H299" s="29"/>
      <c r="I299" s="29" t="s">
        <v>46</v>
      </c>
      <c r="J299" s="30">
        <v>1</v>
      </c>
      <c r="K299" s="31">
        <f>2708</f>
        <v>2708</v>
      </c>
      <c r="L299" s="32" t="s">
        <v>995</v>
      </c>
      <c r="M299" s="31">
        <f>2730</f>
        <v>2730</v>
      </c>
      <c r="N299" s="32" t="s">
        <v>1003</v>
      </c>
      <c r="O299" s="31">
        <f>2610</f>
        <v>2610</v>
      </c>
      <c r="P299" s="32" t="s">
        <v>1001</v>
      </c>
      <c r="Q299" s="31">
        <f>2680</f>
        <v>2680</v>
      </c>
      <c r="R299" s="32" t="s">
        <v>1017</v>
      </c>
      <c r="S299" s="33">
        <f>2675.67</f>
        <v>2675.67</v>
      </c>
      <c r="T299" s="30">
        <f>36337</f>
        <v>36337</v>
      </c>
      <c r="U299" s="30" t="str">
        <f>"－"</f>
        <v>－</v>
      </c>
      <c r="V299" s="30">
        <f>97300676</f>
        <v>97300676</v>
      </c>
      <c r="W299" s="30" t="str">
        <f>"－"</f>
        <v>－</v>
      </c>
      <c r="X299" s="34">
        <f>21</f>
        <v>21</v>
      </c>
    </row>
    <row r="300" spans="1:24" x14ac:dyDescent="0.15">
      <c r="A300" s="25" t="s">
        <v>1237</v>
      </c>
      <c r="B300" s="25" t="s">
        <v>836</v>
      </c>
      <c r="C300" s="25" t="s">
        <v>1186</v>
      </c>
      <c r="D300" s="25" t="s">
        <v>1185</v>
      </c>
      <c r="E300" s="26" t="s">
        <v>45</v>
      </c>
      <c r="F300" s="27" t="s">
        <v>45</v>
      </c>
      <c r="G300" s="28" t="s">
        <v>45</v>
      </c>
      <c r="H300" s="29"/>
      <c r="I300" s="29" t="s">
        <v>46</v>
      </c>
      <c r="J300" s="30">
        <v>1</v>
      </c>
      <c r="K300" s="31">
        <f>2647</f>
        <v>2647</v>
      </c>
      <c r="L300" s="32" t="s">
        <v>995</v>
      </c>
      <c r="M300" s="31">
        <f>2649</f>
        <v>2649</v>
      </c>
      <c r="N300" s="32" t="s">
        <v>788</v>
      </c>
      <c r="O300" s="31">
        <f>2503</f>
        <v>2503</v>
      </c>
      <c r="P300" s="32" t="s">
        <v>998</v>
      </c>
      <c r="Q300" s="31">
        <f>2563</f>
        <v>2563</v>
      </c>
      <c r="R300" s="32" t="s">
        <v>1017</v>
      </c>
      <c r="S300" s="33">
        <f>2566.52</f>
        <v>2566.52</v>
      </c>
      <c r="T300" s="30">
        <f>236196</f>
        <v>236196</v>
      </c>
      <c r="U300" s="30">
        <f>21002</f>
        <v>21002</v>
      </c>
      <c r="V300" s="30">
        <f>607826040</f>
        <v>607826040</v>
      </c>
      <c r="W300" s="30">
        <f>54257159</f>
        <v>54257159</v>
      </c>
      <c r="X300" s="34">
        <f>21</f>
        <v>21</v>
      </c>
    </row>
    <row r="301" spans="1:24" x14ac:dyDescent="0.15">
      <c r="A301" s="25" t="s">
        <v>1237</v>
      </c>
      <c r="B301" s="25" t="s">
        <v>839</v>
      </c>
      <c r="C301" s="25" t="s">
        <v>840</v>
      </c>
      <c r="D301" s="25" t="s">
        <v>841</v>
      </c>
      <c r="E301" s="26" t="s">
        <v>45</v>
      </c>
      <c r="F301" s="27" t="s">
        <v>45</v>
      </c>
      <c r="G301" s="28" t="s">
        <v>45</v>
      </c>
      <c r="H301" s="29"/>
      <c r="I301" s="29" t="s">
        <v>46</v>
      </c>
      <c r="J301" s="30">
        <v>1</v>
      </c>
      <c r="K301" s="31">
        <f>31700</f>
        <v>31700</v>
      </c>
      <c r="L301" s="32" t="s">
        <v>995</v>
      </c>
      <c r="M301" s="31">
        <f>31700</f>
        <v>31700</v>
      </c>
      <c r="N301" s="32" t="s">
        <v>995</v>
      </c>
      <c r="O301" s="31">
        <f>30750</f>
        <v>30750</v>
      </c>
      <c r="P301" s="32" t="s">
        <v>790</v>
      </c>
      <c r="Q301" s="31">
        <f>31450</f>
        <v>31450</v>
      </c>
      <c r="R301" s="32" t="s">
        <v>1017</v>
      </c>
      <c r="S301" s="33">
        <f>31262.5</f>
        <v>31262.5</v>
      </c>
      <c r="T301" s="30">
        <f>63</f>
        <v>63</v>
      </c>
      <c r="U301" s="30" t="str">
        <f>"－"</f>
        <v>－</v>
      </c>
      <c r="V301" s="30">
        <f>1963890</f>
        <v>1963890</v>
      </c>
      <c r="W301" s="30" t="str">
        <f>"－"</f>
        <v>－</v>
      </c>
      <c r="X301" s="34">
        <f>16</f>
        <v>16</v>
      </c>
    </row>
    <row r="302" spans="1:24" x14ac:dyDescent="0.15">
      <c r="A302" s="25" t="s">
        <v>1237</v>
      </c>
      <c r="B302" s="25" t="s">
        <v>842</v>
      </c>
      <c r="C302" s="25" t="s">
        <v>843</v>
      </c>
      <c r="D302" s="25" t="s">
        <v>844</v>
      </c>
      <c r="E302" s="26" t="s">
        <v>45</v>
      </c>
      <c r="F302" s="27" t="s">
        <v>45</v>
      </c>
      <c r="G302" s="28" t="s">
        <v>45</v>
      </c>
      <c r="H302" s="29"/>
      <c r="I302" s="29" t="s">
        <v>46</v>
      </c>
      <c r="J302" s="30">
        <v>1</v>
      </c>
      <c r="K302" s="31">
        <f>2400</f>
        <v>2400</v>
      </c>
      <c r="L302" s="32" t="s">
        <v>785</v>
      </c>
      <c r="M302" s="31">
        <f>2524</f>
        <v>2524</v>
      </c>
      <c r="N302" s="32" t="s">
        <v>794</v>
      </c>
      <c r="O302" s="31">
        <f>2361</f>
        <v>2361</v>
      </c>
      <c r="P302" s="32" t="s">
        <v>255</v>
      </c>
      <c r="Q302" s="31">
        <f>2425</f>
        <v>2425</v>
      </c>
      <c r="R302" s="32" t="s">
        <v>1017</v>
      </c>
      <c r="S302" s="33">
        <f>2399.43</f>
        <v>2399.4299999999998</v>
      </c>
      <c r="T302" s="30">
        <f>66251</f>
        <v>66251</v>
      </c>
      <c r="U302" s="30" t="str">
        <f>"－"</f>
        <v>－</v>
      </c>
      <c r="V302" s="30">
        <f>158585916</f>
        <v>158585916</v>
      </c>
      <c r="W302" s="30" t="str">
        <f>"－"</f>
        <v>－</v>
      </c>
      <c r="X302" s="34">
        <f>14</f>
        <v>14</v>
      </c>
    </row>
    <row r="303" spans="1:24" x14ac:dyDescent="0.15">
      <c r="A303" s="25" t="s">
        <v>1237</v>
      </c>
      <c r="B303" s="25" t="s">
        <v>845</v>
      </c>
      <c r="C303" s="25" t="s">
        <v>846</v>
      </c>
      <c r="D303" s="25" t="s">
        <v>847</v>
      </c>
      <c r="E303" s="26" t="s">
        <v>45</v>
      </c>
      <c r="F303" s="27" t="s">
        <v>45</v>
      </c>
      <c r="G303" s="28" t="s">
        <v>45</v>
      </c>
      <c r="H303" s="29"/>
      <c r="I303" s="29" t="s">
        <v>46</v>
      </c>
      <c r="J303" s="30">
        <v>1</v>
      </c>
      <c r="K303" s="31">
        <f>3675</f>
        <v>3675</v>
      </c>
      <c r="L303" s="32" t="s">
        <v>995</v>
      </c>
      <c r="M303" s="31">
        <f>3885</f>
        <v>3885</v>
      </c>
      <c r="N303" s="32" t="s">
        <v>255</v>
      </c>
      <c r="O303" s="31">
        <f>3510</f>
        <v>3510</v>
      </c>
      <c r="P303" s="32" t="s">
        <v>784</v>
      </c>
      <c r="Q303" s="31">
        <f>3840</f>
        <v>3840</v>
      </c>
      <c r="R303" s="32" t="s">
        <v>1017</v>
      </c>
      <c r="S303" s="33">
        <f>3708.33</f>
        <v>3708.33</v>
      </c>
      <c r="T303" s="30">
        <f>4371299</f>
        <v>4371299</v>
      </c>
      <c r="U303" s="30">
        <f>289835</f>
        <v>289835</v>
      </c>
      <c r="V303" s="30">
        <f>16190328829</f>
        <v>16190328829</v>
      </c>
      <c r="W303" s="30">
        <f>1079207344</f>
        <v>1079207344</v>
      </c>
      <c r="X303" s="34">
        <f>21</f>
        <v>21</v>
      </c>
    </row>
    <row r="304" spans="1:24" x14ac:dyDescent="0.15">
      <c r="A304" s="25" t="s">
        <v>1237</v>
      </c>
      <c r="B304" s="25" t="s">
        <v>848</v>
      </c>
      <c r="C304" s="25" t="s">
        <v>849</v>
      </c>
      <c r="D304" s="25" t="s">
        <v>850</v>
      </c>
      <c r="E304" s="26" t="s">
        <v>45</v>
      </c>
      <c r="F304" s="27" t="s">
        <v>45</v>
      </c>
      <c r="G304" s="28" t="s">
        <v>45</v>
      </c>
      <c r="H304" s="29"/>
      <c r="I304" s="29" t="s">
        <v>46</v>
      </c>
      <c r="J304" s="30">
        <v>1</v>
      </c>
      <c r="K304" s="31">
        <f>1899</f>
        <v>1899</v>
      </c>
      <c r="L304" s="32" t="s">
        <v>995</v>
      </c>
      <c r="M304" s="31">
        <f>1943</f>
        <v>1943</v>
      </c>
      <c r="N304" s="32" t="s">
        <v>1017</v>
      </c>
      <c r="O304" s="31">
        <f>1860</f>
        <v>1860</v>
      </c>
      <c r="P304" s="32" t="s">
        <v>785</v>
      </c>
      <c r="Q304" s="31">
        <f>1938</f>
        <v>1938</v>
      </c>
      <c r="R304" s="32" t="s">
        <v>1017</v>
      </c>
      <c r="S304" s="33">
        <f>1895.33</f>
        <v>1895.33</v>
      </c>
      <c r="T304" s="30">
        <f>10335</f>
        <v>10335</v>
      </c>
      <c r="U304" s="30" t="str">
        <f>"－"</f>
        <v>－</v>
      </c>
      <c r="V304" s="30">
        <f>19428636</f>
        <v>19428636</v>
      </c>
      <c r="W304" s="30" t="str">
        <f>"－"</f>
        <v>－</v>
      </c>
      <c r="X304" s="34">
        <f>21</f>
        <v>21</v>
      </c>
    </row>
    <row r="305" spans="1:24" x14ac:dyDescent="0.15">
      <c r="A305" s="25" t="s">
        <v>1237</v>
      </c>
      <c r="B305" s="25" t="s">
        <v>851</v>
      </c>
      <c r="C305" s="25" t="s">
        <v>852</v>
      </c>
      <c r="D305" s="25" t="s">
        <v>853</v>
      </c>
      <c r="E305" s="26" t="s">
        <v>45</v>
      </c>
      <c r="F305" s="27" t="s">
        <v>45</v>
      </c>
      <c r="G305" s="28" t="s">
        <v>45</v>
      </c>
      <c r="H305" s="29"/>
      <c r="I305" s="29" t="s">
        <v>46</v>
      </c>
      <c r="J305" s="30">
        <v>1</v>
      </c>
      <c r="K305" s="31">
        <f>1707</f>
        <v>1707</v>
      </c>
      <c r="L305" s="32" t="s">
        <v>995</v>
      </c>
      <c r="M305" s="31">
        <f>1710</f>
        <v>1710</v>
      </c>
      <c r="N305" s="32" t="s">
        <v>78</v>
      </c>
      <c r="O305" s="31">
        <f>1618</f>
        <v>1618</v>
      </c>
      <c r="P305" s="32" t="s">
        <v>1005</v>
      </c>
      <c r="Q305" s="31">
        <f>1686</f>
        <v>1686</v>
      </c>
      <c r="R305" s="32" t="s">
        <v>1017</v>
      </c>
      <c r="S305" s="33">
        <f>1670.52</f>
        <v>1670.52</v>
      </c>
      <c r="T305" s="30">
        <f>2928</f>
        <v>2928</v>
      </c>
      <c r="U305" s="30" t="str">
        <f>"－"</f>
        <v>－</v>
      </c>
      <c r="V305" s="30">
        <f>4904368</f>
        <v>4904368</v>
      </c>
      <c r="W305" s="30" t="str">
        <f>"－"</f>
        <v>－</v>
      </c>
      <c r="X305" s="34">
        <f>21</f>
        <v>21</v>
      </c>
    </row>
    <row r="306" spans="1:24" x14ac:dyDescent="0.15">
      <c r="A306" s="25" t="s">
        <v>1237</v>
      </c>
      <c r="B306" s="25" t="s">
        <v>854</v>
      </c>
      <c r="C306" s="25" t="s">
        <v>855</v>
      </c>
      <c r="D306" s="25" t="s">
        <v>856</v>
      </c>
      <c r="E306" s="26" t="s">
        <v>45</v>
      </c>
      <c r="F306" s="27" t="s">
        <v>45</v>
      </c>
      <c r="G306" s="28" t="s">
        <v>45</v>
      </c>
      <c r="H306" s="29"/>
      <c r="I306" s="29" t="s">
        <v>46</v>
      </c>
      <c r="J306" s="30">
        <v>10</v>
      </c>
      <c r="K306" s="31">
        <f>5436</f>
        <v>5436</v>
      </c>
      <c r="L306" s="32" t="s">
        <v>995</v>
      </c>
      <c r="M306" s="31">
        <f>6272</f>
        <v>6272</v>
      </c>
      <c r="N306" s="32" t="s">
        <v>789</v>
      </c>
      <c r="O306" s="31">
        <f>5285</f>
        <v>5285</v>
      </c>
      <c r="P306" s="32" t="s">
        <v>1000</v>
      </c>
      <c r="Q306" s="31">
        <f>5357</f>
        <v>5357</v>
      </c>
      <c r="R306" s="32" t="s">
        <v>1017</v>
      </c>
      <c r="S306" s="33">
        <f>5373.25</f>
        <v>5373.25</v>
      </c>
      <c r="T306" s="30">
        <f>209840</f>
        <v>209840</v>
      </c>
      <c r="U306" s="30">
        <f>96000</f>
        <v>96000</v>
      </c>
      <c r="V306" s="30">
        <f>1126285840</f>
        <v>1126285840</v>
      </c>
      <c r="W306" s="30">
        <f>518401600</f>
        <v>518401600</v>
      </c>
      <c r="X306" s="34">
        <f>20</f>
        <v>20</v>
      </c>
    </row>
    <row r="307" spans="1:24" x14ac:dyDescent="0.15">
      <c r="A307" s="25" t="s">
        <v>1237</v>
      </c>
      <c r="B307" s="25" t="s">
        <v>857</v>
      </c>
      <c r="C307" s="25" t="s">
        <v>858</v>
      </c>
      <c r="D307" s="25" t="s">
        <v>859</v>
      </c>
      <c r="E307" s="26" t="s">
        <v>45</v>
      </c>
      <c r="F307" s="27" t="s">
        <v>45</v>
      </c>
      <c r="G307" s="28" t="s">
        <v>45</v>
      </c>
      <c r="H307" s="29"/>
      <c r="I307" s="29" t="s">
        <v>46</v>
      </c>
      <c r="J307" s="30">
        <v>10</v>
      </c>
      <c r="K307" s="31">
        <f>3889</f>
        <v>3889</v>
      </c>
      <c r="L307" s="32" t="s">
        <v>995</v>
      </c>
      <c r="M307" s="31">
        <f>4059</f>
        <v>4059</v>
      </c>
      <c r="N307" s="32" t="s">
        <v>789</v>
      </c>
      <c r="O307" s="31">
        <f>3799</f>
        <v>3799</v>
      </c>
      <c r="P307" s="32" t="s">
        <v>794</v>
      </c>
      <c r="Q307" s="31">
        <f>3911</f>
        <v>3911</v>
      </c>
      <c r="R307" s="32" t="s">
        <v>1017</v>
      </c>
      <c r="S307" s="33">
        <f>3862.19</f>
        <v>3862.19</v>
      </c>
      <c r="T307" s="30">
        <f>4017740</f>
        <v>4017740</v>
      </c>
      <c r="U307" s="30">
        <f>3728200</f>
        <v>3728200</v>
      </c>
      <c r="V307" s="30">
        <f>15706039110</f>
        <v>15706039110</v>
      </c>
      <c r="W307" s="30">
        <f>14581409940</f>
        <v>14581409940</v>
      </c>
      <c r="X307" s="34">
        <f>21</f>
        <v>21</v>
      </c>
    </row>
    <row r="308" spans="1:24" x14ac:dyDescent="0.15">
      <c r="A308" s="25" t="s">
        <v>1237</v>
      </c>
      <c r="B308" s="25" t="s">
        <v>860</v>
      </c>
      <c r="C308" s="25" t="s">
        <v>861</v>
      </c>
      <c r="D308" s="25" t="s">
        <v>862</v>
      </c>
      <c r="E308" s="26" t="s">
        <v>45</v>
      </c>
      <c r="F308" s="27" t="s">
        <v>45</v>
      </c>
      <c r="G308" s="28" t="s">
        <v>45</v>
      </c>
      <c r="H308" s="29"/>
      <c r="I308" s="29" t="s">
        <v>46</v>
      </c>
      <c r="J308" s="30">
        <v>10</v>
      </c>
      <c r="K308" s="31">
        <f>642.5</f>
        <v>642.5</v>
      </c>
      <c r="L308" s="32" t="s">
        <v>995</v>
      </c>
      <c r="M308" s="31">
        <f>663.2</f>
        <v>663.2</v>
      </c>
      <c r="N308" s="32" t="s">
        <v>1017</v>
      </c>
      <c r="O308" s="31">
        <f>642</f>
        <v>642</v>
      </c>
      <c r="P308" s="32" t="s">
        <v>995</v>
      </c>
      <c r="Q308" s="31">
        <f>660.6</f>
        <v>660.6</v>
      </c>
      <c r="R308" s="32" t="s">
        <v>1017</v>
      </c>
      <c r="S308" s="33">
        <f>654.45</f>
        <v>654.45000000000005</v>
      </c>
      <c r="T308" s="30">
        <f>33370</f>
        <v>33370</v>
      </c>
      <c r="U308" s="30" t="str">
        <f>"－"</f>
        <v>－</v>
      </c>
      <c r="V308" s="30">
        <f>21914722</f>
        <v>21914722</v>
      </c>
      <c r="W308" s="30" t="str">
        <f>"－"</f>
        <v>－</v>
      </c>
      <c r="X308" s="34">
        <f>21</f>
        <v>21</v>
      </c>
    </row>
    <row r="309" spans="1:24" x14ac:dyDescent="0.15">
      <c r="A309" s="25" t="s">
        <v>1237</v>
      </c>
      <c r="B309" s="25" t="s">
        <v>863</v>
      </c>
      <c r="C309" s="25" t="s">
        <v>864</v>
      </c>
      <c r="D309" s="25" t="s">
        <v>865</v>
      </c>
      <c r="E309" s="26" t="s">
        <v>45</v>
      </c>
      <c r="F309" s="27" t="s">
        <v>45</v>
      </c>
      <c r="G309" s="28" t="s">
        <v>45</v>
      </c>
      <c r="H309" s="29"/>
      <c r="I309" s="29" t="s">
        <v>46</v>
      </c>
      <c r="J309" s="30">
        <v>1</v>
      </c>
      <c r="K309" s="31">
        <f>2238</f>
        <v>2238</v>
      </c>
      <c r="L309" s="32" t="s">
        <v>995</v>
      </c>
      <c r="M309" s="31">
        <f>2274</f>
        <v>2274</v>
      </c>
      <c r="N309" s="32" t="s">
        <v>1017</v>
      </c>
      <c r="O309" s="31">
        <f>2120</f>
        <v>2120</v>
      </c>
      <c r="P309" s="32" t="s">
        <v>56</v>
      </c>
      <c r="Q309" s="31">
        <f>2259</f>
        <v>2259</v>
      </c>
      <c r="R309" s="32" t="s">
        <v>1017</v>
      </c>
      <c r="S309" s="33">
        <f>2184.76</f>
        <v>2184.7600000000002</v>
      </c>
      <c r="T309" s="30">
        <f>8235</f>
        <v>8235</v>
      </c>
      <c r="U309" s="30" t="str">
        <f>"－"</f>
        <v>－</v>
      </c>
      <c r="V309" s="30">
        <f>17885695</f>
        <v>17885695</v>
      </c>
      <c r="W309" s="30" t="str">
        <f>"－"</f>
        <v>－</v>
      </c>
      <c r="X309" s="34">
        <f>21</f>
        <v>21</v>
      </c>
    </row>
    <row r="310" spans="1:24" x14ac:dyDescent="0.15">
      <c r="A310" s="25" t="s">
        <v>1237</v>
      </c>
      <c r="B310" s="25" t="s">
        <v>866</v>
      </c>
      <c r="C310" s="25" t="s">
        <v>1184</v>
      </c>
      <c r="D310" s="25" t="s">
        <v>1183</v>
      </c>
      <c r="E310" s="26" t="s">
        <v>45</v>
      </c>
      <c r="F310" s="27" t="s">
        <v>45</v>
      </c>
      <c r="G310" s="28" t="s">
        <v>45</v>
      </c>
      <c r="H310" s="29"/>
      <c r="I310" s="29" t="s">
        <v>46</v>
      </c>
      <c r="J310" s="30">
        <v>1</v>
      </c>
      <c r="K310" s="31">
        <f>2087</f>
        <v>2087</v>
      </c>
      <c r="L310" s="32" t="s">
        <v>995</v>
      </c>
      <c r="M310" s="31">
        <f>2148</f>
        <v>2148</v>
      </c>
      <c r="N310" s="32" t="s">
        <v>789</v>
      </c>
      <c r="O310" s="31">
        <f>2033</f>
        <v>2033</v>
      </c>
      <c r="P310" s="32" t="s">
        <v>78</v>
      </c>
      <c r="Q310" s="31">
        <f>2109</f>
        <v>2109</v>
      </c>
      <c r="R310" s="32" t="s">
        <v>1017</v>
      </c>
      <c r="S310" s="33">
        <f>2080.48</f>
        <v>2080.48</v>
      </c>
      <c r="T310" s="30">
        <f>25811</f>
        <v>25811</v>
      </c>
      <c r="U310" s="30" t="str">
        <f>"－"</f>
        <v>－</v>
      </c>
      <c r="V310" s="30">
        <f>54169945</f>
        <v>54169945</v>
      </c>
      <c r="W310" s="30" t="str">
        <f>"－"</f>
        <v>－</v>
      </c>
      <c r="X310" s="34">
        <f>21</f>
        <v>21</v>
      </c>
    </row>
    <row r="311" spans="1:24" x14ac:dyDescent="0.15">
      <c r="A311" s="25" t="s">
        <v>1237</v>
      </c>
      <c r="B311" s="25" t="s">
        <v>869</v>
      </c>
      <c r="C311" s="25" t="s">
        <v>870</v>
      </c>
      <c r="D311" s="25" t="s">
        <v>871</v>
      </c>
      <c r="E311" s="26" t="s">
        <v>45</v>
      </c>
      <c r="F311" s="27" t="s">
        <v>45</v>
      </c>
      <c r="G311" s="28" t="s">
        <v>45</v>
      </c>
      <c r="H311" s="29"/>
      <c r="I311" s="29" t="s">
        <v>46</v>
      </c>
      <c r="J311" s="30">
        <v>1</v>
      </c>
      <c r="K311" s="31">
        <f>8074</f>
        <v>8074</v>
      </c>
      <c r="L311" s="32" t="s">
        <v>995</v>
      </c>
      <c r="M311" s="31">
        <f>8139</f>
        <v>8139</v>
      </c>
      <c r="N311" s="32" t="s">
        <v>1003</v>
      </c>
      <c r="O311" s="31">
        <f>7730</f>
        <v>7730</v>
      </c>
      <c r="P311" s="32" t="s">
        <v>784</v>
      </c>
      <c r="Q311" s="31">
        <f>7997</f>
        <v>7997</v>
      </c>
      <c r="R311" s="32" t="s">
        <v>1017</v>
      </c>
      <c r="S311" s="33">
        <f>8020.05</f>
        <v>8020.05</v>
      </c>
      <c r="T311" s="30">
        <f>280959</f>
        <v>280959</v>
      </c>
      <c r="U311" s="30">
        <f>218101</f>
        <v>218101</v>
      </c>
      <c r="V311" s="30">
        <f>2262844681</f>
        <v>2262844681</v>
      </c>
      <c r="W311" s="30">
        <f>1760464010</f>
        <v>1760464010</v>
      </c>
      <c r="X311" s="34">
        <f>21</f>
        <v>21</v>
      </c>
    </row>
    <row r="312" spans="1:24" x14ac:dyDescent="0.15">
      <c r="A312" s="25" t="s">
        <v>1237</v>
      </c>
      <c r="B312" s="25" t="s">
        <v>872</v>
      </c>
      <c r="C312" s="25" t="s">
        <v>873</v>
      </c>
      <c r="D312" s="25" t="s">
        <v>874</v>
      </c>
      <c r="E312" s="26" t="s">
        <v>45</v>
      </c>
      <c r="F312" s="27" t="s">
        <v>45</v>
      </c>
      <c r="G312" s="28" t="s">
        <v>45</v>
      </c>
      <c r="H312" s="29"/>
      <c r="I312" s="29" t="s">
        <v>46</v>
      </c>
      <c r="J312" s="30">
        <v>1</v>
      </c>
      <c r="K312" s="31">
        <f>5650</f>
        <v>5650</v>
      </c>
      <c r="L312" s="32" t="s">
        <v>995</v>
      </c>
      <c r="M312" s="31">
        <f>5851</f>
        <v>5851</v>
      </c>
      <c r="N312" s="32" t="s">
        <v>997</v>
      </c>
      <c r="O312" s="31">
        <f>5578</f>
        <v>5578</v>
      </c>
      <c r="P312" s="32" t="s">
        <v>784</v>
      </c>
      <c r="Q312" s="31">
        <f>5828</f>
        <v>5828</v>
      </c>
      <c r="R312" s="32" t="s">
        <v>1017</v>
      </c>
      <c r="S312" s="33">
        <f>5755.38</f>
        <v>5755.38</v>
      </c>
      <c r="T312" s="30">
        <f>41988</f>
        <v>41988</v>
      </c>
      <c r="U312" s="30" t="str">
        <f>"－"</f>
        <v>－</v>
      </c>
      <c r="V312" s="30">
        <f>242359617</f>
        <v>242359617</v>
      </c>
      <c r="W312" s="30" t="str">
        <f>"－"</f>
        <v>－</v>
      </c>
      <c r="X312" s="34">
        <f>21</f>
        <v>21</v>
      </c>
    </row>
    <row r="313" spans="1:24" x14ac:dyDescent="0.15">
      <c r="A313" s="25" t="s">
        <v>1237</v>
      </c>
      <c r="B313" s="25" t="s">
        <v>878</v>
      </c>
      <c r="C313" s="25" t="s">
        <v>879</v>
      </c>
      <c r="D313" s="25" t="s">
        <v>880</v>
      </c>
      <c r="E313" s="26" t="s">
        <v>45</v>
      </c>
      <c r="F313" s="27" t="s">
        <v>45</v>
      </c>
      <c r="G313" s="28" t="s">
        <v>45</v>
      </c>
      <c r="H313" s="29"/>
      <c r="I313" s="29" t="s">
        <v>46</v>
      </c>
      <c r="J313" s="30">
        <v>1</v>
      </c>
      <c r="K313" s="31">
        <f>21965</f>
        <v>21965</v>
      </c>
      <c r="L313" s="32" t="s">
        <v>995</v>
      </c>
      <c r="M313" s="31">
        <f>22540</f>
        <v>22540</v>
      </c>
      <c r="N313" s="32" t="s">
        <v>80</v>
      </c>
      <c r="O313" s="31">
        <f>21255</f>
        <v>21255</v>
      </c>
      <c r="P313" s="32" t="s">
        <v>1000</v>
      </c>
      <c r="Q313" s="31">
        <f>22200</f>
        <v>22200</v>
      </c>
      <c r="R313" s="32" t="s">
        <v>1017</v>
      </c>
      <c r="S313" s="33">
        <f>22006.43</f>
        <v>22006.43</v>
      </c>
      <c r="T313" s="30">
        <f>865872</f>
        <v>865872</v>
      </c>
      <c r="U313" s="30" t="str">
        <f>"－"</f>
        <v>－</v>
      </c>
      <c r="V313" s="30">
        <f>19049901515</f>
        <v>19049901515</v>
      </c>
      <c r="W313" s="30" t="str">
        <f>"－"</f>
        <v>－</v>
      </c>
      <c r="X313" s="34">
        <f>21</f>
        <v>21</v>
      </c>
    </row>
    <row r="314" spans="1:24" x14ac:dyDescent="0.15">
      <c r="A314" s="25" t="s">
        <v>1237</v>
      </c>
      <c r="B314" s="25" t="s">
        <v>881</v>
      </c>
      <c r="C314" s="25" t="s">
        <v>882</v>
      </c>
      <c r="D314" s="25" t="s">
        <v>883</v>
      </c>
      <c r="E314" s="26" t="s">
        <v>45</v>
      </c>
      <c r="F314" s="27" t="s">
        <v>45</v>
      </c>
      <c r="G314" s="28" t="s">
        <v>45</v>
      </c>
      <c r="H314" s="29"/>
      <c r="I314" s="29" t="s">
        <v>46</v>
      </c>
      <c r="J314" s="30">
        <v>1</v>
      </c>
      <c r="K314" s="31">
        <f>10310</f>
        <v>10310</v>
      </c>
      <c r="L314" s="32" t="s">
        <v>995</v>
      </c>
      <c r="M314" s="31">
        <f>10915</f>
        <v>10915</v>
      </c>
      <c r="N314" s="32" t="s">
        <v>789</v>
      </c>
      <c r="O314" s="31">
        <f>10205</f>
        <v>10205</v>
      </c>
      <c r="P314" s="32" t="s">
        <v>1003</v>
      </c>
      <c r="Q314" s="31">
        <f>10870</f>
        <v>10870</v>
      </c>
      <c r="R314" s="32" t="s">
        <v>1017</v>
      </c>
      <c r="S314" s="33">
        <f>10603.81</f>
        <v>10603.81</v>
      </c>
      <c r="T314" s="30">
        <f>1242972</f>
        <v>1242972</v>
      </c>
      <c r="U314" s="30">
        <f>193742</f>
        <v>193742</v>
      </c>
      <c r="V314" s="30">
        <f>13136835229</f>
        <v>13136835229</v>
      </c>
      <c r="W314" s="30">
        <f>2072903874</f>
        <v>2072903874</v>
      </c>
      <c r="X314" s="34">
        <f>21</f>
        <v>21</v>
      </c>
    </row>
    <row r="315" spans="1:24" x14ac:dyDescent="0.15">
      <c r="A315" s="25" t="s">
        <v>1237</v>
      </c>
      <c r="B315" s="25" t="s">
        <v>884</v>
      </c>
      <c r="C315" s="25" t="s">
        <v>885</v>
      </c>
      <c r="D315" s="25" t="s">
        <v>886</v>
      </c>
      <c r="E315" s="26" t="s">
        <v>45</v>
      </c>
      <c r="F315" s="27" t="s">
        <v>45</v>
      </c>
      <c r="G315" s="28" t="s">
        <v>45</v>
      </c>
      <c r="H315" s="29"/>
      <c r="I315" s="29" t="s">
        <v>46</v>
      </c>
      <c r="J315" s="30">
        <v>1</v>
      </c>
      <c r="K315" s="31">
        <f>22965</f>
        <v>22965</v>
      </c>
      <c r="L315" s="32" t="s">
        <v>995</v>
      </c>
      <c r="M315" s="31">
        <f>23205</f>
        <v>23205</v>
      </c>
      <c r="N315" s="32" t="s">
        <v>1003</v>
      </c>
      <c r="O315" s="31">
        <f>21620</f>
        <v>21620</v>
      </c>
      <c r="P315" s="32" t="s">
        <v>997</v>
      </c>
      <c r="Q315" s="31">
        <f>21690</f>
        <v>21690</v>
      </c>
      <c r="R315" s="32" t="s">
        <v>1017</v>
      </c>
      <c r="S315" s="33">
        <f>22308.57</f>
        <v>22308.57</v>
      </c>
      <c r="T315" s="30">
        <f>128624</f>
        <v>128624</v>
      </c>
      <c r="U315" s="30">
        <f>12</f>
        <v>12</v>
      </c>
      <c r="V315" s="30">
        <f>2898439310</f>
        <v>2898439310</v>
      </c>
      <c r="W315" s="30">
        <f>264320</f>
        <v>264320</v>
      </c>
      <c r="X315" s="34">
        <f>21</f>
        <v>21</v>
      </c>
    </row>
    <row r="316" spans="1:24" x14ac:dyDescent="0.15">
      <c r="A316" s="25" t="s">
        <v>1237</v>
      </c>
      <c r="B316" s="25" t="s">
        <v>887</v>
      </c>
      <c r="C316" s="25" t="s">
        <v>888</v>
      </c>
      <c r="D316" s="25" t="s">
        <v>889</v>
      </c>
      <c r="E316" s="26" t="s">
        <v>45</v>
      </c>
      <c r="F316" s="27" t="s">
        <v>45</v>
      </c>
      <c r="G316" s="28" t="s">
        <v>45</v>
      </c>
      <c r="H316" s="29"/>
      <c r="I316" s="29" t="s">
        <v>46</v>
      </c>
      <c r="J316" s="30">
        <v>10</v>
      </c>
      <c r="K316" s="31">
        <f>4255</f>
        <v>4255</v>
      </c>
      <c r="L316" s="32" t="s">
        <v>785</v>
      </c>
      <c r="M316" s="31">
        <f>4255</f>
        <v>4255</v>
      </c>
      <c r="N316" s="32" t="s">
        <v>785</v>
      </c>
      <c r="O316" s="31">
        <f>4088</f>
        <v>4088</v>
      </c>
      <c r="P316" s="32" t="s">
        <v>785</v>
      </c>
      <c r="Q316" s="31">
        <f>4245</f>
        <v>4245</v>
      </c>
      <c r="R316" s="32" t="s">
        <v>997</v>
      </c>
      <c r="S316" s="33">
        <f>4170.15</f>
        <v>4170.1499999999996</v>
      </c>
      <c r="T316" s="30">
        <f>369260</f>
        <v>369260</v>
      </c>
      <c r="U316" s="30">
        <f>328000</f>
        <v>328000</v>
      </c>
      <c r="V316" s="30">
        <f>1549335660</f>
        <v>1549335660</v>
      </c>
      <c r="W316" s="30">
        <f>1374936450</f>
        <v>1374936450</v>
      </c>
      <c r="X316" s="34">
        <f>13</f>
        <v>13</v>
      </c>
    </row>
    <row r="317" spans="1:24" x14ac:dyDescent="0.15">
      <c r="A317" s="25" t="s">
        <v>1237</v>
      </c>
      <c r="B317" s="25" t="s">
        <v>890</v>
      </c>
      <c r="C317" s="25" t="s">
        <v>891</v>
      </c>
      <c r="D317" s="25" t="s">
        <v>892</v>
      </c>
      <c r="E317" s="26" t="s">
        <v>45</v>
      </c>
      <c r="F317" s="27" t="s">
        <v>45</v>
      </c>
      <c r="G317" s="28" t="s">
        <v>45</v>
      </c>
      <c r="H317" s="29"/>
      <c r="I317" s="29" t="s">
        <v>46</v>
      </c>
      <c r="J317" s="30">
        <v>10</v>
      </c>
      <c r="K317" s="31">
        <f>5020</f>
        <v>5020</v>
      </c>
      <c r="L317" s="32" t="s">
        <v>995</v>
      </c>
      <c r="M317" s="31">
        <f>5205</f>
        <v>5205</v>
      </c>
      <c r="N317" s="32" t="s">
        <v>789</v>
      </c>
      <c r="O317" s="31">
        <f>4899</f>
        <v>4899</v>
      </c>
      <c r="P317" s="32" t="s">
        <v>1000</v>
      </c>
      <c r="Q317" s="31">
        <f>5168</f>
        <v>5168</v>
      </c>
      <c r="R317" s="32" t="s">
        <v>1017</v>
      </c>
      <c r="S317" s="33">
        <f>5066.14</f>
        <v>5066.1400000000003</v>
      </c>
      <c r="T317" s="30">
        <f>105840</f>
        <v>105840</v>
      </c>
      <c r="U317" s="30">
        <f>98520</f>
        <v>98520</v>
      </c>
      <c r="V317" s="30">
        <f>537954010</f>
        <v>537954010</v>
      </c>
      <c r="W317" s="30">
        <f>500696390</f>
        <v>500696390</v>
      </c>
      <c r="X317" s="34">
        <f>21</f>
        <v>21</v>
      </c>
    </row>
    <row r="318" spans="1:24" x14ac:dyDescent="0.15">
      <c r="A318" s="25" t="s">
        <v>1237</v>
      </c>
      <c r="B318" s="25" t="s">
        <v>902</v>
      </c>
      <c r="C318" s="25" t="s">
        <v>903</v>
      </c>
      <c r="D318" s="25" t="s">
        <v>904</v>
      </c>
      <c r="E318" s="26" t="s">
        <v>45</v>
      </c>
      <c r="F318" s="27" t="s">
        <v>45</v>
      </c>
      <c r="G318" s="28" t="s">
        <v>45</v>
      </c>
      <c r="H318" s="29"/>
      <c r="I318" s="29" t="s">
        <v>46</v>
      </c>
      <c r="J318" s="30">
        <v>10</v>
      </c>
      <c r="K318" s="31">
        <f>2153</f>
        <v>2153</v>
      </c>
      <c r="L318" s="32" t="s">
        <v>995</v>
      </c>
      <c r="M318" s="31">
        <f>2279.5</f>
        <v>2279.5</v>
      </c>
      <c r="N318" s="32" t="s">
        <v>997</v>
      </c>
      <c r="O318" s="31">
        <f>2131</f>
        <v>2131</v>
      </c>
      <c r="P318" s="32" t="s">
        <v>1003</v>
      </c>
      <c r="Q318" s="31">
        <f>2274</f>
        <v>2274</v>
      </c>
      <c r="R318" s="32" t="s">
        <v>1017</v>
      </c>
      <c r="S318" s="33">
        <f>2214.76</f>
        <v>2214.7600000000002</v>
      </c>
      <c r="T318" s="30">
        <f>3845320</f>
        <v>3845320</v>
      </c>
      <c r="U318" s="30">
        <f>1113360</f>
        <v>1113360</v>
      </c>
      <c r="V318" s="30">
        <f>8538548710</f>
        <v>8538548710</v>
      </c>
      <c r="W318" s="30">
        <f>2510970420</f>
        <v>2510970420</v>
      </c>
      <c r="X318" s="34">
        <f>21</f>
        <v>21</v>
      </c>
    </row>
    <row r="319" spans="1:24" x14ac:dyDescent="0.15">
      <c r="A319" s="25" t="s">
        <v>1237</v>
      </c>
      <c r="B319" s="25" t="s">
        <v>905</v>
      </c>
      <c r="C319" s="25" t="s">
        <v>906</v>
      </c>
      <c r="D319" s="25" t="s">
        <v>907</v>
      </c>
      <c r="E319" s="26" t="s">
        <v>45</v>
      </c>
      <c r="F319" s="27" t="s">
        <v>45</v>
      </c>
      <c r="G319" s="28" t="s">
        <v>45</v>
      </c>
      <c r="H319" s="29"/>
      <c r="I319" s="29" t="s">
        <v>46</v>
      </c>
      <c r="J319" s="30">
        <v>10</v>
      </c>
      <c r="K319" s="31">
        <f>1970</f>
        <v>1970</v>
      </c>
      <c r="L319" s="32" t="s">
        <v>995</v>
      </c>
      <c r="M319" s="31">
        <f>2060</f>
        <v>2060</v>
      </c>
      <c r="N319" s="32" t="s">
        <v>997</v>
      </c>
      <c r="O319" s="31">
        <f>1968</f>
        <v>1968</v>
      </c>
      <c r="P319" s="32" t="s">
        <v>995</v>
      </c>
      <c r="Q319" s="31">
        <f>2056.5</f>
        <v>2056.5</v>
      </c>
      <c r="R319" s="32" t="s">
        <v>1017</v>
      </c>
      <c r="S319" s="33">
        <f>2016.93</f>
        <v>2016.93</v>
      </c>
      <c r="T319" s="30">
        <f>2160480</f>
        <v>2160480</v>
      </c>
      <c r="U319" s="30">
        <f>1426000</f>
        <v>1426000</v>
      </c>
      <c r="V319" s="30">
        <f>4313188590</f>
        <v>4313188590</v>
      </c>
      <c r="W319" s="30">
        <f>2835255390</f>
        <v>2835255390</v>
      </c>
      <c r="X319" s="34">
        <f>21</f>
        <v>21</v>
      </c>
    </row>
    <row r="320" spans="1:24" x14ac:dyDescent="0.15">
      <c r="A320" s="25" t="s">
        <v>1237</v>
      </c>
      <c r="B320" s="25" t="s">
        <v>908</v>
      </c>
      <c r="C320" s="25" t="s">
        <v>909</v>
      </c>
      <c r="D320" s="25" t="s">
        <v>910</v>
      </c>
      <c r="E320" s="26" t="s">
        <v>45</v>
      </c>
      <c r="F320" s="27" t="s">
        <v>45</v>
      </c>
      <c r="G320" s="28" t="s">
        <v>45</v>
      </c>
      <c r="H320" s="29"/>
      <c r="I320" s="29" t="s">
        <v>46</v>
      </c>
      <c r="J320" s="30">
        <v>1</v>
      </c>
      <c r="K320" s="31">
        <f>1770</f>
        <v>1770</v>
      </c>
      <c r="L320" s="32" t="s">
        <v>995</v>
      </c>
      <c r="M320" s="31">
        <f>1813</f>
        <v>1813</v>
      </c>
      <c r="N320" s="32" t="s">
        <v>995</v>
      </c>
      <c r="O320" s="31">
        <f>1746</f>
        <v>1746</v>
      </c>
      <c r="P320" s="32" t="s">
        <v>1005</v>
      </c>
      <c r="Q320" s="31">
        <f>1777</f>
        <v>1777</v>
      </c>
      <c r="R320" s="32" t="s">
        <v>1017</v>
      </c>
      <c r="S320" s="33">
        <f>1773.33</f>
        <v>1773.33</v>
      </c>
      <c r="T320" s="30">
        <f>3519</f>
        <v>3519</v>
      </c>
      <c r="U320" s="30" t="str">
        <f>"－"</f>
        <v>－</v>
      </c>
      <c r="V320" s="30">
        <f>6216798</f>
        <v>6216798</v>
      </c>
      <c r="W320" s="30" t="str">
        <f>"－"</f>
        <v>－</v>
      </c>
      <c r="X320" s="34">
        <f>21</f>
        <v>21</v>
      </c>
    </row>
    <row r="321" spans="1:24" x14ac:dyDescent="0.15">
      <c r="A321" s="25" t="s">
        <v>1237</v>
      </c>
      <c r="B321" s="25" t="s">
        <v>911</v>
      </c>
      <c r="C321" s="25" t="s">
        <v>912</v>
      </c>
      <c r="D321" s="25" t="s">
        <v>913</v>
      </c>
      <c r="E321" s="26" t="s">
        <v>45</v>
      </c>
      <c r="F321" s="27" t="s">
        <v>45</v>
      </c>
      <c r="G321" s="28" t="s">
        <v>45</v>
      </c>
      <c r="H321" s="29"/>
      <c r="I321" s="29" t="s">
        <v>46</v>
      </c>
      <c r="J321" s="30">
        <v>1</v>
      </c>
      <c r="K321" s="31">
        <f>1838</f>
        <v>1838</v>
      </c>
      <c r="L321" s="32" t="s">
        <v>995</v>
      </c>
      <c r="M321" s="31">
        <f>1900</f>
        <v>1900</v>
      </c>
      <c r="N321" s="32" t="s">
        <v>1000</v>
      </c>
      <c r="O321" s="31">
        <f>1766</f>
        <v>1766</v>
      </c>
      <c r="P321" s="32" t="s">
        <v>255</v>
      </c>
      <c r="Q321" s="31">
        <f>1821</f>
        <v>1821</v>
      </c>
      <c r="R321" s="32" t="s">
        <v>1017</v>
      </c>
      <c r="S321" s="33">
        <f>1810.87</f>
        <v>1810.87</v>
      </c>
      <c r="T321" s="30">
        <f>16780</f>
        <v>16780</v>
      </c>
      <c r="U321" s="30" t="str">
        <f>"－"</f>
        <v>－</v>
      </c>
      <c r="V321" s="30">
        <f>30266961</f>
        <v>30266961</v>
      </c>
      <c r="W321" s="30" t="str">
        <f>"－"</f>
        <v>－</v>
      </c>
      <c r="X321" s="34">
        <f>15</f>
        <v>15</v>
      </c>
    </row>
    <row r="322" spans="1:24" x14ac:dyDescent="0.15">
      <c r="A322" s="25" t="s">
        <v>1237</v>
      </c>
      <c r="B322" s="25" t="s">
        <v>914</v>
      </c>
      <c r="C322" s="25" t="s">
        <v>915</v>
      </c>
      <c r="D322" s="25" t="s">
        <v>916</v>
      </c>
      <c r="E322" s="26" t="s">
        <v>45</v>
      </c>
      <c r="F322" s="27" t="s">
        <v>45</v>
      </c>
      <c r="G322" s="28" t="s">
        <v>45</v>
      </c>
      <c r="H322" s="29"/>
      <c r="I322" s="29" t="s">
        <v>46</v>
      </c>
      <c r="J322" s="30">
        <v>1</v>
      </c>
      <c r="K322" s="31">
        <f>3885</f>
        <v>3885</v>
      </c>
      <c r="L322" s="32" t="s">
        <v>995</v>
      </c>
      <c r="M322" s="31">
        <f>3915</f>
        <v>3915</v>
      </c>
      <c r="N322" s="32" t="s">
        <v>997</v>
      </c>
      <c r="O322" s="31">
        <f>3780</f>
        <v>3780</v>
      </c>
      <c r="P322" s="32" t="s">
        <v>788</v>
      </c>
      <c r="Q322" s="31">
        <f>3900</f>
        <v>3900</v>
      </c>
      <c r="R322" s="32" t="s">
        <v>1017</v>
      </c>
      <c r="S322" s="33">
        <f>3860</f>
        <v>3860</v>
      </c>
      <c r="T322" s="30">
        <f>39266</f>
        <v>39266</v>
      </c>
      <c r="U322" s="30" t="str">
        <f>"－"</f>
        <v>－</v>
      </c>
      <c r="V322" s="30">
        <f>149472635</f>
        <v>149472635</v>
      </c>
      <c r="W322" s="30" t="str">
        <f>"－"</f>
        <v>－</v>
      </c>
      <c r="X322" s="34">
        <f>21</f>
        <v>21</v>
      </c>
    </row>
    <row r="323" spans="1:24" x14ac:dyDescent="0.15">
      <c r="A323" s="25" t="s">
        <v>1237</v>
      </c>
      <c r="B323" s="25" t="s">
        <v>917</v>
      </c>
      <c r="C323" s="25" t="s">
        <v>918</v>
      </c>
      <c r="D323" s="25" t="s">
        <v>919</v>
      </c>
      <c r="E323" s="26" t="s">
        <v>45</v>
      </c>
      <c r="F323" s="27" t="s">
        <v>45</v>
      </c>
      <c r="G323" s="28" t="s">
        <v>45</v>
      </c>
      <c r="H323" s="29"/>
      <c r="I323" s="29" t="s">
        <v>46</v>
      </c>
      <c r="J323" s="30">
        <v>10</v>
      </c>
      <c r="K323" s="31">
        <f>2317.5</f>
        <v>2317.5</v>
      </c>
      <c r="L323" s="32" t="s">
        <v>1000</v>
      </c>
      <c r="M323" s="31">
        <f>2367.5</f>
        <v>2367.5</v>
      </c>
      <c r="N323" s="32" t="s">
        <v>1017</v>
      </c>
      <c r="O323" s="31">
        <f>2300</f>
        <v>2300</v>
      </c>
      <c r="P323" s="32" t="s">
        <v>1002</v>
      </c>
      <c r="Q323" s="31">
        <f>2358.5</f>
        <v>2358.5</v>
      </c>
      <c r="R323" s="32" t="s">
        <v>1017</v>
      </c>
      <c r="S323" s="33">
        <f>2343.75</f>
        <v>2343.75</v>
      </c>
      <c r="T323" s="30">
        <f>10350</f>
        <v>10350</v>
      </c>
      <c r="U323" s="30" t="str">
        <f>"－"</f>
        <v>－</v>
      </c>
      <c r="V323" s="30">
        <f>24189370</f>
        <v>24189370</v>
      </c>
      <c r="W323" s="30" t="str">
        <f>"－"</f>
        <v>－</v>
      </c>
      <c r="X323" s="34">
        <f>6</f>
        <v>6</v>
      </c>
    </row>
    <row r="324" spans="1:24" x14ac:dyDescent="0.15">
      <c r="A324" s="25" t="s">
        <v>1237</v>
      </c>
      <c r="B324" s="25" t="s">
        <v>928</v>
      </c>
      <c r="C324" s="25" t="s">
        <v>929</v>
      </c>
      <c r="D324" s="25" t="s">
        <v>930</v>
      </c>
      <c r="E324" s="26" t="s">
        <v>45</v>
      </c>
      <c r="F324" s="27" t="s">
        <v>45</v>
      </c>
      <c r="G324" s="28" t="s">
        <v>45</v>
      </c>
      <c r="H324" s="29"/>
      <c r="I324" s="29" t="s">
        <v>46</v>
      </c>
      <c r="J324" s="30">
        <v>10</v>
      </c>
      <c r="K324" s="31">
        <f>238.4</f>
        <v>238.4</v>
      </c>
      <c r="L324" s="32" t="s">
        <v>995</v>
      </c>
      <c r="M324" s="31">
        <f>239.9</f>
        <v>239.9</v>
      </c>
      <c r="N324" s="32" t="s">
        <v>1017</v>
      </c>
      <c r="O324" s="31">
        <f>224.3</f>
        <v>224.3</v>
      </c>
      <c r="P324" s="32" t="s">
        <v>1000</v>
      </c>
      <c r="Q324" s="31">
        <f>234.5</f>
        <v>234.5</v>
      </c>
      <c r="R324" s="32" t="s">
        <v>1017</v>
      </c>
      <c r="S324" s="33">
        <f>232.33</f>
        <v>232.33</v>
      </c>
      <c r="T324" s="30">
        <f>10700</f>
        <v>10700</v>
      </c>
      <c r="U324" s="30" t="str">
        <f>"－"</f>
        <v>－</v>
      </c>
      <c r="V324" s="30">
        <f>2465195</f>
        <v>2465195</v>
      </c>
      <c r="W324" s="30" t="str">
        <f>"－"</f>
        <v>－</v>
      </c>
      <c r="X324" s="34">
        <f>21</f>
        <v>21</v>
      </c>
    </row>
    <row r="325" spans="1:24" x14ac:dyDescent="0.15">
      <c r="A325" s="25" t="s">
        <v>1237</v>
      </c>
      <c r="B325" s="25" t="s">
        <v>920</v>
      </c>
      <c r="C325" s="25" t="s">
        <v>921</v>
      </c>
      <c r="D325" s="25" t="s">
        <v>922</v>
      </c>
      <c r="E325" s="26" t="s">
        <v>45</v>
      </c>
      <c r="F325" s="27" t="s">
        <v>45</v>
      </c>
      <c r="G325" s="28" t="s">
        <v>45</v>
      </c>
      <c r="H325" s="29"/>
      <c r="I325" s="29" t="s">
        <v>46</v>
      </c>
      <c r="J325" s="30">
        <v>10</v>
      </c>
      <c r="K325" s="31">
        <f>183.4</f>
        <v>183.4</v>
      </c>
      <c r="L325" s="32" t="s">
        <v>995</v>
      </c>
      <c r="M325" s="31">
        <f>189.2</f>
        <v>189.2</v>
      </c>
      <c r="N325" s="32" t="s">
        <v>56</v>
      </c>
      <c r="O325" s="31">
        <f>171.8</f>
        <v>171.8</v>
      </c>
      <c r="P325" s="32" t="s">
        <v>997</v>
      </c>
      <c r="Q325" s="31">
        <f>178.3</f>
        <v>178.3</v>
      </c>
      <c r="R325" s="32" t="s">
        <v>1017</v>
      </c>
      <c r="S325" s="33">
        <f>178.96</f>
        <v>178.96</v>
      </c>
      <c r="T325" s="30">
        <f>140440</f>
        <v>140440</v>
      </c>
      <c r="U325" s="30">
        <f>89620</f>
        <v>89620</v>
      </c>
      <c r="V325" s="30">
        <f>24895115</f>
        <v>24895115</v>
      </c>
      <c r="W325" s="30">
        <f>15809652</f>
        <v>15809652</v>
      </c>
      <c r="X325" s="34">
        <f>21</f>
        <v>21</v>
      </c>
    </row>
    <row r="326" spans="1:24" x14ac:dyDescent="0.15">
      <c r="A326" s="25" t="s">
        <v>1237</v>
      </c>
      <c r="B326" s="25" t="s">
        <v>923</v>
      </c>
      <c r="C326" s="25" t="s">
        <v>924</v>
      </c>
      <c r="D326" s="25" t="s">
        <v>925</v>
      </c>
      <c r="E326" s="26" t="s">
        <v>45</v>
      </c>
      <c r="F326" s="27" t="s">
        <v>45</v>
      </c>
      <c r="G326" s="28" t="s">
        <v>45</v>
      </c>
      <c r="H326" s="29"/>
      <c r="I326" s="29" t="s">
        <v>46</v>
      </c>
      <c r="J326" s="30">
        <v>10</v>
      </c>
      <c r="K326" s="31">
        <f>690.1</f>
        <v>690.1</v>
      </c>
      <c r="L326" s="32" t="s">
        <v>1003</v>
      </c>
      <c r="M326" s="31">
        <f>703.8</f>
        <v>703.8</v>
      </c>
      <c r="N326" s="32" t="s">
        <v>1017</v>
      </c>
      <c r="O326" s="31">
        <f>684.2</f>
        <v>684.2</v>
      </c>
      <c r="P326" s="32" t="s">
        <v>794</v>
      </c>
      <c r="Q326" s="31">
        <f>703.8</f>
        <v>703.8</v>
      </c>
      <c r="R326" s="32" t="s">
        <v>1017</v>
      </c>
      <c r="S326" s="33">
        <f>695.32</f>
        <v>695.32</v>
      </c>
      <c r="T326" s="30">
        <f>6290</f>
        <v>6290</v>
      </c>
      <c r="U326" s="30" t="str">
        <f>"－"</f>
        <v>－</v>
      </c>
      <c r="V326" s="30">
        <f>4400226</f>
        <v>4400226</v>
      </c>
      <c r="W326" s="30" t="str">
        <f>"－"</f>
        <v>－</v>
      </c>
      <c r="X326" s="34">
        <f>10</f>
        <v>10</v>
      </c>
    </row>
    <row r="327" spans="1:24" x14ac:dyDescent="0.15">
      <c r="A327" s="25" t="s">
        <v>1237</v>
      </c>
      <c r="B327" s="25" t="s">
        <v>931</v>
      </c>
      <c r="C327" s="25" t="s">
        <v>932</v>
      </c>
      <c r="D327" s="25" t="s">
        <v>933</v>
      </c>
      <c r="E327" s="26" t="s">
        <v>45</v>
      </c>
      <c r="F327" s="27" t="s">
        <v>45</v>
      </c>
      <c r="G327" s="28" t="s">
        <v>45</v>
      </c>
      <c r="H327" s="29"/>
      <c r="I327" s="29" t="s">
        <v>46</v>
      </c>
      <c r="J327" s="30">
        <v>1</v>
      </c>
      <c r="K327" s="31">
        <f>1242</f>
        <v>1242</v>
      </c>
      <c r="L327" s="32" t="s">
        <v>995</v>
      </c>
      <c r="M327" s="31">
        <f>1282</f>
        <v>1282</v>
      </c>
      <c r="N327" s="32" t="s">
        <v>255</v>
      </c>
      <c r="O327" s="31">
        <f>1170</f>
        <v>1170</v>
      </c>
      <c r="P327" s="32" t="s">
        <v>1000</v>
      </c>
      <c r="Q327" s="31">
        <f>1280</f>
        <v>1280</v>
      </c>
      <c r="R327" s="32" t="s">
        <v>1017</v>
      </c>
      <c r="S327" s="33">
        <f>1243.43</f>
        <v>1243.43</v>
      </c>
      <c r="T327" s="30">
        <f>135905</f>
        <v>135905</v>
      </c>
      <c r="U327" s="30" t="str">
        <f>"－"</f>
        <v>－</v>
      </c>
      <c r="V327" s="30">
        <f>167006338</f>
        <v>167006338</v>
      </c>
      <c r="W327" s="30" t="str">
        <f>"－"</f>
        <v>－</v>
      </c>
      <c r="X327" s="34">
        <f>21</f>
        <v>21</v>
      </c>
    </row>
    <row r="328" spans="1:24" x14ac:dyDescent="0.15">
      <c r="A328" s="25" t="s">
        <v>1237</v>
      </c>
      <c r="B328" s="25" t="s">
        <v>934</v>
      </c>
      <c r="C328" s="25" t="s">
        <v>935</v>
      </c>
      <c r="D328" s="25" t="s">
        <v>936</v>
      </c>
      <c r="E328" s="26" t="s">
        <v>45</v>
      </c>
      <c r="F328" s="27" t="s">
        <v>45</v>
      </c>
      <c r="G328" s="28" t="s">
        <v>45</v>
      </c>
      <c r="H328" s="29"/>
      <c r="I328" s="29" t="s">
        <v>46</v>
      </c>
      <c r="J328" s="30">
        <v>1</v>
      </c>
      <c r="K328" s="31">
        <f>955</f>
        <v>955</v>
      </c>
      <c r="L328" s="32" t="s">
        <v>995</v>
      </c>
      <c r="M328" s="31">
        <f>956</f>
        <v>956</v>
      </c>
      <c r="N328" s="32" t="s">
        <v>995</v>
      </c>
      <c r="O328" s="31">
        <f>909</f>
        <v>909</v>
      </c>
      <c r="P328" s="32" t="s">
        <v>786</v>
      </c>
      <c r="Q328" s="31">
        <f>937</f>
        <v>937</v>
      </c>
      <c r="R328" s="32" t="s">
        <v>1017</v>
      </c>
      <c r="S328" s="33">
        <f>933.48</f>
        <v>933.48</v>
      </c>
      <c r="T328" s="30">
        <f>297592</f>
        <v>297592</v>
      </c>
      <c r="U328" s="30">
        <f>100000</f>
        <v>100000</v>
      </c>
      <c r="V328" s="30">
        <f>280342422</f>
        <v>280342422</v>
      </c>
      <c r="W328" s="30">
        <f>94176000</f>
        <v>94176000</v>
      </c>
      <c r="X328" s="34">
        <f>21</f>
        <v>21</v>
      </c>
    </row>
    <row r="329" spans="1:24" x14ac:dyDescent="0.15">
      <c r="A329" s="25" t="s">
        <v>1237</v>
      </c>
      <c r="B329" s="25" t="s">
        <v>937</v>
      </c>
      <c r="C329" s="25" t="s">
        <v>938</v>
      </c>
      <c r="D329" s="25" t="s">
        <v>939</v>
      </c>
      <c r="E329" s="26" t="s">
        <v>45</v>
      </c>
      <c r="F329" s="27" t="s">
        <v>45</v>
      </c>
      <c r="G329" s="28" t="s">
        <v>45</v>
      </c>
      <c r="H329" s="29"/>
      <c r="I329" s="29" t="s">
        <v>46</v>
      </c>
      <c r="J329" s="30">
        <v>10</v>
      </c>
      <c r="K329" s="31">
        <f>718.7</f>
        <v>718.7</v>
      </c>
      <c r="L329" s="32" t="s">
        <v>995</v>
      </c>
      <c r="M329" s="31">
        <f>731.5</f>
        <v>731.5</v>
      </c>
      <c r="N329" s="32" t="s">
        <v>997</v>
      </c>
      <c r="O329" s="31">
        <f>716.5</f>
        <v>716.5</v>
      </c>
      <c r="P329" s="32" t="s">
        <v>995</v>
      </c>
      <c r="Q329" s="31">
        <f>729.9</f>
        <v>729.9</v>
      </c>
      <c r="R329" s="32" t="s">
        <v>1017</v>
      </c>
      <c r="S329" s="33">
        <f>724.92</f>
        <v>724.92</v>
      </c>
      <c r="T329" s="30">
        <f>3083180</f>
        <v>3083180</v>
      </c>
      <c r="U329" s="30">
        <f>2124100</f>
        <v>2124100</v>
      </c>
      <c r="V329" s="30">
        <f>2231289016</f>
        <v>2231289016</v>
      </c>
      <c r="W329" s="30">
        <f>1536023237</f>
        <v>1536023237</v>
      </c>
      <c r="X329" s="34">
        <f>21</f>
        <v>21</v>
      </c>
    </row>
    <row r="330" spans="1:24" x14ac:dyDescent="0.15">
      <c r="A330" s="25" t="s">
        <v>1237</v>
      </c>
      <c r="B330" s="25" t="s">
        <v>940</v>
      </c>
      <c r="C330" s="25" t="s">
        <v>941</v>
      </c>
      <c r="D330" s="25" t="s">
        <v>942</v>
      </c>
      <c r="E330" s="26" t="s">
        <v>45</v>
      </c>
      <c r="F330" s="27" t="s">
        <v>45</v>
      </c>
      <c r="G330" s="28" t="s">
        <v>45</v>
      </c>
      <c r="H330" s="29"/>
      <c r="I330" s="29" t="s">
        <v>46</v>
      </c>
      <c r="J330" s="30">
        <v>10</v>
      </c>
      <c r="K330" s="31">
        <f>700</f>
        <v>700</v>
      </c>
      <c r="L330" s="32" t="s">
        <v>995</v>
      </c>
      <c r="M330" s="31">
        <f>736.7</f>
        <v>736.7</v>
      </c>
      <c r="N330" s="32" t="s">
        <v>997</v>
      </c>
      <c r="O330" s="31">
        <f>697</f>
        <v>697</v>
      </c>
      <c r="P330" s="32" t="s">
        <v>995</v>
      </c>
      <c r="Q330" s="31">
        <f>721.1</f>
        <v>721.1</v>
      </c>
      <c r="R330" s="32" t="s">
        <v>1017</v>
      </c>
      <c r="S330" s="33">
        <f>713.46</f>
        <v>713.46</v>
      </c>
      <c r="T330" s="30">
        <f>10062560</f>
        <v>10062560</v>
      </c>
      <c r="U330" s="30">
        <f>10005370</f>
        <v>10005370</v>
      </c>
      <c r="V330" s="30">
        <f>7180400216</f>
        <v>7180400216</v>
      </c>
      <c r="W330" s="30">
        <f>7139535021</f>
        <v>7139535021</v>
      </c>
      <c r="X330" s="34">
        <f>21</f>
        <v>21</v>
      </c>
    </row>
    <row r="331" spans="1:24" x14ac:dyDescent="0.15">
      <c r="A331" s="25" t="s">
        <v>1237</v>
      </c>
      <c r="B331" s="25" t="s">
        <v>943</v>
      </c>
      <c r="C331" s="25" t="s">
        <v>944</v>
      </c>
      <c r="D331" s="25" t="s">
        <v>945</v>
      </c>
      <c r="E331" s="26" t="s">
        <v>45</v>
      </c>
      <c r="F331" s="27" t="s">
        <v>45</v>
      </c>
      <c r="G331" s="28" t="s">
        <v>45</v>
      </c>
      <c r="H331" s="29"/>
      <c r="I331" s="29" t="s">
        <v>46</v>
      </c>
      <c r="J331" s="30">
        <v>1</v>
      </c>
      <c r="K331" s="31">
        <f>1186</f>
        <v>1186</v>
      </c>
      <c r="L331" s="32" t="s">
        <v>995</v>
      </c>
      <c r="M331" s="31">
        <f>1234</f>
        <v>1234</v>
      </c>
      <c r="N331" s="32" t="s">
        <v>997</v>
      </c>
      <c r="O331" s="31">
        <f>1128</f>
        <v>1128</v>
      </c>
      <c r="P331" s="32" t="s">
        <v>785</v>
      </c>
      <c r="Q331" s="31">
        <f>1204</f>
        <v>1204</v>
      </c>
      <c r="R331" s="32" t="s">
        <v>1017</v>
      </c>
      <c r="S331" s="33">
        <f>1191.76</f>
        <v>1191.76</v>
      </c>
      <c r="T331" s="30">
        <f>184679</f>
        <v>184679</v>
      </c>
      <c r="U331" s="30" t="str">
        <f>"－"</f>
        <v>－</v>
      </c>
      <c r="V331" s="30">
        <f>220749615</f>
        <v>220749615</v>
      </c>
      <c r="W331" s="30" t="str">
        <f>"－"</f>
        <v>－</v>
      </c>
      <c r="X331" s="34">
        <f>21</f>
        <v>21</v>
      </c>
    </row>
    <row r="332" spans="1:24" x14ac:dyDescent="0.15">
      <c r="A332" s="25" t="s">
        <v>1237</v>
      </c>
      <c r="B332" s="25" t="s">
        <v>952</v>
      </c>
      <c r="C332" s="25" t="s">
        <v>953</v>
      </c>
      <c r="D332" s="25" t="s">
        <v>954</v>
      </c>
      <c r="E332" s="26" t="s">
        <v>45</v>
      </c>
      <c r="F332" s="27" t="s">
        <v>45</v>
      </c>
      <c r="G332" s="28" t="s">
        <v>45</v>
      </c>
      <c r="H332" s="29"/>
      <c r="I332" s="29" t="s">
        <v>46</v>
      </c>
      <c r="J332" s="30">
        <v>10</v>
      </c>
      <c r="K332" s="31">
        <f>2375</f>
        <v>2375</v>
      </c>
      <c r="L332" s="32" t="s">
        <v>995</v>
      </c>
      <c r="M332" s="31">
        <f>2474</f>
        <v>2474</v>
      </c>
      <c r="N332" s="32" t="s">
        <v>1000</v>
      </c>
      <c r="O332" s="31">
        <f>2372.5</f>
        <v>2372.5</v>
      </c>
      <c r="P332" s="32" t="s">
        <v>995</v>
      </c>
      <c r="Q332" s="31">
        <f>2417</f>
        <v>2417</v>
      </c>
      <c r="R332" s="32" t="s">
        <v>1017</v>
      </c>
      <c r="S332" s="33">
        <f>2421.95</f>
        <v>2421.9499999999998</v>
      </c>
      <c r="T332" s="30">
        <f>36920</f>
        <v>36920</v>
      </c>
      <c r="U332" s="30" t="str">
        <f>"－"</f>
        <v>－</v>
      </c>
      <c r="V332" s="30">
        <f>89587400</f>
        <v>89587400</v>
      </c>
      <c r="W332" s="30" t="str">
        <f>"－"</f>
        <v>－</v>
      </c>
      <c r="X332" s="34">
        <f>21</f>
        <v>21</v>
      </c>
    </row>
    <row r="333" spans="1:24" x14ac:dyDescent="0.15">
      <c r="A333" s="25" t="s">
        <v>1237</v>
      </c>
      <c r="B333" s="25" t="s">
        <v>955</v>
      </c>
      <c r="C333" s="25" t="s">
        <v>956</v>
      </c>
      <c r="D333" s="25" t="s">
        <v>957</v>
      </c>
      <c r="E333" s="26" t="s">
        <v>45</v>
      </c>
      <c r="F333" s="27" t="s">
        <v>45</v>
      </c>
      <c r="G333" s="28" t="s">
        <v>45</v>
      </c>
      <c r="H333" s="29"/>
      <c r="I333" s="29" t="s">
        <v>46</v>
      </c>
      <c r="J333" s="30">
        <v>10</v>
      </c>
      <c r="K333" s="31">
        <f>2359.5</f>
        <v>2359.5</v>
      </c>
      <c r="L333" s="32" t="s">
        <v>995</v>
      </c>
      <c r="M333" s="31">
        <f>2579.5</f>
        <v>2579.5</v>
      </c>
      <c r="N333" s="32" t="s">
        <v>789</v>
      </c>
      <c r="O333" s="31">
        <f>2346</f>
        <v>2346</v>
      </c>
      <c r="P333" s="32" t="s">
        <v>995</v>
      </c>
      <c r="Q333" s="31">
        <f>2400.5</f>
        <v>2400.5</v>
      </c>
      <c r="R333" s="32" t="s">
        <v>1017</v>
      </c>
      <c r="S333" s="33">
        <f>2405.4</f>
        <v>2405.4</v>
      </c>
      <c r="T333" s="30">
        <f>30350</f>
        <v>30350</v>
      </c>
      <c r="U333" s="30" t="str">
        <f>"－"</f>
        <v>－</v>
      </c>
      <c r="V333" s="30">
        <f>72765620</f>
        <v>72765620</v>
      </c>
      <c r="W333" s="30" t="str">
        <f>"－"</f>
        <v>－</v>
      </c>
      <c r="X333" s="34">
        <f>21</f>
        <v>21</v>
      </c>
    </row>
    <row r="334" spans="1:24" x14ac:dyDescent="0.15">
      <c r="A334" s="25" t="s">
        <v>1237</v>
      </c>
      <c r="B334" s="25" t="s">
        <v>946</v>
      </c>
      <c r="C334" s="25" t="s">
        <v>947</v>
      </c>
      <c r="D334" s="25" t="s">
        <v>948</v>
      </c>
      <c r="E334" s="26" t="s">
        <v>45</v>
      </c>
      <c r="F334" s="27" t="s">
        <v>45</v>
      </c>
      <c r="G334" s="28" t="s">
        <v>45</v>
      </c>
      <c r="H334" s="29"/>
      <c r="I334" s="29" t="s">
        <v>46</v>
      </c>
      <c r="J334" s="30">
        <v>10</v>
      </c>
      <c r="K334" s="31">
        <f>5006</f>
        <v>5006</v>
      </c>
      <c r="L334" s="32" t="s">
        <v>785</v>
      </c>
      <c r="M334" s="31">
        <f>5427</f>
        <v>5427</v>
      </c>
      <c r="N334" s="32" t="s">
        <v>789</v>
      </c>
      <c r="O334" s="31">
        <f>5006</f>
        <v>5006</v>
      </c>
      <c r="P334" s="32" t="s">
        <v>785</v>
      </c>
      <c r="Q334" s="31">
        <f>5336</f>
        <v>5336</v>
      </c>
      <c r="R334" s="32" t="s">
        <v>1017</v>
      </c>
      <c r="S334" s="33">
        <f>5293.13</f>
        <v>5293.13</v>
      </c>
      <c r="T334" s="30">
        <f>236820</f>
        <v>236820</v>
      </c>
      <c r="U334" s="30" t="str">
        <f>"－"</f>
        <v>－</v>
      </c>
      <c r="V334" s="30">
        <f>1242756810</f>
        <v>1242756810</v>
      </c>
      <c r="W334" s="30" t="str">
        <f>"－"</f>
        <v>－</v>
      </c>
      <c r="X334" s="34">
        <f>15</f>
        <v>15</v>
      </c>
    </row>
    <row r="335" spans="1:24" x14ac:dyDescent="0.15">
      <c r="A335" s="25" t="s">
        <v>1237</v>
      </c>
      <c r="B335" s="25" t="s">
        <v>949</v>
      </c>
      <c r="C335" s="25" t="s">
        <v>950</v>
      </c>
      <c r="D335" s="25" t="s">
        <v>951</v>
      </c>
      <c r="E335" s="26" t="s">
        <v>45</v>
      </c>
      <c r="F335" s="27" t="s">
        <v>45</v>
      </c>
      <c r="G335" s="28" t="s">
        <v>45</v>
      </c>
      <c r="H335" s="29"/>
      <c r="I335" s="29" t="s">
        <v>46</v>
      </c>
      <c r="J335" s="30">
        <v>10</v>
      </c>
      <c r="K335" s="31">
        <f>4362</f>
        <v>4362</v>
      </c>
      <c r="L335" s="32" t="s">
        <v>784</v>
      </c>
      <c r="M335" s="31">
        <f>4833</f>
        <v>4833</v>
      </c>
      <c r="N335" s="32" t="s">
        <v>1000</v>
      </c>
      <c r="O335" s="31">
        <f>4362</f>
        <v>4362</v>
      </c>
      <c r="P335" s="32" t="s">
        <v>784</v>
      </c>
      <c r="Q335" s="31">
        <f>4497</f>
        <v>4497</v>
      </c>
      <c r="R335" s="32" t="s">
        <v>1017</v>
      </c>
      <c r="S335" s="33">
        <f>4449.85</f>
        <v>4449.8500000000004</v>
      </c>
      <c r="T335" s="30">
        <f>534300</f>
        <v>534300</v>
      </c>
      <c r="U335" s="30">
        <f>412860</f>
        <v>412860</v>
      </c>
      <c r="V335" s="30">
        <f>2365220418</f>
        <v>2365220418</v>
      </c>
      <c r="W335" s="30">
        <f>1828270428</f>
        <v>1828270428</v>
      </c>
      <c r="X335" s="34">
        <f>13</f>
        <v>13</v>
      </c>
    </row>
    <row r="336" spans="1:24" x14ac:dyDescent="0.15">
      <c r="A336" s="25" t="s">
        <v>1237</v>
      </c>
      <c r="B336" s="25" t="s">
        <v>958</v>
      </c>
      <c r="C336" s="25" t="s">
        <v>959</v>
      </c>
      <c r="D336" s="25" t="s">
        <v>960</v>
      </c>
      <c r="E336" s="26" t="s">
        <v>45</v>
      </c>
      <c r="F336" s="27" t="s">
        <v>45</v>
      </c>
      <c r="G336" s="28" t="s">
        <v>45</v>
      </c>
      <c r="H336" s="29"/>
      <c r="I336" s="29" t="s">
        <v>46</v>
      </c>
      <c r="J336" s="30">
        <v>10</v>
      </c>
      <c r="K336" s="31">
        <f>2055.5</f>
        <v>2055.5</v>
      </c>
      <c r="L336" s="32" t="s">
        <v>995</v>
      </c>
      <c r="M336" s="31">
        <f>2055.5</f>
        <v>2055.5</v>
      </c>
      <c r="N336" s="32" t="s">
        <v>995</v>
      </c>
      <c r="O336" s="31">
        <f>1876</f>
        <v>1876</v>
      </c>
      <c r="P336" s="32" t="s">
        <v>794</v>
      </c>
      <c r="Q336" s="31">
        <f>1944.5</f>
        <v>1944.5</v>
      </c>
      <c r="R336" s="32" t="s">
        <v>1017</v>
      </c>
      <c r="S336" s="33">
        <f>1920.79</f>
        <v>1920.79</v>
      </c>
      <c r="T336" s="30">
        <f>1630</f>
        <v>1630</v>
      </c>
      <c r="U336" s="30" t="str">
        <f>"－"</f>
        <v>－</v>
      </c>
      <c r="V336" s="30">
        <f>3147180</f>
        <v>3147180</v>
      </c>
      <c r="W336" s="30" t="str">
        <f>"－"</f>
        <v>－</v>
      </c>
      <c r="X336" s="34">
        <f>7</f>
        <v>7</v>
      </c>
    </row>
    <row r="337" spans="1:24" x14ac:dyDescent="0.15">
      <c r="A337" s="25" t="s">
        <v>1237</v>
      </c>
      <c r="B337" s="25" t="s">
        <v>961</v>
      </c>
      <c r="C337" s="25" t="s">
        <v>962</v>
      </c>
      <c r="D337" s="25" t="s">
        <v>963</v>
      </c>
      <c r="E337" s="26" t="s">
        <v>45</v>
      </c>
      <c r="F337" s="27" t="s">
        <v>45</v>
      </c>
      <c r="G337" s="28" t="s">
        <v>45</v>
      </c>
      <c r="H337" s="29"/>
      <c r="I337" s="29" t="s">
        <v>46</v>
      </c>
      <c r="J337" s="30">
        <v>1</v>
      </c>
      <c r="K337" s="31">
        <f>1178</f>
        <v>1178</v>
      </c>
      <c r="L337" s="32" t="s">
        <v>995</v>
      </c>
      <c r="M337" s="31">
        <f>1294</f>
        <v>1294</v>
      </c>
      <c r="N337" s="32" t="s">
        <v>1017</v>
      </c>
      <c r="O337" s="31">
        <f>1178</f>
        <v>1178</v>
      </c>
      <c r="P337" s="32" t="s">
        <v>995</v>
      </c>
      <c r="Q337" s="31">
        <f>1294</f>
        <v>1294</v>
      </c>
      <c r="R337" s="32" t="s">
        <v>1017</v>
      </c>
      <c r="S337" s="33">
        <f>1240.43</f>
        <v>1240.43</v>
      </c>
      <c r="T337" s="30">
        <f>5409</f>
        <v>5409</v>
      </c>
      <c r="U337" s="30" t="str">
        <f>"－"</f>
        <v>－</v>
      </c>
      <c r="V337" s="30">
        <f>6814808</f>
        <v>6814808</v>
      </c>
      <c r="W337" s="30" t="str">
        <f>"－"</f>
        <v>－</v>
      </c>
      <c r="X337" s="34">
        <f>21</f>
        <v>21</v>
      </c>
    </row>
    <row r="338" spans="1:24" x14ac:dyDescent="0.15">
      <c r="A338" s="25" t="s">
        <v>1237</v>
      </c>
      <c r="B338" s="25" t="s">
        <v>964</v>
      </c>
      <c r="C338" s="25" t="s">
        <v>965</v>
      </c>
      <c r="D338" s="25" t="s">
        <v>966</v>
      </c>
      <c r="E338" s="26" t="s">
        <v>45</v>
      </c>
      <c r="F338" s="27" t="s">
        <v>45</v>
      </c>
      <c r="G338" s="28" t="s">
        <v>45</v>
      </c>
      <c r="H338" s="29"/>
      <c r="I338" s="29" t="s">
        <v>46</v>
      </c>
      <c r="J338" s="30">
        <v>1</v>
      </c>
      <c r="K338" s="31">
        <f>1101</f>
        <v>1101</v>
      </c>
      <c r="L338" s="32" t="s">
        <v>995</v>
      </c>
      <c r="M338" s="31">
        <f>1121</f>
        <v>1121</v>
      </c>
      <c r="N338" s="32" t="s">
        <v>78</v>
      </c>
      <c r="O338" s="31">
        <f>1056</f>
        <v>1056</v>
      </c>
      <c r="P338" s="32" t="s">
        <v>1005</v>
      </c>
      <c r="Q338" s="31">
        <f>1080</f>
        <v>1080</v>
      </c>
      <c r="R338" s="32" t="s">
        <v>1017</v>
      </c>
      <c r="S338" s="33">
        <f>1086.19</f>
        <v>1086.19</v>
      </c>
      <c r="T338" s="30">
        <f>1818641</f>
        <v>1818641</v>
      </c>
      <c r="U338" s="30">
        <f>923</f>
        <v>923</v>
      </c>
      <c r="V338" s="30">
        <f>1964555179</f>
        <v>1964555179</v>
      </c>
      <c r="W338" s="30">
        <f>981297</f>
        <v>981297</v>
      </c>
      <c r="X338" s="34">
        <f>21</f>
        <v>21</v>
      </c>
    </row>
    <row r="339" spans="1:24" x14ac:dyDescent="0.15">
      <c r="A339" s="25" t="s">
        <v>1237</v>
      </c>
      <c r="B339" s="25" t="s">
        <v>967</v>
      </c>
      <c r="C339" s="25" t="s">
        <v>968</v>
      </c>
      <c r="D339" s="25" t="s">
        <v>969</v>
      </c>
      <c r="E339" s="26" t="s">
        <v>45</v>
      </c>
      <c r="F339" s="27" t="s">
        <v>45</v>
      </c>
      <c r="G339" s="28" t="s">
        <v>45</v>
      </c>
      <c r="H339" s="29"/>
      <c r="I339" s="29" t="s">
        <v>46</v>
      </c>
      <c r="J339" s="30">
        <v>1</v>
      </c>
      <c r="K339" s="31">
        <f>946</f>
        <v>946</v>
      </c>
      <c r="L339" s="32" t="s">
        <v>995</v>
      </c>
      <c r="M339" s="31">
        <f>953</f>
        <v>953</v>
      </c>
      <c r="N339" s="32" t="s">
        <v>785</v>
      </c>
      <c r="O339" s="31">
        <f>913</f>
        <v>913</v>
      </c>
      <c r="P339" s="32" t="s">
        <v>1005</v>
      </c>
      <c r="Q339" s="31">
        <f>932</f>
        <v>932</v>
      </c>
      <c r="R339" s="32" t="s">
        <v>1017</v>
      </c>
      <c r="S339" s="33">
        <f>936.1</f>
        <v>936.1</v>
      </c>
      <c r="T339" s="30">
        <f>795351</f>
        <v>795351</v>
      </c>
      <c r="U339" s="30">
        <f>549</f>
        <v>549</v>
      </c>
      <c r="V339" s="30">
        <f>742880693</f>
        <v>742880693</v>
      </c>
      <c r="W339" s="30">
        <f>478901</f>
        <v>478901</v>
      </c>
      <c r="X339" s="34">
        <f>21</f>
        <v>21</v>
      </c>
    </row>
    <row r="340" spans="1:24" x14ac:dyDescent="0.15">
      <c r="A340" s="25" t="s">
        <v>1237</v>
      </c>
      <c r="B340" s="25" t="s">
        <v>974</v>
      </c>
      <c r="C340" s="25" t="s">
        <v>975</v>
      </c>
      <c r="D340" s="25" t="s">
        <v>976</v>
      </c>
      <c r="E340" s="26" t="s">
        <v>45</v>
      </c>
      <c r="F340" s="27" t="s">
        <v>45</v>
      </c>
      <c r="G340" s="28" t="s">
        <v>45</v>
      </c>
      <c r="H340" s="29"/>
      <c r="I340" s="29" t="s">
        <v>46</v>
      </c>
      <c r="J340" s="30">
        <v>1</v>
      </c>
      <c r="K340" s="31">
        <f>1094</f>
        <v>1094</v>
      </c>
      <c r="L340" s="32" t="s">
        <v>995</v>
      </c>
      <c r="M340" s="31">
        <f>1130</f>
        <v>1130</v>
      </c>
      <c r="N340" s="32" t="s">
        <v>997</v>
      </c>
      <c r="O340" s="31">
        <f>1048</f>
        <v>1048</v>
      </c>
      <c r="P340" s="32" t="s">
        <v>1000</v>
      </c>
      <c r="Q340" s="31">
        <f>1115</f>
        <v>1115</v>
      </c>
      <c r="R340" s="32" t="s">
        <v>1017</v>
      </c>
      <c r="S340" s="33">
        <f>1090.43</f>
        <v>1090.43</v>
      </c>
      <c r="T340" s="30">
        <f>14205</f>
        <v>14205</v>
      </c>
      <c r="U340" s="30" t="str">
        <f>"－"</f>
        <v>－</v>
      </c>
      <c r="V340" s="30">
        <f>15572255</f>
        <v>15572255</v>
      </c>
      <c r="W340" s="30" t="str">
        <f>"－"</f>
        <v>－</v>
      </c>
      <c r="X340" s="34">
        <f>21</f>
        <v>21</v>
      </c>
    </row>
    <row r="341" spans="1:24" x14ac:dyDescent="0.15">
      <c r="A341" s="25" t="s">
        <v>1237</v>
      </c>
      <c r="B341" s="25" t="s">
        <v>977</v>
      </c>
      <c r="C341" s="25" t="s">
        <v>978</v>
      </c>
      <c r="D341" s="25" t="s">
        <v>979</v>
      </c>
      <c r="E341" s="26" t="s">
        <v>45</v>
      </c>
      <c r="F341" s="27" t="s">
        <v>45</v>
      </c>
      <c r="G341" s="28" t="s">
        <v>45</v>
      </c>
      <c r="H341" s="29"/>
      <c r="I341" s="29" t="s">
        <v>46</v>
      </c>
      <c r="J341" s="30">
        <v>1</v>
      </c>
      <c r="K341" s="31">
        <f>994</f>
        <v>994</v>
      </c>
      <c r="L341" s="32" t="s">
        <v>995</v>
      </c>
      <c r="M341" s="31">
        <f>1002</f>
        <v>1002</v>
      </c>
      <c r="N341" s="32" t="s">
        <v>78</v>
      </c>
      <c r="O341" s="31">
        <f>951</f>
        <v>951</v>
      </c>
      <c r="P341" s="32" t="s">
        <v>1005</v>
      </c>
      <c r="Q341" s="31">
        <f>967</f>
        <v>967</v>
      </c>
      <c r="R341" s="32" t="s">
        <v>1017</v>
      </c>
      <c r="S341" s="33">
        <f>976.33</f>
        <v>976.33</v>
      </c>
      <c r="T341" s="30">
        <f>509997</f>
        <v>509997</v>
      </c>
      <c r="U341" s="30">
        <f>553</f>
        <v>553</v>
      </c>
      <c r="V341" s="30">
        <f>495345926</f>
        <v>495345926</v>
      </c>
      <c r="W341" s="30">
        <f>520358</f>
        <v>520358</v>
      </c>
      <c r="X341" s="34">
        <f>21</f>
        <v>21</v>
      </c>
    </row>
    <row r="342" spans="1:24" x14ac:dyDescent="0.15">
      <c r="A342" s="25" t="s">
        <v>1237</v>
      </c>
      <c r="B342" s="25" t="s">
        <v>980</v>
      </c>
      <c r="C342" s="25" t="s">
        <v>981</v>
      </c>
      <c r="D342" s="25" t="s">
        <v>1089</v>
      </c>
      <c r="E342" s="26" t="s">
        <v>45</v>
      </c>
      <c r="F342" s="27" t="s">
        <v>45</v>
      </c>
      <c r="G342" s="28" t="s">
        <v>45</v>
      </c>
      <c r="H342" s="29"/>
      <c r="I342" s="29" t="s">
        <v>46</v>
      </c>
      <c r="J342" s="30">
        <v>1</v>
      </c>
      <c r="K342" s="31">
        <f>31480</f>
        <v>31480</v>
      </c>
      <c r="L342" s="32" t="s">
        <v>995</v>
      </c>
      <c r="M342" s="31">
        <f>35290</f>
        <v>35290</v>
      </c>
      <c r="N342" s="32" t="s">
        <v>997</v>
      </c>
      <c r="O342" s="31">
        <f>30790</f>
        <v>30790</v>
      </c>
      <c r="P342" s="32" t="s">
        <v>1003</v>
      </c>
      <c r="Q342" s="31">
        <f>35070</f>
        <v>35070</v>
      </c>
      <c r="R342" s="32" t="s">
        <v>1017</v>
      </c>
      <c r="S342" s="33">
        <f>33336.19</f>
        <v>33336.19</v>
      </c>
      <c r="T342" s="30">
        <f>338953</f>
        <v>338953</v>
      </c>
      <c r="U342" s="30">
        <f>266</f>
        <v>266</v>
      </c>
      <c r="V342" s="30">
        <f>11333917110</f>
        <v>11333917110</v>
      </c>
      <c r="W342" s="30">
        <f>9101960</f>
        <v>9101960</v>
      </c>
      <c r="X342" s="34">
        <f>21</f>
        <v>21</v>
      </c>
    </row>
    <row r="343" spans="1:24" x14ac:dyDescent="0.15">
      <c r="A343" s="25" t="s">
        <v>1237</v>
      </c>
      <c r="B343" s="25" t="s">
        <v>983</v>
      </c>
      <c r="C343" s="25" t="s">
        <v>984</v>
      </c>
      <c r="D343" s="25" t="s">
        <v>1090</v>
      </c>
      <c r="E343" s="26" t="s">
        <v>45</v>
      </c>
      <c r="F343" s="27" t="s">
        <v>45</v>
      </c>
      <c r="G343" s="28" t="s">
        <v>45</v>
      </c>
      <c r="H343" s="29"/>
      <c r="I343" s="29" t="s">
        <v>46</v>
      </c>
      <c r="J343" s="30">
        <v>1</v>
      </c>
      <c r="K343" s="31">
        <f>30940</f>
        <v>30940</v>
      </c>
      <c r="L343" s="32" t="s">
        <v>995</v>
      </c>
      <c r="M343" s="31">
        <f>31570</f>
        <v>31570</v>
      </c>
      <c r="N343" s="32" t="s">
        <v>1003</v>
      </c>
      <c r="O343" s="31">
        <f>27115</f>
        <v>27115</v>
      </c>
      <c r="P343" s="32" t="s">
        <v>789</v>
      </c>
      <c r="Q343" s="31">
        <f>27615</f>
        <v>27615</v>
      </c>
      <c r="R343" s="32" t="s">
        <v>1017</v>
      </c>
      <c r="S343" s="33">
        <f>29180.48</f>
        <v>29180.48</v>
      </c>
      <c r="T343" s="30">
        <f>167937</f>
        <v>167937</v>
      </c>
      <c r="U343" s="30">
        <f>109</f>
        <v>109</v>
      </c>
      <c r="V343" s="30">
        <f>4947693810</f>
        <v>4947693810</v>
      </c>
      <c r="W343" s="30">
        <f>3089505</f>
        <v>3089505</v>
      </c>
      <c r="X343" s="34">
        <f>21</f>
        <v>21</v>
      </c>
    </row>
  </sheetData>
  <mergeCells count="3">
    <mergeCell ref="N1:X3"/>
    <mergeCell ref="A2:M2"/>
    <mergeCell ref="A3:M3"/>
  </mergeCells>
  <phoneticPr fontId="3"/>
  <printOptions horizontalCentered="1"/>
  <pageMargins left="0.39370078740157483" right="0.39370078740157483" top="0.39370078740157483" bottom="0.59055118110236227" header="0.27559055118110237" footer="0.27559055118110237"/>
  <pageSetup paperSize="9" scale="34" fitToHeight="0" orientation="landscape" r:id="rId1"/>
  <headerFooter>
    <oddFooter>&amp;C&amp;P/&amp;N&amp;RCopyright (c) Tokyo Stock Exchange, Inc. All Rights Reserved.</oddFooter>
  </headerFooter>
  <customProperties>
    <customPr name="layoutContexts" r:id="rId2"/>
  </customPropertie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A87168-DA83-4867-8DD6-C64FCE22D8EE}">
  <sheetPr>
    <pageSetUpPr fitToPage="1"/>
  </sheetPr>
  <dimension ref="A1:X318"/>
  <sheetViews>
    <sheetView showGridLines="0" view="pageBreakPreview" zoomScaleNormal="70" zoomScaleSheetLayoutView="100" workbookViewId="0">
      <pane ySplit="6" topLeftCell="A7" activePane="bottomLeft" state="frozen"/>
      <selection activeCell="A2" sqref="A2:M2"/>
      <selection pane="bottomLeft" sqref="A1:A1048576"/>
    </sheetView>
  </sheetViews>
  <sheetFormatPr defaultColWidth="8.125" defaultRowHeight="13.5" customHeight="1" x14ac:dyDescent="0.4"/>
  <cols>
    <col min="1" max="1" width="11.75" style="3" bestFit="1" customWidth="1"/>
    <col min="2" max="2" width="9.75" style="3" bestFit="1" customWidth="1"/>
    <col min="3" max="4" width="24.875" style="3" customWidth="1"/>
    <col min="5" max="5" width="12.375" style="3" bestFit="1" customWidth="1"/>
    <col min="6" max="6" width="18.75" style="3" bestFit="1" customWidth="1"/>
    <col min="7" max="7" width="10.125" style="3" customWidth="1"/>
    <col min="8" max="8" width="7.875" style="3" bestFit="1" customWidth="1"/>
    <col min="9" max="9" width="10.625" style="3" bestFit="1" customWidth="1"/>
    <col min="10" max="10" width="11.375" style="3" bestFit="1" customWidth="1"/>
    <col min="11" max="11" width="14.625" style="3" customWidth="1"/>
    <col min="12" max="12" width="5.125" style="3" bestFit="1" customWidth="1"/>
    <col min="13" max="13" width="14.625" style="3" customWidth="1"/>
    <col min="14" max="14" width="5.125" style="3" bestFit="1" customWidth="1"/>
    <col min="15" max="15" width="14.625" style="3" customWidth="1"/>
    <col min="16" max="16" width="5.125" style="3" bestFit="1" customWidth="1"/>
    <col min="17" max="17" width="14.625" style="3" customWidth="1"/>
    <col min="18" max="18" width="5.125" style="3" bestFit="1" customWidth="1"/>
    <col min="19" max="19" width="21.5" style="3" bestFit="1" customWidth="1"/>
    <col min="20" max="20" width="14.625" style="3" customWidth="1"/>
    <col min="21" max="21" width="21.75" style="3" customWidth="1"/>
    <col min="22" max="22" width="17.875" style="3" bestFit="1" customWidth="1"/>
    <col min="23" max="23" width="22.5" style="3" bestFit="1" customWidth="1"/>
    <col min="24" max="24" width="11.75" style="3" bestFit="1" customWidth="1"/>
    <col min="25" max="16384" width="8.125" style="3"/>
  </cols>
  <sheetData>
    <row r="1" spans="1:24" ht="13.5" customHeight="1" x14ac:dyDescent="0.4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6" t="s">
        <v>0</v>
      </c>
      <c r="O1" s="36"/>
      <c r="P1" s="36"/>
      <c r="Q1" s="36"/>
      <c r="R1" s="36"/>
      <c r="S1" s="36"/>
      <c r="T1" s="36"/>
      <c r="U1" s="36"/>
      <c r="V1" s="36"/>
      <c r="W1" s="36"/>
      <c r="X1" s="37"/>
    </row>
    <row r="2" spans="1:24" ht="99" customHeight="1" x14ac:dyDescent="0.4">
      <c r="A2" s="42" t="s">
        <v>1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38"/>
      <c r="O2" s="38"/>
      <c r="P2" s="38"/>
      <c r="Q2" s="38"/>
      <c r="R2" s="38"/>
      <c r="S2" s="38"/>
      <c r="T2" s="38"/>
      <c r="U2" s="38"/>
      <c r="V2" s="38"/>
      <c r="W2" s="38"/>
      <c r="X2" s="39"/>
    </row>
    <row r="3" spans="1:24" ht="39" customHeight="1" x14ac:dyDescent="0.4">
      <c r="A3" s="44" t="s">
        <v>2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0"/>
      <c r="O3" s="40"/>
      <c r="P3" s="40"/>
      <c r="Q3" s="40"/>
      <c r="R3" s="40"/>
      <c r="S3" s="40"/>
      <c r="T3" s="40"/>
      <c r="U3" s="40"/>
      <c r="V3" s="40"/>
      <c r="W3" s="40"/>
      <c r="X3" s="41"/>
    </row>
    <row r="4" spans="1:24" s="10" customFormat="1" ht="13.5" customHeight="1" x14ac:dyDescent="0.4">
      <c r="A4" s="4" t="s">
        <v>3</v>
      </c>
      <c r="B4" s="4" t="s">
        <v>4</v>
      </c>
      <c r="C4" s="4"/>
      <c r="D4" s="4"/>
      <c r="E4" s="5"/>
      <c r="F4" s="6"/>
      <c r="G4" s="7" t="s">
        <v>5</v>
      </c>
      <c r="H4" s="4" t="s">
        <v>6</v>
      </c>
      <c r="I4" s="4" t="s">
        <v>7</v>
      </c>
      <c r="J4" s="4" t="s">
        <v>8</v>
      </c>
      <c r="K4" s="8" t="s">
        <v>9</v>
      </c>
      <c r="L4" s="7" t="s">
        <v>5</v>
      </c>
      <c r="M4" s="8" t="s">
        <v>10</v>
      </c>
      <c r="N4" s="7" t="s">
        <v>5</v>
      </c>
      <c r="O4" s="8" t="s">
        <v>11</v>
      </c>
      <c r="P4" s="7" t="s">
        <v>5</v>
      </c>
      <c r="Q4" s="8" t="s">
        <v>12</v>
      </c>
      <c r="R4" s="7" t="s">
        <v>5</v>
      </c>
      <c r="S4" s="4" t="s">
        <v>13</v>
      </c>
      <c r="T4" s="4" t="s">
        <v>14</v>
      </c>
      <c r="U4" s="9" t="s">
        <v>15</v>
      </c>
      <c r="V4" s="4" t="s">
        <v>16</v>
      </c>
      <c r="W4" s="4" t="s">
        <v>17</v>
      </c>
      <c r="X4" s="4" t="s">
        <v>18</v>
      </c>
    </row>
    <row r="5" spans="1:24" ht="13.5" customHeight="1" x14ac:dyDescent="0.4">
      <c r="A5" s="11" t="s">
        <v>19</v>
      </c>
      <c r="B5" s="11" t="s">
        <v>20</v>
      </c>
      <c r="C5" s="11" t="s">
        <v>21</v>
      </c>
      <c r="D5" s="11" t="s">
        <v>22</v>
      </c>
      <c r="E5" s="12" t="s">
        <v>23</v>
      </c>
      <c r="F5" s="13" t="s">
        <v>24</v>
      </c>
      <c r="G5" s="14" t="s">
        <v>25</v>
      </c>
      <c r="H5" s="15" t="s">
        <v>26</v>
      </c>
      <c r="I5" s="15" t="s">
        <v>27</v>
      </c>
      <c r="J5" s="15" t="s">
        <v>28</v>
      </c>
      <c r="K5" s="16" t="s">
        <v>29</v>
      </c>
      <c r="L5" s="14" t="s">
        <v>25</v>
      </c>
      <c r="M5" s="16" t="s">
        <v>30</v>
      </c>
      <c r="N5" s="14" t="s">
        <v>25</v>
      </c>
      <c r="O5" s="16" t="s">
        <v>31</v>
      </c>
      <c r="P5" s="14" t="s">
        <v>25</v>
      </c>
      <c r="Q5" s="16" t="s">
        <v>32</v>
      </c>
      <c r="R5" s="14" t="s">
        <v>25</v>
      </c>
      <c r="S5" s="17" t="s">
        <v>33</v>
      </c>
      <c r="T5" s="17" t="s">
        <v>34</v>
      </c>
      <c r="U5" s="11" t="s">
        <v>35</v>
      </c>
      <c r="V5" s="17" t="s">
        <v>36</v>
      </c>
      <c r="W5" s="17" t="s">
        <v>37</v>
      </c>
      <c r="X5" s="17" t="s">
        <v>38</v>
      </c>
    </row>
    <row r="6" spans="1:24" ht="13.5" customHeight="1" x14ac:dyDescent="0.15">
      <c r="A6" s="18"/>
      <c r="B6" s="18"/>
      <c r="C6" s="18"/>
      <c r="D6" s="18"/>
      <c r="E6" s="19"/>
      <c r="F6" s="20"/>
      <c r="G6" s="21"/>
      <c r="H6" s="22"/>
      <c r="I6" s="22"/>
      <c r="J6" s="22" t="s">
        <v>39</v>
      </c>
      <c r="K6" s="23" t="s">
        <v>40</v>
      </c>
      <c r="L6" s="24"/>
      <c r="M6" s="23" t="s">
        <v>40</v>
      </c>
      <c r="N6" s="24"/>
      <c r="O6" s="23" t="s">
        <v>40</v>
      </c>
      <c r="P6" s="24"/>
      <c r="Q6" s="23" t="s">
        <v>40</v>
      </c>
      <c r="R6" s="24"/>
      <c r="S6" s="23" t="s">
        <v>40</v>
      </c>
      <c r="T6" s="22" t="s">
        <v>41</v>
      </c>
      <c r="U6" s="22" t="s">
        <v>41</v>
      </c>
      <c r="V6" s="23" t="s">
        <v>40</v>
      </c>
      <c r="W6" s="23" t="s">
        <v>40</v>
      </c>
      <c r="X6" s="22"/>
    </row>
    <row r="7" spans="1:24" s="35" customFormat="1" ht="13.5" customHeight="1" x14ac:dyDescent="0.15">
      <c r="A7" s="25" t="s">
        <v>1013</v>
      </c>
      <c r="B7" s="25" t="s">
        <v>42</v>
      </c>
      <c r="C7" s="25" t="s">
        <v>43</v>
      </c>
      <c r="D7" s="25" t="s">
        <v>44</v>
      </c>
      <c r="E7" s="26" t="s">
        <v>45</v>
      </c>
      <c r="F7" s="27" t="s">
        <v>45</v>
      </c>
      <c r="G7" s="28" t="s">
        <v>45</v>
      </c>
      <c r="H7" s="29"/>
      <c r="I7" s="29" t="s">
        <v>46</v>
      </c>
      <c r="J7" s="30">
        <v>10</v>
      </c>
      <c r="K7" s="31">
        <f>2101</f>
        <v>2101</v>
      </c>
      <c r="L7" s="32" t="s">
        <v>995</v>
      </c>
      <c r="M7" s="31">
        <f>2188.5</f>
        <v>2188.5</v>
      </c>
      <c r="N7" s="32" t="s">
        <v>1004</v>
      </c>
      <c r="O7" s="31">
        <f>2017.5</f>
        <v>2017.5</v>
      </c>
      <c r="P7" s="32" t="s">
        <v>876</v>
      </c>
      <c r="Q7" s="31">
        <f>2142</f>
        <v>2142</v>
      </c>
      <c r="R7" s="32" t="s">
        <v>791</v>
      </c>
      <c r="S7" s="33">
        <f>2103.66</f>
        <v>2103.66</v>
      </c>
      <c r="T7" s="30">
        <f>6524610</f>
        <v>6524610</v>
      </c>
      <c r="U7" s="30">
        <f>1060000</f>
        <v>1060000</v>
      </c>
      <c r="V7" s="30">
        <f>13667163270</f>
        <v>13667163270</v>
      </c>
      <c r="W7" s="30">
        <f>2206928945</f>
        <v>2206928945</v>
      </c>
      <c r="X7" s="34">
        <f>22</f>
        <v>22</v>
      </c>
    </row>
    <row r="8" spans="1:24" ht="13.5" customHeight="1" x14ac:dyDescent="0.15">
      <c r="A8" s="25" t="s">
        <v>1013</v>
      </c>
      <c r="B8" s="25" t="s">
        <v>47</v>
      </c>
      <c r="C8" s="25" t="s">
        <v>48</v>
      </c>
      <c r="D8" s="25" t="s">
        <v>49</v>
      </c>
      <c r="E8" s="26" t="s">
        <v>45</v>
      </c>
      <c r="F8" s="27" t="s">
        <v>45</v>
      </c>
      <c r="G8" s="28" t="s">
        <v>45</v>
      </c>
      <c r="H8" s="29"/>
      <c r="I8" s="29" t="s">
        <v>46</v>
      </c>
      <c r="J8" s="30">
        <v>10</v>
      </c>
      <c r="K8" s="31">
        <f>2077</f>
        <v>2077</v>
      </c>
      <c r="L8" s="32" t="s">
        <v>995</v>
      </c>
      <c r="M8" s="31">
        <f>2164</f>
        <v>2164</v>
      </c>
      <c r="N8" s="32" t="s">
        <v>1004</v>
      </c>
      <c r="O8" s="31">
        <f>1993.5</f>
        <v>1993.5</v>
      </c>
      <c r="P8" s="32" t="s">
        <v>876</v>
      </c>
      <c r="Q8" s="31">
        <f>2119</f>
        <v>2119</v>
      </c>
      <c r="R8" s="32" t="s">
        <v>791</v>
      </c>
      <c r="S8" s="33">
        <f>2079.86</f>
        <v>2079.86</v>
      </c>
      <c r="T8" s="30">
        <f>52119240</f>
        <v>52119240</v>
      </c>
      <c r="U8" s="30">
        <f>6181120</f>
        <v>6181120</v>
      </c>
      <c r="V8" s="30">
        <f>107876703023</f>
        <v>107876703023</v>
      </c>
      <c r="W8" s="30">
        <f>12777337343</f>
        <v>12777337343</v>
      </c>
      <c r="X8" s="34">
        <f>22</f>
        <v>22</v>
      </c>
    </row>
    <row r="9" spans="1:24" ht="13.5" customHeight="1" x14ac:dyDescent="0.15">
      <c r="A9" s="25" t="s">
        <v>1013</v>
      </c>
      <c r="B9" s="25" t="s">
        <v>50</v>
      </c>
      <c r="C9" s="25" t="s">
        <v>51</v>
      </c>
      <c r="D9" s="25" t="s">
        <v>52</v>
      </c>
      <c r="E9" s="26" t="s">
        <v>45</v>
      </c>
      <c r="F9" s="27" t="s">
        <v>45</v>
      </c>
      <c r="G9" s="28" t="s">
        <v>45</v>
      </c>
      <c r="H9" s="29"/>
      <c r="I9" s="29" t="s">
        <v>46</v>
      </c>
      <c r="J9" s="30">
        <v>100</v>
      </c>
      <c r="K9" s="31">
        <f>2054</f>
        <v>2054</v>
      </c>
      <c r="L9" s="32" t="s">
        <v>995</v>
      </c>
      <c r="M9" s="31">
        <f>2138.5</f>
        <v>2138.5</v>
      </c>
      <c r="N9" s="32" t="s">
        <v>1004</v>
      </c>
      <c r="O9" s="31">
        <f>1971</f>
        <v>1971</v>
      </c>
      <c r="P9" s="32" t="s">
        <v>876</v>
      </c>
      <c r="Q9" s="31">
        <f>2093.5</f>
        <v>2093.5</v>
      </c>
      <c r="R9" s="32" t="s">
        <v>791</v>
      </c>
      <c r="S9" s="33">
        <f>2055.14</f>
        <v>2055.14</v>
      </c>
      <c r="T9" s="30">
        <f>9452100</f>
        <v>9452100</v>
      </c>
      <c r="U9" s="30">
        <f>1531500</f>
        <v>1531500</v>
      </c>
      <c r="V9" s="30">
        <f>19549785615</f>
        <v>19549785615</v>
      </c>
      <c r="W9" s="30">
        <f>3146376865</f>
        <v>3146376865</v>
      </c>
      <c r="X9" s="34">
        <f>22</f>
        <v>22</v>
      </c>
    </row>
    <row r="10" spans="1:24" ht="13.5" customHeight="1" x14ac:dyDescent="0.15">
      <c r="A10" s="25" t="s">
        <v>1013</v>
      </c>
      <c r="B10" s="25" t="s">
        <v>53</v>
      </c>
      <c r="C10" s="25" t="s">
        <v>54</v>
      </c>
      <c r="D10" s="25" t="s">
        <v>55</v>
      </c>
      <c r="E10" s="26" t="s">
        <v>45</v>
      </c>
      <c r="F10" s="27" t="s">
        <v>45</v>
      </c>
      <c r="G10" s="28" t="s">
        <v>45</v>
      </c>
      <c r="H10" s="29"/>
      <c r="I10" s="29" t="s">
        <v>46</v>
      </c>
      <c r="J10" s="30">
        <v>1</v>
      </c>
      <c r="K10" s="31">
        <f>40700</f>
        <v>40700</v>
      </c>
      <c r="L10" s="32" t="s">
        <v>995</v>
      </c>
      <c r="M10" s="31">
        <f>42700</f>
        <v>42700</v>
      </c>
      <c r="N10" s="32" t="s">
        <v>78</v>
      </c>
      <c r="O10" s="31">
        <f>38700</f>
        <v>38700</v>
      </c>
      <c r="P10" s="32" t="s">
        <v>80</v>
      </c>
      <c r="Q10" s="31">
        <f>40000</f>
        <v>40000</v>
      </c>
      <c r="R10" s="32" t="s">
        <v>791</v>
      </c>
      <c r="S10" s="33">
        <f>40139.09</f>
        <v>40139.089999999997</v>
      </c>
      <c r="T10" s="30">
        <f>3749</f>
        <v>3749</v>
      </c>
      <c r="U10" s="30" t="str">
        <f>"－"</f>
        <v>－</v>
      </c>
      <c r="V10" s="30">
        <f>151344100</f>
        <v>151344100</v>
      </c>
      <c r="W10" s="30" t="str">
        <f>"－"</f>
        <v>－</v>
      </c>
      <c r="X10" s="34">
        <f>22</f>
        <v>22</v>
      </c>
    </row>
    <row r="11" spans="1:24" ht="13.5" customHeight="1" x14ac:dyDescent="0.15">
      <c r="A11" s="25" t="s">
        <v>1013</v>
      </c>
      <c r="B11" s="25" t="s">
        <v>57</v>
      </c>
      <c r="C11" s="25" t="s">
        <v>58</v>
      </c>
      <c r="D11" s="25" t="s">
        <v>59</v>
      </c>
      <c r="E11" s="26" t="s">
        <v>45</v>
      </c>
      <c r="F11" s="27" t="s">
        <v>45</v>
      </c>
      <c r="G11" s="28" t="s">
        <v>45</v>
      </c>
      <c r="H11" s="29"/>
      <c r="I11" s="29" t="s">
        <v>46</v>
      </c>
      <c r="J11" s="30">
        <v>10</v>
      </c>
      <c r="K11" s="31">
        <f>973.8</f>
        <v>973.8</v>
      </c>
      <c r="L11" s="32" t="s">
        <v>995</v>
      </c>
      <c r="M11" s="31">
        <f>1020</f>
        <v>1020</v>
      </c>
      <c r="N11" s="32" t="s">
        <v>1003</v>
      </c>
      <c r="O11" s="31">
        <f>930</f>
        <v>930</v>
      </c>
      <c r="P11" s="32" t="s">
        <v>876</v>
      </c>
      <c r="Q11" s="31">
        <f>998.8</f>
        <v>998.8</v>
      </c>
      <c r="R11" s="32" t="s">
        <v>791</v>
      </c>
      <c r="S11" s="33">
        <f>977.16</f>
        <v>977.16</v>
      </c>
      <c r="T11" s="30">
        <f>267810</f>
        <v>267810</v>
      </c>
      <c r="U11" s="30">
        <f>100010</f>
        <v>100010</v>
      </c>
      <c r="V11" s="30">
        <f>264578459</f>
        <v>264578459</v>
      </c>
      <c r="W11" s="30">
        <f>101389755</f>
        <v>101389755</v>
      </c>
      <c r="X11" s="34">
        <f>22</f>
        <v>22</v>
      </c>
    </row>
    <row r="12" spans="1:24" ht="13.5" customHeight="1" x14ac:dyDescent="0.15">
      <c r="A12" s="25" t="s">
        <v>1013</v>
      </c>
      <c r="B12" s="25" t="s">
        <v>60</v>
      </c>
      <c r="C12" s="25" t="s">
        <v>61</v>
      </c>
      <c r="D12" s="25" t="s">
        <v>62</v>
      </c>
      <c r="E12" s="26" t="s">
        <v>1014</v>
      </c>
      <c r="F12" s="27" t="s">
        <v>1015</v>
      </c>
      <c r="G12" s="28" t="s">
        <v>1016</v>
      </c>
      <c r="H12" s="29" t="s">
        <v>877</v>
      </c>
      <c r="I12" s="29"/>
      <c r="J12" s="30">
        <v>1</v>
      </c>
      <c r="K12" s="31">
        <f>21200</f>
        <v>21200</v>
      </c>
      <c r="L12" s="32" t="s">
        <v>995</v>
      </c>
      <c r="M12" s="31">
        <f>21660</f>
        <v>21660</v>
      </c>
      <c r="N12" s="32" t="s">
        <v>1003</v>
      </c>
      <c r="O12" s="31">
        <f>21060</f>
        <v>21060</v>
      </c>
      <c r="P12" s="32" t="s">
        <v>995</v>
      </c>
      <c r="Q12" s="31">
        <f>21615</f>
        <v>21615</v>
      </c>
      <c r="R12" s="32" t="s">
        <v>1003</v>
      </c>
      <c r="S12" s="33">
        <f>21407</f>
        <v>21407</v>
      </c>
      <c r="T12" s="30">
        <f>2496</f>
        <v>2496</v>
      </c>
      <c r="U12" s="30" t="str">
        <f>"－"</f>
        <v>－</v>
      </c>
      <c r="V12" s="30">
        <f>53594355</f>
        <v>53594355</v>
      </c>
      <c r="W12" s="30" t="str">
        <f>"－"</f>
        <v>－</v>
      </c>
      <c r="X12" s="34">
        <f>5</f>
        <v>5</v>
      </c>
    </row>
    <row r="13" spans="1:24" ht="13.5" customHeight="1" x14ac:dyDescent="0.15">
      <c r="A13" s="25" t="s">
        <v>1013</v>
      </c>
      <c r="B13" s="25" t="s">
        <v>66</v>
      </c>
      <c r="C13" s="25" t="s">
        <v>67</v>
      </c>
      <c r="D13" s="25" t="s">
        <v>68</v>
      </c>
      <c r="E13" s="26" t="s">
        <v>45</v>
      </c>
      <c r="F13" s="27" t="s">
        <v>45</v>
      </c>
      <c r="G13" s="28" t="s">
        <v>45</v>
      </c>
      <c r="H13" s="29"/>
      <c r="I13" s="29" t="s">
        <v>46</v>
      </c>
      <c r="J13" s="30">
        <v>1000</v>
      </c>
      <c r="K13" s="31">
        <f>348</f>
        <v>348</v>
      </c>
      <c r="L13" s="32" t="s">
        <v>999</v>
      </c>
      <c r="M13" s="31">
        <f>358.3</f>
        <v>358.3</v>
      </c>
      <c r="N13" s="32" t="s">
        <v>875</v>
      </c>
      <c r="O13" s="31">
        <f>333.6</f>
        <v>333.6</v>
      </c>
      <c r="P13" s="32" t="s">
        <v>876</v>
      </c>
      <c r="Q13" s="31">
        <f>339</f>
        <v>339</v>
      </c>
      <c r="R13" s="32" t="s">
        <v>791</v>
      </c>
      <c r="S13" s="33">
        <f>343.62</f>
        <v>343.62</v>
      </c>
      <c r="T13" s="30">
        <f>45000</f>
        <v>45000</v>
      </c>
      <c r="U13" s="30">
        <f>2000</f>
        <v>2000</v>
      </c>
      <c r="V13" s="30">
        <f>15526100</f>
        <v>15526100</v>
      </c>
      <c r="W13" s="30">
        <f>691700</f>
        <v>691700</v>
      </c>
      <c r="X13" s="34">
        <f>17</f>
        <v>17</v>
      </c>
    </row>
    <row r="14" spans="1:24" ht="13.5" customHeight="1" x14ac:dyDescent="0.15">
      <c r="A14" s="25" t="s">
        <v>1013</v>
      </c>
      <c r="B14" s="25" t="s">
        <v>69</v>
      </c>
      <c r="C14" s="25" t="s">
        <v>70</v>
      </c>
      <c r="D14" s="25" t="s">
        <v>71</v>
      </c>
      <c r="E14" s="26" t="s">
        <v>45</v>
      </c>
      <c r="F14" s="27" t="s">
        <v>45</v>
      </c>
      <c r="G14" s="28" t="s">
        <v>45</v>
      </c>
      <c r="H14" s="29"/>
      <c r="I14" s="29" t="s">
        <v>46</v>
      </c>
      <c r="J14" s="30">
        <v>1</v>
      </c>
      <c r="K14" s="31">
        <f>28250</f>
        <v>28250</v>
      </c>
      <c r="L14" s="32" t="s">
        <v>995</v>
      </c>
      <c r="M14" s="31">
        <f>29645</f>
        <v>29645</v>
      </c>
      <c r="N14" s="32" t="s">
        <v>1004</v>
      </c>
      <c r="O14" s="31">
        <f>27500</f>
        <v>27500</v>
      </c>
      <c r="P14" s="32" t="s">
        <v>876</v>
      </c>
      <c r="Q14" s="31">
        <f>29225</f>
        <v>29225</v>
      </c>
      <c r="R14" s="32" t="s">
        <v>791</v>
      </c>
      <c r="S14" s="33">
        <f>28604.77</f>
        <v>28604.77</v>
      </c>
      <c r="T14" s="30">
        <f>1422379</f>
        <v>1422379</v>
      </c>
      <c r="U14" s="30">
        <f>62985</f>
        <v>62985</v>
      </c>
      <c r="V14" s="30">
        <f>40580383584</f>
        <v>40580383584</v>
      </c>
      <c r="W14" s="30">
        <f>1792585024</f>
        <v>1792585024</v>
      </c>
      <c r="X14" s="34">
        <f>22</f>
        <v>22</v>
      </c>
    </row>
    <row r="15" spans="1:24" ht="13.5" customHeight="1" x14ac:dyDescent="0.15">
      <c r="A15" s="25" t="s">
        <v>1013</v>
      </c>
      <c r="B15" s="25" t="s">
        <v>72</v>
      </c>
      <c r="C15" s="25" t="s">
        <v>73</v>
      </c>
      <c r="D15" s="25" t="s">
        <v>74</v>
      </c>
      <c r="E15" s="26" t="s">
        <v>45</v>
      </c>
      <c r="F15" s="27" t="s">
        <v>45</v>
      </c>
      <c r="G15" s="28" t="s">
        <v>45</v>
      </c>
      <c r="H15" s="29"/>
      <c r="I15" s="29" t="s">
        <v>46</v>
      </c>
      <c r="J15" s="30">
        <v>1</v>
      </c>
      <c r="K15" s="31">
        <f>28345</f>
        <v>28345</v>
      </c>
      <c r="L15" s="32" t="s">
        <v>995</v>
      </c>
      <c r="M15" s="31">
        <f>29730</f>
        <v>29730</v>
      </c>
      <c r="N15" s="32" t="s">
        <v>1004</v>
      </c>
      <c r="O15" s="31">
        <f>27580</f>
        <v>27580</v>
      </c>
      <c r="P15" s="32" t="s">
        <v>876</v>
      </c>
      <c r="Q15" s="31">
        <f>29290</f>
        <v>29290</v>
      </c>
      <c r="R15" s="32" t="s">
        <v>791</v>
      </c>
      <c r="S15" s="33">
        <f>28687.5</f>
        <v>28687.5</v>
      </c>
      <c r="T15" s="30">
        <f>7434726</f>
        <v>7434726</v>
      </c>
      <c r="U15" s="30">
        <f>249727</f>
        <v>249727</v>
      </c>
      <c r="V15" s="30">
        <f>213154050082</f>
        <v>213154050082</v>
      </c>
      <c r="W15" s="30">
        <f>7129290792</f>
        <v>7129290792</v>
      </c>
      <c r="X15" s="34">
        <f>22</f>
        <v>22</v>
      </c>
    </row>
    <row r="16" spans="1:24" ht="13.5" customHeight="1" x14ac:dyDescent="0.15">
      <c r="A16" s="25" t="s">
        <v>1013</v>
      </c>
      <c r="B16" s="25" t="s">
        <v>75</v>
      </c>
      <c r="C16" s="25" t="s">
        <v>76</v>
      </c>
      <c r="D16" s="25" t="s">
        <v>77</v>
      </c>
      <c r="E16" s="26" t="s">
        <v>45</v>
      </c>
      <c r="F16" s="27" t="s">
        <v>45</v>
      </c>
      <c r="G16" s="28" t="s">
        <v>45</v>
      </c>
      <c r="H16" s="29"/>
      <c r="I16" s="29" t="s">
        <v>46</v>
      </c>
      <c r="J16" s="30">
        <v>10</v>
      </c>
      <c r="K16" s="31">
        <f>7950</f>
        <v>7950</v>
      </c>
      <c r="L16" s="32" t="s">
        <v>995</v>
      </c>
      <c r="M16" s="31">
        <f>8200</f>
        <v>8200</v>
      </c>
      <c r="N16" s="32" t="s">
        <v>78</v>
      </c>
      <c r="O16" s="31">
        <f>7576</f>
        <v>7576</v>
      </c>
      <c r="P16" s="32" t="s">
        <v>80</v>
      </c>
      <c r="Q16" s="31">
        <f>7827</f>
        <v>7827</v>
      </c>
      <c r="R16" s="32" t="s">
        <v>791</v>
      </c>
      <c r="S16" s="33">
        <f>7807.68</f>
        <v>7807.68</v>
      </c>
      <c r="T16" s="30">
        <f>6430</f>
        <v>6430</v>
      </c>
      <c r="U16" s="30" t="str">
        <f>"－"</f>
        <v>－</v>
      </c>
      <c r="V16" s="30">
        <f>50462580</f>
        <v>50462580</v>
      </c>
      <c r="W16" s="30" t="str">
        <f>"－"</f>
        <v>－</v>
      </c>
      <c r="X16" s="34">
        <f>22</f>
        <v>22</v>
      </c>
    </row>
    <row r="17" spans="1:24" ht="13.5" customHeight="1" x14ac:dyDescent="0.15">
      <c r="A17" s="25" t="s">
        <v>1013</v>
      </c>
      <c r="B17" s="25" t="s">
        <v>79</v>
      </c>
      <c r="C17" s="25" t="s">
        <v>926</v>
      </c>
      <c r="D17" s="25" t="s">
        <v>927</v>
      </c>
      <c r="E17" s="26" t="s">
        <v>45</v>
      </c>
      <c r="F17" s="27" t="s">
        <v>45</v>
      </c>
      <c r="G17" s="28" t="s">
        <v>45</v>
      </c>
      <c r="H17" s="29"/>
      <c r="I17" s="29" t="s">
        <v>46</v>
      </c>
      <c r="J17" s="30">
        <v>100</v>
      </c>
      <c r="K17" s="31" t="str">
        <f>"－"</f>
        <v>－</v>
      </c>
      <c r="L17" s="32"/>
      <c r="M17" s="31" t="str">
        <f>"－"</f>
        <v>－</v>
      </c>
      <c r="N17" s="32"/>
      <c r="O17" s="31" t="str">
        <f>"－"</f>
        <v>－</v>
      </c>
      <c r="P17" s="32"/>
      <c r="Q17" s="31" t="str">
        <f>"－"</f>
        <v>－</v>
      </c>
      <c r="R17" s="32"/>
      <c r="S17" s="33" t="str">
        <f>"－"</f>
        <v>－</v>
      </c>
      <c r="T17" s="30" t="str">
        <f>"－"</f>
        <v>－</v>
      </c>
      <c r="U17" s="30" t="str">
        <f>"－"</f>
        <v>－</v>
      </c>
      <c r="V17" s="30" t="str">
        <f>"－"</f>
        <v>－</v>
      </c>
      <c r="W17" s="30" t="str">
        <f>"－"</f>
        <v>－</v>
      </c>
      <c r="X17" s="34" t="str">
        <f>"－"</f>
        <v>－</v>
      </c>
    </row>
    <row r="18" spans="1:24" ht="13.5" customHeight="1" x14ac:dyDescent="0.15">
      <c r="A18" s="25" t="s">
        <v>1013</v>
      </c>
      <c r="B18" s="25" t="s">
        <v>81</v>
      </c>
      <c r="C18" s="25" t="s">
        <v>82</v>
      </c>
      <c r="D18" s="25" t="s">
        <v>83</v>
      </c>
      <c r="E18" s="26" t="s">
        <v>45</v>
      </c>
      <c r="F18" s="27" t="s">
        <v>45</v>
      </c>
      <c r="G18" s="28" t="s">
        <v>45</v>
      </c>
      <c r="H18" s="29"/>
      <c r="I18" s="29" t="s">
        <v>46</v>
      </c>
      <c r="J18" s="30">
        <v>100</v>
      </c>
      <c r="K18" s="31">
        <f>202.7</f>
        <v>202.7</v>
      </c>
      <c r="L18" s="32" t="s">
        <v>995</v>
      </c>
      <c r="M18" s="31">
        <f>204.7</f>
        <v>204.7</v>
      </c>
      <c r="N18" s="32" t="s">
        <v>996</v>
      </c>
      <c r="O18" s="31">
        <f>187.9</f>
        <v>187.9</v>
      </c>
      <c r="P18" s="32" t="s">
        <v>793</v>
      </c>
      <c r="Q18" s="31">
        <f>195.4</f>
        <v>195.4</v>
      </c>
      <c r="R18" s="32" t="s">
        <v>791</v>
      </c>
      <c r="S18" s="33">
        <f>195.46</f>
        <v>195.46</v>
      </c>
      <c r="T18" s="30">
        <f>376900</f>
        <v>376900</v>
      </c>
      <c r="U18" s="30" t="str">
        <f>"－"</f>
        <v>－</v>
      </c>
      <c r="V18" s="30">
        <f>73517320</f>
        <v>73517320</v>
      </c>
      <c r="W18" s="30" t="str">
        <f>"－"</f>
        <v>－</v>
      </c>
      <c r="X18" s="34">
        <f>22</f>
        <v>22</v>
      </c>
    </row>
    <row r="19" spans="1:24" ht="13.5" customHeight="1" x14ac:dyDescent="0.15">
      <c r="A19" s="25" t="s">
        <v>1013</v>
      </c>
      <c r="B19" s="25" t="s">
        <v>84</v>
      </c>
      <c r="C19" s="25" t="s">
        <v>85</v>
      </c>
      <c r="D19" s="25" t="s">
        <v>86</v>
      </c>
      <c r="E19" s="26" t="s">
        <v>45</v>
      </c>
      <c r="F19" s="27" t="s">
        <v>45</v>
      </c>
      <c r="G19" s="28" t="s">
        <v>45</v>
      </c>
      <c r="H19" s="29"/>
      <c r="I19" s="29" t="s">
        <v>46</v>
      </c>
      <c r="J19" s="30">
        <v>1</v>
      </c>
      <c r="K19" s="31">
        <f>23135</f>
        <v>23135</v>
      </c>
      <c r="L19" s="32" t="s">
        <v>995</v>
      </c>
      <c r="M19" s="31">
        <f>24550</f>
        <v>24550</v>
      </c>
      <c r="N19" s="32" t="s">
        <v>791</v>
      </c>
      <c r="O19" s="31">
        <f>23070</f>
        <v>23070</v>
      </c>
      <c r="P19" s="32" t="s">
        <v>1004</v>
      </c>
      <c r="Q19" s="31">
        <f>24465</f>
        <v>24465</v>
      </c>
      <c r="R19" s="32" t="s">
        <v>791</v>
      </c>
      <c r="S19" s="33">
        <f>23703.64</f>
        <v>23703.64</v>
      </c>
      <c r="T19" s="30">
        <f>150184</f>
        <v>150184</v>
      </c>
      <c r="U19" s="30">
        <f>9464</f>
        <v>9464</v>
      </c>
      <c r="V19" s="30">
        <f>3565983179</f>
        <v>3565983179</v>
      </c>
      <c r="W19" s="30">
        <f>224078089</f>
        <v>224078089</v>
      </c>
      <c r="X19" s="34">
        <f>22</f>
        <v>22</v>
      </c>
    </row>
    <row r="20" spans="1:24" ht="13.5" customHeight="1" x14ac:dyDescent="0.15">
      <c r="A20" s="25" t="s">
        <v>1013</v>
      </c>
      <c r="B20" s="25" t="s">
        <v>87</v>
      </c>
      <c r="C20" s="25" t="s">
        <v>88</v>
      </c>
      <c r="D20" s="25" t="s">
        <v>89</v>
      </c>
      <c r="E20" s="26" t="s">
        <v>45</v>
      </c>
      <c r="F20" s="27" t="s">
        <v>45</v>
      </c>
      <c r="G20" s="28" t="s">
        <v>45</v>
      </c>
      <c r="H20" s="29"/>
      <c r="I20" s="29" t="s">
        <v>46</v>
      </c>
      <c r="J20" s="30">
        <v>10</v>
      </c>
      <c r="K20" s="31">
        <f>6188</f>
        <v>6188</v>
      </c>
      <c r="L20" s="32" t="s">
        <v>995</v>
      </c>
      <c r="M20" s="31">
        <f>6564</f>
        <v>6564</v>
      </c>
      <c r="N20" s="32" t="s">
        <v>791</v>
      </c>
      <c r="O20" s="31">
        <f>6165</f>
        <v>6165</v>
      </c>
      <c r="P20" s="32" t="s">
        <v>1004</v>
      </c>
      <c r="Q20" s="31">
        <f>6544</f>
        <v>6544</v>
      </c>
      <c r="R20" s="32" t="s">
        <v>791</v>
      </c>
      <c r="S20" s="33">
        <f>6345.73</f>
        <v>6345.73</v>
      </c>
      <c r="T20" s="30">
        <f>195380</f>
        <v>195380</v>
      </c>
      <c r="U20" s="30">
        <f>30</f>
        <v>30</v>
      </c>
      <c r="V20" s="30">
        <f>1245977650</f>
        <v>1245977650</v>
      </c>
      <c r="W20" s="30">
        <f>190500</f>
        <v>190500</v>
      </c>
      <c r="X20" s="34">
        <f>22</f>
        <v>22</v>
      </c>
    </row>
    <row r="21" spans="1:24" ht="13.5" customHeight="1" x14ac:dyDescent="0.15">
      <c r="A21" s="25" t="s">
        <v>1013</v>
      </c>
      <c r="B21" s="25" t="s">
        <v>90</v>
      </c>
      <c r="C21" s="25" t="s">
        <v>91</v>
      </c>
      <c r="D21" s="25" t="s">
        <v>92</v>
      </c>
      <c r="E21" s="26" t="s">
        <v>45</v>
      </c>
      <c r="F21" s="27" t="s">
        <v>45</v>
      </c>
      <c r="G21" s="28" t="s">
        <v>45</v>
      </c>
      <c r="H21" s="29"/>
      <c r="I21" s="29" t="s">
        <v>46</v>
      </c>
      <c r="J21" s="30">
        <v>1</v>
      </c>
      <c r="K21" s="31">
        <f>28245</f>
        <v>28245</v>
      </c>
      <c r="L21" s="32" t="s">
        <v>995</v>
      </c>
      <c r="M21" s="31">
        <f>29625</f>
        <v>29625</v>
      </c>
      <c r="N21" s="32" t="s">
        <v>1004</v>
      </c>
      <c r="O21" s="31">
        <f>27475</f>
        <v>27475</v>
      </c>
      <c r="P21" s="32" t="s">
        <v>876</v>
      </c>
      <c r="Q21" s="31">
        <f>29195</f>
        <v>29195</v>
      </c>
      <c r="R21" s="32" t="s">
        <v>791</v>
      </c>
      <c r="S21" s="33">
        <f>28578.64</f>
        <v>28578.639999999999</v>
      </c>
      <c r="T21" s="30">
        <f>741276</f>
        <v>741276</v>
      </c>
      <c r="U21" s="30">
        <f>87643</f>
        <v>87643</v>
      </c>
      <c r="V21" s="30">
        <f>21199269338</f>
        <v>21199269338</v>
      </c>
      <c r="W21" s="30">
        <f>2526867078</f>
        <v>2526867078</v>
      </c>
      <c r="X21" s="34">
        <f>22</f>
        <v>22</v>
      </c>
    </row>
    <row r="22" spans="1:24" ht="13.5" customHeight="1" x14ac:dyDescent="0.15">
      <c r="A22" s="25" t="s">
        <v>1013</v>
      </c>
      <c r="B22" s="25" t="s">
        <v>93</v>
      </c>
      <c r="C22" s="25" t="s">
        <v>94</v>
      </c>
      <c r="D22" s="25" t="s">
        <v>95</v>
      </c>
      <c r="E22" s="26" t="s">
        <v>45</v>
      </c>
      <c r="F22" s="27" t="s">
        <v>45</v>
      </c>
      <c r="G22" s="28" t="s">
        <v>45</v>
      </c>
      <c r="H22" s="29"/>
      <c r="I22" s="29" t="s">
        <v>46</v>
      </c>
      <c r="J22" s="30">
        <v>10</v>
      </c>
      <c r="K22" s="31">
        <f>28370</f>
        <v>28370</v>
      </c>
      <c r="L22" s="32" t="s">
        <v>995</v>
      </c>
      <c r="M22" s="31">
        <f>29755</f>
        <v>29755</v>
      </c>
      <c r="N22" s="32" t="s">
        <v>1004</v>
      </c>
      <c r="O22" s="31">
        <f>27590</f>
        <v>27590</v>
      </c>
      <c r="P22" s="32" t="s">
        <v>876</v>
      </c>
      <c r="Q22" s="31">
        <f>29320</f>
        <v>29320</v>
      </c>
      <c r="R22" s="32" t="s">
        <v>791</v>
      </c>
      <c r="S22" s="33">
        <f>28709.77</f>
        <v>28709.77</v>
      </c>
      <c r="T22" s="30">
        <f>1097650</f>
        <v>1097650</v>
      </c>
      <c r="U22" s="30">
        <f>143190</f>
        <v>143190</v>
      </c>
      <c r="V22" s="30">
        <f>31549031035</f>
        <v>31549031035</v>
      </c>
      <c r="W22" s="30">
        <f>4147122185</f>
        <v>4147122185</v>
      </c>
      <c r="X22" s="34">
        <f>22</f>
        <v>22</v>
      </c>
    </row>
    <row r="23" spans="1:24" ht="13.5" customHeight="1" x14ac:dyDescent="0.15">
      <c r="A23" s="25" t="s">
        <v>1013</v>
      </c>
      <c r="B23" s="25" t="s">
        <v>96</v>
      </c>
      <c r="C23" s="25" t="s">
        <v>97</v>
      </c>
      <c r="D23" s="25" t="s">
        <v>98</v>
      </c>
      <c r="E23" s="26" t="s">
        <v>45</v>
      </c>
      <c r="F23" s="27" t="s">
        <v>45</v>
      </c>
      <c r="G23" s="28" t="s">
        <v>45</v>
      </c>
      <c r="H23" s="29"/>
      <c r="I23" s="29" t="s">
        <v>46</v>
      </c>
      <c r="J23" s="30">
        <v>10</v>
      </c>
      <c r="K23" s="31">
        <f>1989</f>
        <v>1989</v>
      </c>
      <c r="L23" s="32" t="s">
        <v>995</v>
      </c>
      <c r="M23" s="31">
        <f>1989</f>
        <v>1989</v>
      </c>
      <c r="N23" s="32" t="s">
        <v>995</v>
      </c>
      <c r="O23" s="31">
        <f>1881</f>
        <v>1881</v>
      </c>
      <c r="P23" s="32" t="s">
        <v>80</v>
      </c>
      <c r="Q23" s="31">
        <f>1925</f>
        <v>1925</v>
      </c>
      <c r="R23" s="32" t="s">
        <v>791</v>
      </c>
      <c r="S23" s="33">
        <f>1935.89</f>
        <v>1935.89</v>
      </c>
      <c r="T23" s="30">
        <f>19277890</f>
        <v>19277890</v>
      </c>
      <c r="U23" s="30">
        <f>1540560</f>
        <v>1540560</v>
      </c>
      <c r="V23" s="30">
        <f>37120438446</f>
        <v>37120438446</v>
      </c>
      <c r="W23" s="30">
        <f>2978645371</f>
        <v>2978645371</v>
      </c>
      <c r="X23" s="34">
        <f>22</f>
        <v>22</v>
      </c>
    </row>
    <row r="24" spans="1:24" ht="13.5" customHeight="1" x14ac:dyDescent="0.15">
      <c r="A24" s="25" t="s">
        <v>1013</v>
      </c>
      <c r="B24" s="25" t="s">
        <v>99</v>
      </c>
      <c r="C24" s="25" t="s">
        <v>100</v>
      </c>
      <c r="D24" s="25" t="s">
        <v>101</v>
      </c>
      <c r="E24" s="26" t="s">
        <v>45</v>
      </c>
      <c r="F24" s="27" t="s">
        <v>45</v>
      </c>
      <c r="G24" s="28" t="s">
        <v>45</v>
      </c>
      <c r="H24" s="29"/>
      <c r="I24" s="29" t="s">
        <v>46</v>
      </c>
      <c r="J24" s="30">
        <v>100</v>
      </c>
      <c r="K24" s="31">
        <f>1883.5</f>
        <v>1883.5</v>
      </c>
      <c r="L24" s="32" t="s">
        <v>995</v>
      </c>
      <c r="M24" s="31">
        <f>1883.5</f>
        <v>1883.5</v>
      </c>
      <c r="N24" s="32" t="s">
        <v>995</v>
      </c>
      <c r="O24" s="31">
        <f>1764</f>
        <v>1764</v>
      </c>
      <c r="P24" s="32" t="s">
        <v>80</v>
      </c>
      <c r="Q24" s="31">
        <f>1805.5</f>
        <v>1805.5</v>
      </c>
      <c r="R24" s="32" t="s">
        <v>791</v>
      </c>
      <c r="S24" s="33">
        <f>1818.73</f>
        <v>1818.73</v>
      </c>
      <c r="T24" s="30">
        <f>1793200</f>
        <v>1793200</v>
      </c>
      <c r="U24" s="30">
        <f>212500</f>
        <v>212500</v>
      </c>
      <c r="V24" s="30">
        <f>3259083462</f>
        <v>3259083462</v>
      </c>
      <c r="W24" s="30">
        <f>388112362</f>
        <v>388112362</v>
      </c>
      <c r="X24" s="34">
        <f>22</f>
        <v>22</v>
      </c>
    </row>
    <row r="25" spans="1:24" ht="13.5" customHeight="1" x14ac:dyDescent="0.15">
      <c r="A25" s="25" t="s">
        <v>1013</v>
      </c>
      <c r="B25" s="25" t="s">
        <v>102</v>
      </c>
      <c r="C25" s="25" t="s">
        <v>103</v>
      </c>
      <c r="D25" s="25" t="s">
        <v>104</v>
      </c>
      <c r="E25" s="26" t="s">
        <v>45</v>
      </c>
      <c r="F25" s="27" t="s">
        <v>45</v>
      </c>
      <c r="G25" s="28" t="s">
        <v>45</v>
      </c>
      <c r="H25" s="29"/>
      <c r="I25" s="29" t="s">
        <v>46</v>
      </c>
      <c r="J25" s="30">
        <v>1</v>
      </c>
      <c r="K25" s="31">
        <f>28180</f>
        <v>28180</v>
      </c>
      <c r="L25" s="32" t="s">
        <v>995</v>
      </c>
      <c r="M25" s="31">
        <f>29570</f>
        <v>29570</v>
      </c>
      <c r="N25" s="32" t="s">
        <v>1004</v>
      </c>
      <c r="O25" s="31">
        <f>27425</f>
        <v>27425</v>
      </c>
      <c r="P25" s="32" t="s">
        <v>876</v>
      </c>
      <c r="Q25" s="31">
        <f>29150</f>
        <v>29150</v>
      </c>
      <c r="R25" s="32" t="s">
        <v>791</v>
      </c>
      <c r="S25" s="33">
        <f>28529.55</f>
        <v>28529.55</v>
      </c>
      <c r="T25" s="30">
        <f>675491</f>
        <v>675491</v>
      </c>
      <c r="U25" s="30">
        <f>96998</f>
        <v>96998</v>
      </c>
      <c r="V25" s="30">
        <f>19263838238</f>
        <v>19263838238</v>
      </c>
      <c r="W25" s="30">
        <f>2793361578</f>
        <v>2793361578</v>
      </c>
      <c r="X25" s="34">
        <f>22</f>
        <v>22</v>
      </c>
    </row>
    <row r="26" spans="1:24" ht="13.5" customHeight="1" x14ac:dyDescent="0.15">
      <c r="A26" s="25" t="s">
        <v>1013</v>
      </c>
      <c r="B26" s="25" t="s">
        <v>105</v>
      </c>
      <c r="C26" s="25" t="s">
        <v>106</v>
      </c>
      <c r="D26" s="25" t="s">
        <v>107</v>
      </c>
      <c r="E26" s="26" t="s">
        <v>45</v>
      </c>
      <c r="F26" s="27" t="s">
        <v>45</v>
      </c>
      <c r="G26" s="28" t="s">
        <v>45</v>
      </c>
      <c r="H26" s="29"/>
      <c r="I26" s="29" t="s">
        <v>46</v>
      </c>
      <c r="J26" s="30">
        <v>10</v>
      </c>
      <c r="K26" s="31">
        <f>2055</f>
        <v>2055</v>
      </c>
      <c r="L26" s="32" t="s">
        <v>995</v>
      </c>
      <c r="M26" s="31">
        <f>2139.5</f>
        <v>2139.5</v>
      </c>
      <c r="N26" s="32" t="s">
        <v>1004</v>
      </c>
      <c r="O26" s="31">
        <f>1972</f>
        <v>1972</v>
      </c>
      <c r="P26" s="32" t="s">
        <v>876</v>
      </c>
      <c r="Q26" s="31">
        <f>2094.5</f>
        <v>2094.5</v>
      </c>
      <c r="R26" s="32" t="s">
        <v>791</v>
      </c>
      <c r="S26" s="33">
        <f>2056.2</f>
        <v>2056.1999999999998</v>
      </c>
      <c r="T26" s="30">
        <f>7649410</f>
        <v>7649410</v>
      </c>
      <c r="U26" s="30">
        <f>4593770</f>
        <v>4593770</v>
      </c>
      <c r="V26" s="30">
        <f>15762919867</f>
        <v>15762919867</v>
      </c>
      <c r="W26" s="30">
        <f>9503966527</f>
        <v>9503966527</v>
      </c>
      <c r="X26" s="34">
        <f>22</f>
        <v>22</v>
      </c>
    </row>
    <row r="27" spans="1:24" ht="13.5" customHeight="1" x14ac:dyDescent="0.15">
      <c r="A27" s="25" t="s">
        <v>1013</v>
      </c>
      <c r="B27" s="25" t="s">
        <v>108</v>
      </c>
      <c r="C27" s="25" t="s">
        <v>109</v>
      </c>
      <c r="D27" s="25" t="s">
        <v>110</v>
      </c>
      <c r="E27" s="26" t="s">
        <v>45</v>
      </c>
      <c r="F27" s="27" t="s">
        <v>45</v>
      </c>
      <c r="G27" s="28" t="s">
        <v>45</v>
      </c>
      <c r="H27" s="29"/>
      <c r="I27" s="29" t="s">
        <v>46</v>
      </c>
      <c r="J27" s="30">
        <v>1</v>
      </c>
      <c r="K27" s="31">
        <f>14385</f>
        <v>14385</v>
      </c>
      <c r="L27" s="32" t="s">
        <v>995</v>
      </c>
      <c r="M27" s="31">
        <f>14680</f>
        <v>14680</v>
      </c>
      <c r="N27" s="32" t="s">
        <v>80</v>
      </c>
      <c r="O27" s="31">
        <f>14260</f>
        <v>14260</v>
      </c>
      <c r="P27" s="32" t="s">
        <v>255</v>
      </c>
      <c r="Q27" s="31">
        <f>14590</f>
        <v>14590</v>
      </c>
      <c r="R27" s="32" t="s">
        <v>791</v>
      </c>
      <c r="S27" s="33">
        <f>14536.32</f>
        <v>14536.32</v>
      </c>
      <c r="T27" s="30">
        <f>438</f>
        <v>438</v>
      </c>
      <c r="U27" s="30" t="str">
        <f>"－"</f>
        <v>－</v>
      </c>
      <c r="V27" s="30">
        <f>6349825</f>
        <v>6349825</v>
      </c>
      <c r="W27" s="30" t="str">
        <f>"－"</f>
        <v>－</v>
      </c>
      <c r="X27" s="34">
        <f>19</f>
        <v>19</v>
      </c>
    </row>
    <row r="28" spans="1:24" ht="13.5" customHeight="1" x14ac:dyDescent="0.15">
      <c r="A28" s="25" t="s">
        <v>1013</v>
      </c>
      <c r="B28" s="25" t="s">
        <v>111</v>
      </c>
      <c r="C28" s="25" t="s">
        <v>112</v>
      </c>
      <c r="D28" s="25" t="s">
        <v>113</v>
      </c>
      <c r="E28" s="26" t="s">
        <v>45</v>
      </c>
      <c r="F28" s="27" t="s">
        <v>45</v>
      </c>
      <c r="G28" s="28" t="s">
        <v>45</v>
      </c>
      <c r="H28" s="29"/>
      <c r="I28" s="29" t="s">
        <v>46</v>
      </c>
      <c r="J28" s="30">
        <v>10</v>
      </c>
      <c r="K28" s="31">
        <f>859.3</f>
        <v>859.3</v>
      </c>
      <c r="L28" s="32" t="s">
        <v>995</v>
      </c>
      <c r="M28" s="31">
        <f>926</f>
        <v>926</v>
      </c>
      <c r="N28" s="32" t="s">
        <v>876</v>
      </c>
      <c r="O28" s="31">
        <f>790.5</f>
        <v>790.5</v>
      </c>
      <c r="P28" s="32" t="s">
        <v>1004</v>
      </c>
      <c r="Q28" s="31">
        <f>816.6</f>
        <v>816.6</v>
      </c>
      <c r="R28" s="32" t="s">
        <v>791</v>
      </c>
      <c r="S28" s="33">
        <f>853.86</f>
        <v>853.86</v>
      </c>
      <c r="T28" s="30">
        <f>14529100</f>
        <v>14529100</v>
      </c>
      <c r="U28" s="30" t="str">
        <f>"－"</f>
        <v>－</v>
      </c>
      <c r="V28" s="30">
        <f>12548426421</f>
        <v>12548426421</v>
      </c>
      <c r="W28" s="30" t="str">
        <f>"－"</f>
        <v>－</v>
      </c>
      <c r="X28" s="34">
        <f>22</f>
        <v>22</v>
      </c>
    </row>
    <row r="29" spans="1:24" ht="13.5" customHeight="1" x14ac:dyDescent="0.15">
      <c r="A29" s="25" t="s">
        <v>1013</v>
      </c>
      <c r="B29" s="25" t="s">
        <v>114</v>
      </c>
      <c r="C29" s="25" t="s">
        <v>115</v>
      </c>
      <c r="D29" s="25" t="s">
        <v>116</v>
      </c>
      <c r="E29" s="26" t="s">
        <v>45</v>
      </c>
      <c r="F29" s="27" t="s">
        <v>45</v>
      </c>
      <c r="G29" s="28" t="s">
        <v>45</v>
      </c>
      <c r="H29" s="29"/>
      <c r="I29" s="29" t="s">
        <v>46</v>
      </c>
      <c r="J29" s="30">
        <v>1</v>
      </c>
      <c r="K29" s="31">
        <f>351</f>
        <v>351</v>
      </c>
      <c r="L29" s="32" t="s">
        <v>995</v>
      </c>
      <c r="M29" s="31">
        <f>369</f>
        <v>369</v>
      </c>
      <c r="N29" s="32" t="s">
        <v>876</v>
      </c>
      <c r="O29" s="31">
        <f>317</f>
        <v>317</v>
      </c>
      <c r="P29" s="32" t="s">
        <v>1004</v>
      </c>
      <c r="Q29" s="31">
        <f>325</f>
        <v>325</v>
      </c>
      <c r="R29" s="32" t="s">
        <v>791</v>
      </c>
      <c r="S29" s="33">
        <f>341</f>
        <v>341</v>
      </c>
      <c r="T29" s="30">
        <f>1716626585</f>
        <v>1716626585</v>
      </c>
      <c r="U29" s="30">
        <f>4401791</f>
        <v>4401791</v>
      </c>
      <c r="V29" s="30">
        <f>586648806553</f>
        <v>586648806553</v>
      </c>
      <c r="W29" s="30">
        <f>1505814952</f>
        <v>1505814952</v>
      </c>
      <c r="X29" s="34">
        <f>22</f>
        <v>22</v>
      </c>
    </row>
    <row r="30" spans="1:24" ht="13.5" customHeight="1" x14ac:dyDescent="0.15">
      <c r="A30" s="25" t="s">
        <v>1013</v>
      </c>
      <c r="B30" s="25" t="s">
        <v>117</v>
      </c>
      <c r="C30" s="25" t="s">
        <v>118</v>
      </c>
      <c r="D30" s="25" t="s">
        <v>119</v>
      </c>
      <c r="E30" s="26" t="s">
        <v>45</v>
      </c>
      <c r="F30" s="27" t="s">
        <v>45</v>
      </c>
      <c r="G30" s="28" t="s">
        <v>45</v>
      </c>
      <c r="H30" s="29"/>
      <c r="I30" s="29" t="s">
        <v>46</v>
      </c>
      <c r="J30" s="30">
        <v>1</v>
      </c>
      <c r="K30" s="31">
        <f>26015</f>
        <v>26015</v>
      </c>
      <c r="L30" s="32" t="s">
        <v>995</v>
      </c>
      <c r="M30" s="31">
        <f>28650</f>
        <v>28650</v>
      </c>
      <c r="N30" s="32" t="s">
        <v>1004</v>
      </c>
      <c r="O30" s="31">
        <f>24570</f>
        <v>24570</v>
      </c>
      <c r="P30" s="32" t="s">
        <v>876</v>
      </c>
      <c r="Q30" s="31">
        <f>27725</f>
        <v>27725</v>
      </c>
      <c r="R30" s="32" t="s">
        <v>791</v>
      </c>
      <c r="S30" s="33">
        <f>26615.68</f>
        <v>26615.68</v>
      </c>
      <c r="T30" s="30">
        <f>425033</f>
        <v>425033</v>
      </c>
      <c r="U30" s="30" t="str">
        <f>"－"</f>
        <v>－</v>
      </c>
      <c r="V30" s="30">
        <f>11252966245</f>
        <v>11252966245</v>
      </c>
      <c r="W30" s="30" t="str">
        <f>"－"</f>
        <v>－</v>
      </c>
      <c r="X30" s="34">
        <f>22</f>
        <v>22</v>
      </c>
    </row>
    <row r="31" spans="1:24" ht="13.5" customHeight="1" x14ac:dyDescent="0.15">
      <c r="A31" s="25" t="s">
        <v>1013</v>
      </c>
      <c r="B31" s="25" t="s">
        <v>120</v>
      </c>
      <c r="C31" s="25" t="s">
        <v>121</v>
      </c>
      <c r="D31" s="25" t="s">
        <v>122</v>
      </c>
      <c r="E31" s="26" t="s">
        <v>45</v>
      </c>
      <c r="F31" s="27" t="s">
        <v>45</v>
      </c>
      <c r="G31" s="28" t="s">
        <v>45</v>
      </c>
      <c r="H31" s="29"/>
      <c r="I31" s="29" t="s">
        <v>46</v>
      </c>
      <c r="J31" s="30">
        <v>10</v>
      </c>
      <c r="K31" s="31">
        <f>856.6</f>
        <v>856.6</v>
      </c>
      <c r="L31" s="32" t="s">
        <v>995</v>
      </c>
      <c r="M31" s="31">
        <f>900.9</f>
        <v>900.9</v>
      </c>
      <c r="N31" s="32" t="s">
        <v>876</v>
      </c>
      <c r="O31" s="31">
        <f>776.7</f>
        <v>776.7</v>
      </c>
      <c r="P31" s="32" t="s">
        <v>1004</v>
      </c>
      <c r="Q31" s="31">
        <f>794.7</f>
        <v>794.7</v>
      </c>
      <c r="R31" s="32" t="s">
        <v>791</v>
      </c>
      <c r="S31" s="33">
        <f>833.62</f>
        <v>833.62</v>
      </c>
      <c r="T31" s="30">
        <f>293434020</f>
        <v>293434020</v>
      </c>
      <c r="U31" s="30">
        <f>146490</f>
        <v>146490</v>
      </c>
      <c r="V31" s="30">
        <f>246911986074</f>
        <v>246911986074</v>
      </c>
      <c r="W31" s="30">
        <f>125296336</f>
        <v>125296336</v>
      </c>
      <c r="X31" s="34">
        <f>22</f>
        <v>22</v>
      </c>
    </row>
    <row r="32" spans="1:24" ht="13.5" customHeight="1" x14ac:dyDescent="0.15">
      <c r="A32" s="25" t="s">
        <v>1013</v>
      </c>
      <c r="B32" s="25" t="s">
        <v>123</v>
      </c>
      <c r="C32" s="25" t="s">
        <v>124</v>
      </c>
      <c r="D32" s="25" t="s">
        <v>125</v>
      </c>
      <c r="E32" s="26" t="s">
        <v>45</v>
      </c>
      <c r="F32" s="27" t="s">
        <v>45</v>
      </c>
      <c r="G32" s="28" t="s">
        <v>45</v>
      </c>
      <c r="H32" s="29"/>
      <c r="I32" s="29" t="s">
        <v>46</v>
      </c>
      <c r="J32" s="30">
        <v>1</v>
      </c>
      <c r="K32" s="31">
        <f>18210</f>
        <v>18210</v>
      </c>
      <c r="L32" s="32" t="s">
        <v>995</v>
      </c>
      <c r="M32" s="31">
        <f>19000</f>
        <v>19000</v>
      </c>
      <c r="N32" s="32" t="s">
        <v>1004</v>
      </c>
      <c r="O32" s="31">
        <f>17520</f>
        <v>17520</v>
      </c>
      <c r="P32" s="32" t="s">
        <v>876</v>
      </c>
      <c r="Q32" s="31">
        <f>18585</f>
        <v>18585</v>
      </c>
      <c r="R32" s="32" t="s">
        <v>791</v>
      </c>
      <c r="S32" s="33">
        <f>18276.36</f>
        <v>18276.36</v>
      </c>
      <c r="T32" s="30">
        <f>37067</f>
        <v>37067</v>
      </c>
      <c r="U32" s="30">
        <f>30052</f>
        <v>30052</v>
      </c>
      <c r="V32" s="30">
        <f>691940810</f>
        <v>691940810</v>
      </c>
      <c r="W32" s="30">
        <f>562813170</f>
        <v>562813170</v>
      </c>
      <c r="X32" s="34">
        <f>22</f>
        <v>22</v>
      </c>
    </row>
    <row r="33" spans="1:24" ht="13.5" customHeight="1" x14ac:dyDescent="0.15">
      <c r="A33" s="25" t="s">
        <v>1013</v>
      </c>
      <c r="B33" s="25" t="s">
        <v>126</v>
      </c>
      <c r="C33" s="25" t="s">
        <v>127</v>
      </c>
      <c r="D33" s="25" t="s">
        <v>128</v>
      </c>
      <c r="E33" s="26" t="s">
        <v>45</v>
      </c>
      <c r="F33" s="27" t="s">
        <v>45</v>
      </c>
      <c r="G33" s="28" t="s">
        <v>45</v>
      </c>
      <c r="H33" s="29"/>
      <c r="I33" s="29" t="s">
        <v>46</v>
      </c>
      <c r="J33" s="30">
        <v>1</v>
      </c>
      <c r="K33" s="31">
        <f>21660</f>
        <v>21660</v>
      </c>
      <c r="L33" s="32" t="s">
        <v>995</v>
      </c>
      <c r="M33" s="31">
        <f>23830</f>
        <v>23830</v>
      </c>
      <c r="N33" s="32" t="s">
        <v>1004</v>
      </c>
      <c r="O33" s="31">
        <f>20415</f>
        <v>20415</v>
      </c>
      <c r="P33" s="32" t="s">
        <v>876</v>
      </c>
      <c r="Q33" s="31">
        <f>23065</f>
        <v>23065</v>
      </c>
      <c r="R33" s="32" t="s">
        <v>791</v>
      </c>
      <c r="S33" s="33">
        <f>22140.23</f>
        <v>22140.23</v>
      </c>
      <c r="T33" s="30">
        <f>681987</f>
        <v>681987</v>
      </c>
      <c r="U33" s="30" t="str">
        <f>"－"</f>
        <v>－</v>
      </c>
      <c r="V33" s="30">
        <f>15024980360</f>
        <v>15024980360</v>
      </c>
      <c r="W33" s="30" t="str">
        <f>"－"</f>
        <v>－</v>
      </c>
      <c r="X33" s="34">
        <f>22</f>
        <v>22</v>
      </c>
    </row>
    <row r="34" spans="1:24" ht="13.5" customHeight="1" x14ac:dyDescent="0.15">
      <c r="A34" s="25" t="s">
        <v>1013</v>
      </c>
      <c r="B34" s="25" t="s">
        <v>129</v>
      </c>
      <c r="C34" s="25" t="s">
        <v>130</v>
      </c>
      <c r="D34" s="25" t="s">
        <v>131</v>
      </c>
      <c r="E34" s="26" t="s">
        <v>45</v>
      </c>
      <c r="F34" s="27" t="s">
        <v>45</v>
      </c>
      <c r="G34" s="28" t="s">
        <v>45</v>
      </c>
      <c r="H34" s="29"/>
      <c r="I34" s="29" t="s">
        <v>46</v>
      </c>
      <c r="J34" s="30">
        <v>1</v>
      </c>
      <c r="K34" s="31">
        <f>913</f>
        <v>913</v>
      </c>
      <c r="L34" s="32" t="s">
        <v>995</v>
      </c>
      <c r="M34" s="31">
        <f>960</f>
        <v>960</v>
      </c>
      <c r="N34" s="32" t="s">
        <v>876</v>
      </c>
      <c r="O34" s="31">
        <f>827</f>
        <v>827</v>
      </c>
      <c r="P34" s="32" t="s">
        <v>1004</v>
      </c>
      <c r="Q34" s="31">
        <f>846</f>
        <v>846</v>
      </c>
      <c r="R34" s="32" t="s">
        <v>791</v>
      </c>
      <c r="S34" s="33">
        <f>888</f>
        <v>888</v>
      </c>
      <c r="T34" s="30">
        <f>20401308</f>
        <v>20401308</v>
      </c>
      <c r="U34" s="30">
        <f>700</f>
        <v>700</v>
      </c>
      <c r="V34" s="30">
        <f>18202335022</f>
        <v>18202335022</v>
      </c>
      <c r="W34" s="30">
        <f>611960</f>
        <v>611960</v>
      </c>
      <c r="X34" s="34">
        <f>22</f>
        <v>22</v>
      </c>
    </row>
    <row r="35" spans="1:24" ht="13.5" customHeight="1" x14ac:dyDescent="0.15">
      <c r="A35" s="25" t="s">
        <v>1013</v>
      </c>
      <c r="B35" s="25" t="s">
        <v>132</v>
      </c>
      <c r="C35" s="25" t="s">
        <v>133</v>
      </c>
      <c r="D35" s="25" t="s">
        <v>134</v>
      </c>
      <c r="E35" s="26" t="s">
        <v>45</v>
      </c>
      <c r="F35" s="27" t="s">
        <v>45</v>
      </c>
      <c r="G35" s="28" t="s">
        <v>45</v>
      </c>
      <c r="H35" s="29"/>
      <c r="I35" s="29" t="s">
        <v>46</v>
      </c>
      <c r="J35" s="30">
        <v>1</v>
      </c>
      <c r="K35" s="31">
        <f>19625</f>
        <v>19625</v>
      </c>
      <c r="L35" s="32" t="s">
        <v>995</v>
      </c>
      <c r="M35" s="31">
        <f>21300</f>
        <v>21300</v>
      </c>
      <c r="N35" s="32" t="s">
        <v>1004</v>
      </c>
      <c r="O35" s="31">
        <f>18000</f>
        <v>18000</v>
      </c>
      <c r="P35" s="32" t="s">
        <v>876</v>
      </c>
      <c r="Q35" s="31">
        <f>20350</f>
        <v>20350</v>
      </c>
      <c r="R35" s="32" t="s">
        <v>791</v>
      </c>
      <c r="S35" s="33">
        <f>19638.41</f>
        <v>19638.41</v>
      </c>
      <c r="T35" s="30">
        <f>331157</f>
        <v>331157</v>
      </c>
      <c r="U35" s="30" t="str">
        <f>"－"</f>
        <v>－</v>
      </c>
      <c r="V35" s="30">
        <f>6412944680</f>
        <v>6412944680</v>
      </c>
      <c r="W35" s="30" t="str">
        <f>"－"</f>
        <v>－</v>
      </c>
      <c r="X35" s="34">
        <f>22</f>
        <v>22</v>
      </c>
    </row>
    <row r="36" spans="1:24" ht="13.5" customHeight="1" x14ac:dyDescent="0.15">
      <c r="A36" s="25" t="s">
        <v>1013</v>
      </c>
      <c r="B36" s="25" t="s">
        <v>135</v>
      </c>
      <c r="C36" s="25" t="s">
        <v>136</v>
      </c>
      <c r="D36" s="25" t="s">
        <v>137</v>
      </c>
      <c r="E36" s="26" t="s">
        <v>45</v>
      </c>
      <c r="F36" s="27" t="s">
        <v>45</v>
      </c>
      <c r="G36" s="28" t="s">
        <v>45</v>
      </c>
      <c r="H36" s="29"/>
      <c r="I36" s="29" t="s">
        <v>46</v>
      </c>
      <c r="J36" s="30">
        <v>1</v>
      </c>
      <c r="K36" s="31">
        <f>1244</f>
        <v>1244</v>
      </c>
      <c r="L36" s="32" t="s">
        <v>995</v>
      </c>
      <c r="M36" s="31">
        <f>1342</f>
        <v>1342</v>
      </c>
      <c r="N36" s="32" t="s">
        <v>876</v>
      </c>
      <c r="O36" s="31">
        <f>1145</f>
        <v>1145</v>
      </c>
      <c r="P36" s="32" t="s">
        <v>1004</v>
      </c>
      <c r="Q36" s="31">
        <f>1183</f>
        <v>1183</v>
      </c>
      <c r="R36" s="32" t="s">
        <v>791</v>
      </c>
      <c r="S36" s="33">
        <f>1238.05</f>
        <v>1238.05</v>
      </c>
      <c r="T36" s="30">
        <f>1332714</f>
        <v>1332714</v>
      </c>
      <c r="U36" s="30">
        <f>22000</f>
        <v>22000</v>
      </c>
      <c r="V36" s="30">
        <f>1664327895</f>
        <v>1664327895</v>
      </c>
      <c r="W36" s="30">
        <f>26989600</f>
        <v>26989600</v>
      </c>
      <c r="X36" s="34">
        <f>22</f>
        <v>22</v>
      </c>
    </row>
    <row r="37" spans="1:24" ht="13.5" customHeight="1" x14ac:dyDescent="0.15">
      <c r="A37" s="25" t="s">
        <v>1013</v>
      </c>
      <c r="B37" s="25" t="s">
        <v>138</v>
      </c>
      <c r="C37" s="25" t="s">
        <v>139</v>
      </c>
      <c r="D37" s="25" t="s">
        <v>140</v>
      </c>
      <c r="E37" s="26" t="s">
        <v>45</v>
      </c>
      <c r="F37" s="27" t="s">
        <v>45</v>
      </c>
      <c r="G37" s="28" t="s">
        <v>45</v>
      </c>
      <c r="H37" s="29"/>
      <c r="I37" s="29" t="s">
        <v>46</v>
      </c>
      <c r="J37" s="30">
        <v>1</v>
      </c>
      <c r="K37" s="31">
        <f>27380</f>
        <v>27380</v>
      </c>
      <c r="L37" s="32" t="s">
        <v>995</v>
      </c>
      <c r="M37" s="31">
        <f>28715</f>
        <v>28715</v>
      </c>
      <c r="N37" s="32" t="s">
        <v>1004</v>
      </c>
      <c r="O37" s="31">
        <f>26645</f>
        <v>26645</v>
      </c>
      <c r="P37" s="32" t="s">
        <v>876</v>
      </c>
      <c r="Q37" s="31">
        <f>28320</f>
        <v>28320</v>
      </c>
      <c r="R37" s="32" t="s">
        <v>791</v>
      </c>
      <c r="S37" s="33">
        <f>27720.68</f>
        <v>27720.68</v>
      </c>
      <c r="T37" s="30">
        <f>299315</f>
        <v>299315</v>
      </c>
      <c r="U37" s="30">
        <f>53539</f>
        <v>53539</v>
      </c>
      <c r="V37" s="30">
        <f>8358551602</f>
        <v>8358551602</v>
      </c>
      <c r="W37" s="30">
        <f>1516815312</f>
        <v>1516815312</v>
      </c>
      <c r="X37" s="34">
        <f>22</f>
        <v>22</v>
      </c>
    </row>
    <row r="38" spans="1:24" ht="13.5" customHeight="1" x14ac:dyDescent="0.15">
      <c r="A38" s="25" t="s">
        <v>1013</v>
      </c>
      <c r="B38" s="25" t="s">
        <v>141</v>
      </c>
      <c r="C38" s="25" t="s">
        <v>142</v>
      </c>
      <c r="D38" s="25" t="s">
        <v>143</v>
      </c>
      <c r="E38" s="26" t="s">
        <v>45</v>
      </c>
      <c r="F38" s="27" t="s">
        <v>45</v>
      </c>
      <c r="G38" s="28" t="s">
        <v>45</v>
      </c>
      <c r="H38" s="29"/>
      <c r="I38" s="29" t="s">
        <v>46</v>
      </c>
      <c r="J38" s="30">
        <v>1</v>
      </c>
      <c r="K38" s="31">
        <f>6180</f>
        <v>6180</v>
      </c>
      <c r="L38" s="32" t="s">
        <v>995</v>
      </c>
      <c r="M38" s="31">
        <f>6290</f>
        <v>6290</v>
      </c>
      <c r="N38" s="32" t="s">
        <v>1003</v>
      </c>
      <c r="O38" s="31">
        <f>5730</f>
        <v>5730</v>
      </c>
      <c r="P38" s="32" t="s">
        <v>876</v>
      </c>
      <c r="Q38" s="31">
        <f>6230</f>
        <v>6230</v>
      </c>
      <c r="R38" s="32" t="s">
        <v>791</v>
      </c>
      <c r="S38" s="33">
        <f>6058.64</f>
        <v>6058.64</v>
      </c>
      <c r="T38" s="30">
        <f>4603</f>
        <v>4603</v>
      </c>
      <c r="U38" s="30" t="str">
        <f t="shared" ref="U38:U46" si="0">"－"</f>
        <v>－</v>
      </c>
      <c r="V38" s="30">
        <f>27749070</f>
        <v>27749070</v>
      </c>
      <c r="W38" s="30" t="str">
        <f t="shared" ref="W38:W46" si="1">"－"</f>
        <v>－</v>
      </c>
      <c r="X38" s="34">
        <f>22</f>
        <v>22</v>
      </c>
    </row>
    <row r="39" spans="1:24" ht="13.5" customHeight="1" x14ac:dyDescent="0.15">
      <c r="A39" s="25" t="s">
        <v>1013</v>
      </c>
      <c r="B39" s="25" t="s">
        <v>144</v>
      </c>
      <c r="C39" s="25" t="s">
        <v>145</v>
      </c>
      <c r="D39" s="25" t="s">
        <v>146</v>
      </c>
      <c r="E39" s="26" t="s">
        <v>45</v>
      </c>
      <c r="F39" s="27" t="s">
        <v>45</v>
      </c>
      <c r="G39" s="28" t="s">
        <v>45</v>
      </c>
      <c r="H39" s="29"/>
      <c r="I39" s="29" t="s">
        <v>46</v>
      </c>
      <c r="J39" s="30">
        <v>1</v>
      </c>
      <c r="K39" s="31">
        <f>10895</f>
        <v>10895</v>
      </c>
      <c r="L39" s="32" t="s">
        <v>995</v>
      </c>
      <c r="M39" s="31">
        <f>10990</f>
        <v>10990</v>
      </c>
      <c r="N39" s="32" t="s">
        <v>995</v>
      </c>
      <c r="O39" s="31">
        <f>10170</f>
        <v>10170</v>
      </c>
      <c r="P39" s="32" t="s">
        <v>80</v>
      </c>
      <c r="Q39" s="31">
        <f>10795</f>
        <v>10795</v>
      </c>
      <c r="R39" s="32" t="s">
        <v>791</v>
      </c>
      <c r="S39" s="33">
        <f>10613.33</f>
        <v>10613.33</v>
      </c>
      <c r="T39" s="30">
        <f>1184</f>
        <v>1184</v>
      </c>
      <c r="U39" s="30" t="str">
        <f t="shared" si="0"/>
        <v>－</v>
      </c>
      <c r="V39" s="30">
        <f>12568215</f>
        <v>12568215</v>
      </c>
      <c r="W39" s="30" t="str">
        <f t="shared" si="1"/>
        <v>－</v>
      </c>
      <c r="X39" s="34">
        <f>21</f>
        <v>21</v>
      </c>
    </row>
    <row r="40" spans="1:24" ht="13.5" customHeight="1" x14ac:dyDescent="0.15">
      <c r="A40" s="25" t="s">
        <v>1013</v>
      </c>
      <c r="B40" s="25" t="s">
        <v>147</v>
      </c>
      <c r="C40" s="25" t="s">
        <v>148</v>
      </c>
      <c r="D40" s="25" t="s">
        <v>149</v>
      </c>
      <c r="E40" s="26" t="s">
        <v>45</v>
      </c>
      <c r="F40" s="27" t="s">
        <v>45</v>
      </c>
      <c r="G40" s="28" t="s">
        <v>45</v>
      </c>
      <c r="H40" s="29"/>
      <c r="I40" s="29" t="s">
        <v>46</v>
      </c>
      <c r="J40" s="30">
        <v>1</v>
      </c>
      <c r="K40" s="31">
        <f>21080</f>
        <v>21080</v>
      </c>
      <c r="L40" s="32" t="s">
        <v>78</v>
      </c>
      <c r="M40" s="31">
        <f>21210</f>
        <v>21210</v>
      </c>
      <c r="N40" s="32" t="s">
        <v>1000</v>
      </c>
      <c r="O40" s="31">
        <f>19525</f>
        <v>19525</v>
      </c>
      <c r="P40" s="32" t="s">
        <v>876</v>
      </c>
      <c r="Q40" s="31">
        <f>19920</f>
        <v>19920</v>
      </c>
      <c r="R40" s="32" t="s">
        <v>1017</v>
      </c>
      <c r="S40" s="33">
        <f>20358.57</f>
        <v>20358.57</v>
      </c>
      <c r="T40" s="30">
        <f>59</f>
        <v>59</v>
      </c>
      <c r="U40" s="30" t="str">
        <f t="shared" si="0"/>
        <v>－</v>
      </c>
      <c r="V40" s="30">
        <f>1167980</f>
        <v>1167980</v>
      </c>
      <c r="W40" s="30" t="str">
        <f t="shared" si="1"/>
        <v>－</v>
      </c>
      <c r="X40" s="34">
        <f>7</f>
        <v>7</v>
      </c>
    </row>
    <row r="41" spans="1:24" ht="13.5" customHeight="1" x14ac:dyDescent="0.15">
      <c r="A41" s="25" t="s">
        <v>1013</v>
      </c>
      <c r="B41" s="25" t="s">
        <v>150</v>
      </c>
      <c r="C41" s="25" t="s">
        <v>151</v>
      </c>
      <c r="D41" s="25" t="s">
        <v>152</v>
      </c>
      <c r="E41" s="26" t="s">
        <v>45</v>
      </c>
      <c r="F41" s="27" t="s">
        <v>45</v>
      </c>
      <c r="G41" s="28" t="s">
        <v>45</v>
      </c>
      <c r="H41" s="29"/>
      <c r="I41" s="29" t="s">
        <v>46</v>
      </c>
      <c r="J41" s="30">
        <v>1</v>
      </c>
      <c r="K41" s="31">
        <f>17255</f>
        <v>17255</v>
      </c>
      <c r="L41" s="32" t="s">
        <v>78</v>
      </c>
      <c r="M41" s="31">
        <f>17795</f>
        <v>17795</v>
      </c>
      <c r="N41" s="32" t="s">
        <v>1004</v>
      </c>
      <c r="O41" s="31">
        <f>15290</f>
        <v>15290</v>
      </c>
      <c r="P41" s="32" t="s">
        <v>792</v>
      </c>
      <c r="Q41" s="31">
        <f>15890</f>
        <v>15890</v>
      </c>
      <c r="R41" s="32" t="s">
        <v>1017</v>
      </c>
      <c r="S41" s="33">
        <f>16559.38</f>
        <v>16559.38</v>
      </c>
      <c r="T41" s="30">
        <f>26</f>
        <v>26</v>
      </c>
      <c r="U41" s="30" t="str">
        <f t="shared" si="0"/>
        <v>－</v>
      </c>
      <c r="V41" s="30">
        <f>430510</f>
        <v>430510</v>
      </c>
      <c r="W41" s="30" t="str">
        <f t="shared" si="1"/>
        <v>－</v>
      </c>
      <c r="X41" s="34">
        <f>8</f>
        <v>8</v>
      </c>
    </row>
    <row r="42" spans="1:24" ht="13.5" customHeight="1" x14ac:dyDescent="0.15">
      <c r="A42" s="25" t="s">
        <v>1013</v>
      </c>
      <c r="B42" s="25" t="s">
        <v>153</v>
      </c>
      <c r="C42" s="25" t="s">
        <v>154</v>
      </c>
      <c r="D42" s="25" t="s">
        <v>155</v>
      </c>
      <c r="E42" s="26" t="s">
        <v>45</v>
      </c>
      <c r="F42" s="27" t="s">
        <v>45</v>
      </c>
      <c r="G42" s="28" t="s">
        <v>45</v>
      </c>
      <c r="H42" s="29"/>
      <c r="I42" s="29" t="s">
        <v>46</v>
      </c>
      <c r="J42" s="30">
        <v>1</v>
      </c>
      <c r="K42" s="31">
        <f>11760</f>
        <v>11760</v>
      </c>
      <c r="L42" s="32" t="s">
        <v>995</v>
      </c>
      <c r="M42" s="31">
        <f>11925</f>
        <v>11925</v>
      </c>
      <c r="N42" s="32" t="s">
        <v>78</v>
      </c>
      <c r="O42" s="31">
        <f>10870</f>
        <v>10870</v>
      </c>
      <c r="P42" s="32" t="s">
        <v>792</v>
      </c>
      <c r="Q42" s="31">
        <f>11785</f>
        <v>11785</v>
      </c>
      <c r="R42" s="32" t="s">
        <v>791</v>
      </c>
      <c r="S42" s="33">
        <f>11471.14</f>
        <v>11471.14</v>
      </c>
      <c r="T42" s="30">
        <f>985</f>
        <v>985</v>
      </c>
      <c r="U42" s="30" t="str">
        <f t="shared" si="0"/>
        <v>－</v>
      </c>
      <c r="V42" s="30">
        <f>11024005</f>
        <v>11024005</v>
      </c>
      <c r="W42" s="30" t="str">
        <f t="shared" si="1"/>
        <v>－</v>
      </c>
      <c r="X42" s="34">
        <f>22</f>
        <v>22</v>
      </c>
    </row>
    <row r="43" spans="1:24" ht="13.5" customHeight="1" x14ac:dyDescent="0.15">
      <c r="A43" s="25" t="s">
        <v>1013</v>
      </c>
      <c r="B43" s="25" t="s">
        <v>156</v>
      </c>
      <c r="C43" s="25" t="s">
        <v>157</v>
      </c>
      <c r="D43" s="25" t="s">
        <v>158</v>
      </c>
      <c r="E43" s="26" t="s">
        <v>45</v>
      </c>
      <c r="F43" s="27" t="s">
        <v>45</v>
      </c>
      <c r="G43" s="28" t="s">
        <v>45</v>
      </c>
      <c r="H43" s="29"/>
      <c r="I43" s="29" t="s">
        <v>46</v>
      </c>
      <c r="J43" s="30">
        <v>1</v>
      </c>
      <c r="K43" s="31">
        <f>5820</f>
        <v>5820</v>
      </c>
      <c r="L43" s="32" t="s">
        <v>995</v>
      </c>
      <c r="M43" s="31">
        <f>5940</f>
        <v>5940</v>
      </c>
      <c r="N43" s="32" t="s">
        <v>78</v>
      </c>
      <c r="O43" s="31">
        <f>5420</f>
        <v>5420</v>
      </c>
      <c r="P43" s="32" t="s">
        <v>876</v>
      </c>
      <c r="Q43" s="31">
        <f>5760</f>
        <v>5760</v>
      </c>
      <c r="R43" s="32" t="s">
        <v>791</v>
      </c>
      <c r="S43" s="33">
        <f>5680</f>
        <v>5680</v>
      </c>
      <c r="T43" s="30">
        <f>4131</f>
        <v>4131</v>
      </c>
      <c r="U43" s="30" t="str">
        <f t="shared" si="0"/>
        <v>－</v>
      </c>
      <c r="V43" s="30">
        <f>23352980</f>
        <v>23352980</v>
      </c>
      <c r="W43" s="30" t="str">
        <f t="shared" si="1"/>
        <v>－</v>
      </c>
      <c r="X43" s="34">
        <f>22</f>
        <v>22</v>
      </c>
    </row>
    <row r="44" spans="1:24" ht="13.5" customHeight="1" x14ac:dyDescent="0.15">
      <c r="A44" s="25" t="s">
        <v>1013</v>
      </c>
      <c r="B44" s="25" t="s">
        <v>159</v>
      </c>
      <c r="C44" s="25" t="s">
        <v>160</v>
      </c>
      <c r="D44" s="25" t="s">
        <v>161</v>
      </c>
      <c r="E44" s="26" t="s">
        <v>45</v>
      </c>
      <c r="F44" s="27" t="s">
        <v>45</v>
      </c>
      <c r="G44" s="28" t="s">
        <v>45</v>
      </c>
      <c r="H44" s="29"/>
      <c r="I44" s="29" t="s">
        <v>46</v>
      </c>
      <c r="J44" s="30">
        <v>1</v>
      </c>
      <c r="K44" s="31">
        <f>3115</f>
        <v>3115</v>
      </c>
      <c r="L44" s="32" t="s">
        <v>995</v>
      </c>
      <c r="M44" s="31">
        <f>3115</f>
        <v>3115</v>
      </c>
      <c r="N44" s="32" t="s">
        <v>995</v>
      </c>
      <c r="O44" s="31">
        <f>2898</f>
        <v>2898</v>
      </c>
      <c r="P44" s="32" t="s">
        <v>80</v>
      </c>
      <c r="Q44" s="31">
        <f>3075</f>
        <v>3075</v>
      </c>
      <c r="R44" s="32" t="s">
        <v>791</v>
      </c>
      <c r="S44" s="33">
        <f>3011.05</f>
        <v>3011.05</v>
      </c>
      <c r="T44" s="30">
        <f>3136</f>
        <v>3136</v>
      </c>
      <c r="U44" s="30" t="str">
        <f t="shared" si="0"/>
        <v>－</v>
      </c>
      <c r="V44" s="30">
        <f>9388594</f>
        <v>9388594</v>
      </c>
      <c r="W44" s="30" t="str">
        <f t="shared" si="1"/>
        <v>－</v>
      </c>
      <c r="X44" s="34">
        <f>22</f>
        <v>22</v>
      </c>
    </row>
    <row r="45" spans="1:24" ht="13.5" customHeight="1" x14ac:dyDescent="0.15">
      <c r="A45" s="25" t="s">
        <v>1013</v>
      </c>
      <c r="B45" s="25" t="s">
        <v>162</v>
      </c>
      <c r="C45" s="25" t="s">
        <v>163</v>
      </c>
      <c r="D45" s="25" t="s">
        <v>164</v>
      </c>
      <c r="E45" s="26" t="s">
        <v>45</v>
      </c>
      <c r="F45" s="27" t="s">
        <v>45</v>
      </c>
      <c r="G45" s="28" t="s">
        <v>45</v>
      </c>
      <c r="H45" s="29"/>
      <c r="I45" s="29" t="s">
        <v>46</v>
      </c>
      <c r="J45" s="30">
        <v>1</v>
      </c>
      <c r="K45" s="31">
        <f>3215</f>
        <v>3215</v>
      </c>
      <c r="L45" s="32" t="s">
        <v>995</v>
      </c>
      <c r="M45" s="31">
        <f>3270</f>
        <v>3270</v>
      </c>
      <c r="N45" s="32" t="s">
        <v>1003</v>
      </c>
      <c r="O45" s="31">
        <f>2966</f>
        <v>2966</v>
      </c>
      <c r="P45" s="32" t="s">
        <v>255</v>
      </c>
      <c r="Q45" s="31">
        <f>3145</f>
        <v>3145</v>
      </c>
      <c r="R45" s="32" t="s">
        <v>791</v>
      </c>
      <c r="S45" s="33">
        <f>3142.9</f>
        <v>3142.9</v>
      </c>
      <c r="T45" s="30">
        <f>1236</f>
        <v>1236</v>
      </c>
      <c r="U45" s="30" t="str">
        <f t="shared" si="0"/>
        <v>－</v>
      </c>
      <c r="V45" s="30">
        <f>3852423</f>
        <v>3852423</v>
      </c>
      <c r="W45" s="30" t="str">
        <f t="shared" si="1"/>
        <v>－</v>
      </c>
      <c r="X45" s="34">
        <f>21</f>
        <v>21</v>
      </c>
    </row>
    <row r="46" spans="1:24" ht="13.5" customHeight="1" x14ac:dyDescent="0.15">
      <c r="A46" s="25" t="s">
        <v>1013</v>
      </c>
      <c r="B46" s="25" t="s">
        <v>165</v>
      </c>
      <c r="C46" s="25" t="s">
        <v>166</v>
      </c>
      <c r="D46" s="25" t="s">
        <v>167</v>
      </c>
      <c r="E46" s="26" t="s">
        <v>45</v>
      </c>
      <c r="F46" s="27" t="s">
        <v>45</v>
      </c>
      <c r="G46" s="28" t="s">
        <v>45</v>
      </c>
      <c r="H46" s="29"/>
      <c r="I46" s="29" t="s">
        <v>46</v>
      </c>
      <c r="J46" s="30">
        <v>1</v>
      </c>
      <c r="K46" s="31">
        <f>52250</f>
        <v>52250</v>
      </c>
      <c r="L46" s="32" t="s">
        <v>995</v>
      </c>
      <c r="M46" s="31">
        <f>53490</f>
        <v>53490</v>
      </c>
      <c r="N46" s="32" t="s">
        <v>78</v>
      </c>
      <c r="O46" s="31">
        <f>50000</f>
        <v>50000</v>
      </c>
      <c r="P46" s="32" t="s">
        <v>80</v>
      </c>
      <c r="Q46" s="31">
        <f>52250</f>
        <v>52250</v>
      </c>
      <c r="R46" s="32" t="s">
        <v>791</v>
      </c>
      <c r="S46" s="33">
        <f>51542.38</f>
        <v>51542.38</v>
      </c>
      <c r="T46" s="30">
        <f>789</f>
        <v>789</v>
      </c>
      <c r="U46" s="30" t="str">
        <f t="shared" si="0"/>
        <v>－</v>
      </c>
      <c r="V46" s="30">
        <f>40427620</f>
        <v>40427620</v>
      </c>
      <c r="W46" s="30" t="str">
        <f t="shared" si="1"/>
        <v>－</v>
      </c>
      <c r="X46" s="34">
        <f>21</f>
        <v>21</v>
      </c>
    </row>
    <row r="47" spans="1:24" ht="13.5" customHeight="1" x14ac:dyDescent="0.15">
      <c r="A47" s="25" t="s">
        <v>1013</v>
      </c>
      <c r="B47" s="25" t="s">
        <v>168</v>
      </c>
      <c r="C47" s="25" t="s">
        <v>169</v>
      </c>
      <c r="D47" s="25" t="s">
        <v>170</v>
      </c>
      <c r="E47" s="26" t="s">
        <v>45</v>
      </c>
      <c r="F47" s="27" t="s">
        <v>45</v>
      </c>
      <c r="G47" s="28" t="s">
        <v>45</v>
      </c>
      <c r="H47" s="29"/>
      <c r="I47" s="29" t="s">
        <v>46</v>
      </c>
      <c r="J47" s="30">
        <v>1</v>
      </c>
      <c r="K47" s="31">
        <f>37770</f>
        <v>37770</v>
      </c>
      <c r="L47" s="32" t="s">
        <v>995</v>
      </c>
      <c r="M47" s="31">
        <f>38560</f>
        <v>38560</v>
      </c>
      <c r="N47" s="32" t="s">
        <v>1004</v>
      </c>
      <c r="O47" s="31">
        <f>35680</f>
        <v>35680</v>
      </c>
      <c r="P47" s="32" t="s">
        <v>997</v>
      </c>
      <c r="Q47" s="31">
        <f>36000</f>
        <v>36000</v>
      </c>
      <c r="R47" s="32" t="s">
        <v>1017</v>
      </c>
      <c r="S47" s="33">
        <f>37133</f>
        <v>37133</v>
      </c>
      <c r="T47" s="30">
        <f>97</f>
        <v>97</v>
      </c>
      <c r="U47" s="30">
        <f>1</f>
        <v>1</v>
      </c>
      <c r="V47" s="30">
        <f>3584100</f>
        <v>3584100</v>
      </c>
      <c r="W47" s="30">
        <f>36410</f>
        <v>36410</v>
      </c>
      <c r="X47" s="34">
        <f>10</f>
        <v>10</v>
      </c>
    </row>
    <row r="48" spans="1:24" ht="13.5" customHeight="1" x14ac:dyDescent="0.15">
      <c r="A48" s="25" t="s">
        <v>1013</v>
      </c>
      <c r="B48" s="25" t="s">
        <v>171</v>
      </c>
      <c r="C48" s="25" t="s">
        <v>172</v>
      </c>
      <c r="D48" s="25" t="s">
        <v>173</v>
      </c>
      <c r="E48" s="26" t="s">
        <v>45</v>
      </c>
      <c r="F48" s="27" t="s">
        <v>45</v>
      </c>
      <c r="G48" s="28" t="s">
        <v>45</v>
      </c>
      <c r="H48" s="29"/>
      <c r="I48" s="29" t="s">
        <v>46</v>
      </c>
      <c r="J48" s="30">
        <v>1</v>
      </c>
      <c r="K48" s="31">
        <f>27670</f>
        <v>27670</v>
      </c>
      <c r="L48" s="32" t="s">
        <v>995</v>
      </c>
      <c r="M48" s="31">
        <f>29000</f>
        <v>29000</v>
      </c>
      <c r="N48" s="32" t="s">
        <v>1004</v>
      </c>
      <c r="O48" s="31">
        <f>26935</f>
        <v>26935</v>
      </c>
      <c r="P48" s="32" t="s">
        <v>876</v>
      </c>
      <c r="Q48" s="31">
        <f>28605</f>
        <v>28605</v>
      </c>
      <c r="R48" s="32" t="s">
        <v>791</v>
      </c>
      <c r="S48" s="33">
        <f>27975.23</f>
        <v>27975.23</v>
      </c>
      <c r="T48" s="30">
        <f>174456</f>
        <v>174456</v>
      </c>
      <c r="U48" s="30">
        <f>61700</f>
        <v>61700</v>
      </c>
      <c r="V48" s="30">
        <f>4898082745</f>
        <v>4898082745</v>
      </c>
      <c r="W48" s="30">
        <f>1742076900</f>
        <v>1742076900</v>
      </c>
      <c r="X48" s="34">
        <f>22</f>
        <v>22</v>
      </c>
    </row>
    <row r="49" spans="1:24" ht="13.5" customHeight="1" x14ac:dyDescent="0.15">
      <c r="A49" s="25" t="s">
        <v>1013</v>
      </c>
      <c r="B49" s="25" t="s">
        <v>174</v>
      </c>
      <c r="C49" s="25" t="s">
        <v>175</v>
      </c>
      <c r="D49" s="25" t="s">
        <v>176</v>
      </c>
      <c r="E49" s="26" t="s">
        <v>45</v>
      </c>
      <c r="F49" s="27" t="s">
        <v>45</v>
      </c>
      <c r="G49" s="28" t="s">
        <v>45</v>
      </c>
      <c r="H49" s="29"/>
      <c r="I49" s="29" t="s">
        <v>46</v>
      </c>
      <c r="J49" s="30">
        <v>10</v>
      </c>
      <c r="K49" s="31">
        <f>1906</f>
        <v>1906</v>
      </c>
      <c r="L49" s="32" t="s">
        <v>995</v>
      </c>
      <c r="M49" s="31">
        <f>1906</f>
        <v>1906</v>
      </c>
      <c r="N49" s="32" t="s">
        <v>995</v>
      </c>
      <c r="O49" s="31">
        <f>1784.5</f>
        <v>1784.5</v>
      </c>
      <c r="P49" s="32" t="s">
        <v>80</v>
      </c>
      <c r="Q49" s="31">
        <f>1822.5</f>
        <v>1822.5</v>
      </c>
      <c r="R49" s="32" t="s">
        <v>791</v>
      </c>
      <c r="S49" s="33">
        <f>1836.68</f>
        <v>1836.68</v>
      </c>
      <c r="T49" s="30">
        <f>3303970</f>
        <v>3303970</v>
      </c>
      <c r="U49" s="30">
        <f>590020</f>
        <v>590020</v>
      </c>
      <c r="V49" s="30">
        <f>6013940940</f>
        <v>6013940940</v>
      </c>
      <c r="W49" s="30">
        <f>1055606450</f>
        <v>1055606450</v>
      </c>
      <c r="X49" s="34">
        <f>22</f>
        <v>22</v>
      </c>
    </row>
    <row r="50" spans="1:24" ht="13.5" customHeight="1" x14ac:dyDescent="0.15">
      <c r="A50" s="25" t="s">
        <v>1013</v>
      </c>
      <c r="B50" s="25" t="s">
        <v>177</v>
      </c>
      <c r="C50" s="25" t="s">
        <v>178</v>
      </c>
      <c r="D50" s="25" t="s">
        <v>179</v>
      </c>
      <c r="E50" s="26" t="s">
        <v>45</v>
      </c>
      <c r="F50" s="27" t="s">
        <v>45</v>
      </c>
      <c r="G50" s="28" t="s">
        <v>45</v>
      </c>
      <c r="H50" s="29"/>
      <c r="I50" s="29" t="s">
        <v>46</v>
      </c>
      <c r="J50" s="30">
        <v>10</v>
      </c>
      <c r="K50" s="31">
        <f>1655</f>
        <v>1655</v>
      </c>
      <c r="L50" s="32" t="s">
        <v>995</v>
      </c>
      <c r="M50" s="31">
        <f>1706</f>
        <v>1706</v>
      </c>
      <c r="N50" s="32" t="s">
        <v>1004</v>
      </c>
      <c r="O50" s="31">
        <f>1615</f>
        <v>1615</v>
      </c>
      <c r="P50" s="32" t="s">
        <v>876</v>
      </c>
      <c r="Q50" s="31">
        <f>1678</f>
        <v>1678</v>
      </c>
      <c r="R50" s="32" t="s">
        <v>791</v>
      </c>
      <c r="S50" s="33">
        <f>1656.14</f>
        <v>1656.14</v>
      </c>
      <c r="T50" s="30">
        <f>618290</f>
        <v>618290</v>
      </c>
      <c r="U50" s="30">
        <f>614930</f>
        <v>614930</v>
      </c>
      <c r="V50" s="30">
        <f>1005569621</f>
        <v>1005569621</v>
      </c>
      <c r="W50" s="30">
        <f>999999166</f>
        <v>999999166</v>
      </c>
      <c r="X50" s="34">
        <f>18</f>
        <v>18</v>
      </c>
    </row>
    <row r="51" spans="1:24" ht="13.5" customHeight="1" x14ac:dyDescent="0.15">
      <c r="A51" s="25" t="s">
        <v>1013</v>
      </c>
      <c r="B51" s="25" t="s">
        <v>180</v>
      </c>
      <c r="C51" s="25" t="s">
        <v>181</v>
      </c>
      <c r="D51" s="25" t="s">
        <v>182</v>
      </c>
      <c r="E51" s="26" t="s">
        <v>45</v>
      </c>
      <c r="F51" s="27" t="s">
        <v>45</v>
      </c>
      <c r="G51" s="28" t="s">
        <v>45</v>
      </c>
      <c r="H51" s="29"/>
      <c r="I51" s="29" t="s">
        <v>46</v>
      </c>
      <c r="J51" s="30">
        <v>1</v>
      </c>
      <c r="K51" s="31">
        <f>4090</f>
        <v>4090</v>
      </c>
      <c r="L51" s="32" t="s">
        <v>995</v>
      </c>
      <c r="M51" s="31">
        <f>4200</f>
        <v>4200</v>
      </c>
      <c r="N51" s="32" t="s">
        <v>876</v>
      </c>
      <c r="O51" s="31">
        <f>3900</f>
        <v>3900</v>
      </c>
      <c r="P51" s="32" t="s">
        <v>1004</v>
      </c>
      <c r="Q51" s="31">
        <f>3945</f>
        <v>3945</v>
      </c>
      <c r="R51" s="32" t="s">
        <v>791</v>
      </c>
      <c r="S51" s="33">
        <f>4041.36</f>
        <v>4041.36</v>
      </c>
      <c r="T51" s="30">
        <f>2596355</f>
        <v>2596355</v>
      </c>
      <c r="U51" s="30">
        <f>1989895</f>
        <v>1989895</v>
      </c>
      <c r="V51" s="30">
        <f>10468905962</f>
        <v>10468905962</v>
      </c>
      <c r="W51" s="30">
        <f>8033917062</f>
        <v>8033917062</v>
      </c>
      <c r="X51" s="34">
        <f>22</f>
        <v>22</v>
      </c>
    </row>
    <row r="52" spans="1:24" ht="13.5" customHeight="1" x14ac:dyDescent="0.15">
      <c r="A52" s="25" t="s">
        <v>1013</v>
      </c>
      <c r="B52" s="25" t="s">
        <v>183</v>
      </c>
      <c r="C52" s="25" t="s">
        <v>184</v>
      </c>
      <c r="D52" s="25" t="s">
        <v>185</v>
      </c>
      <c r="E52" s="26" t="s">
        <v>45</v>
      </c>
      <c r="F52" s="27" t="s">
        <v>45</v>
      </c>
      <c r="G52" s="28" t="s">
        <v>45</v>
      </c>
      <c r="H52" s="29"/>
      <c r="I52" s="29" t="s">
        <v>46</v>
      </c>
      <c r="J52" s="30">
        <v>1</v>
      </c>
      <c r="K52" s="31">
        <f>4690</f>
        <v>4690</v>
      </c>
      <c r="L52" s="32" t="s">
        <v>995</v>
      </c>
      <c r="M52" s="31">
        <f>4870</f>
        <v>4870</v>
      </c>
      <c r="N52" s="32" t="s">
        <v>876</v>
      </c>
      <c r="O52" s="31">
        <f>4500</f>
        <v>4500</v>
      </c>
      <c r="P52" s="32" t="s">
        <v>1004</v>
      </c>
      <c r="Q52" s="31">
        <f>4570</f>
        <v>4570</v>
      </c>
      <c r="R52" s="32" t="s">
        <v>791</v>
      </c>
      <c r="S52" s="33">
        <f>4677.95</f>
        <v>4677.95</v>
      </c>
      <c r="T52" s="30">
        <f>1176090</f>
        <v>1176090</v>
      </c>
      <c r="U52" s="30">
        <f>898440</f>
        <v>898440</v>
      </c>
      <c r="V52" s="30">
        <f>5551801860</f>
        <v>5551801860</v>
      </c>
      <c r="W52" s="30">
        <f>4279392845</f>
        <v>4279392845</v>
      </c>
      <c r="X52" s="34">
        <f>22</f>
        <v>22</v>
      </c>
    </row>
    <row r="53" spans="1:24" ht="13.5" customHeight="1" x14ac:dyDescent="0.15">
      <c r="A53" s="25" t="s">
        <v>1013</v>
      </c>
      <c r="B53" s="25" t="s">
        <v>186</v>
      </c>
      <c r="C53" s="25" t="s">
        <v>187</v>
      </c>
      <c r="D53" s="25" t="s">
        <v>188</v>
      </c>
      <c r="E53" s="26" t="s">
        <v>45</v>
      </c>
      <c r="F53" s="27" t="s">
        <v>45</v>
      </c>
      <c r="G53" s="28" t="s">
        <v>45</v>
      </c>
      <c r="H53" s="29"/>
      <c r="I53" s="29" t="s">
        <v>46</v>
      </c>
      <c r="J53" s="30">
        <v>1</v>
      </c>
      <c r="K53" s="31">
        <f>16480</f>
        <v>16480</v>
      </c>
      <c r="L53" s="32" t="s">
        <v>995</v>
      </c>
      <c r="M53" s="31">
        <f>18145</f>
        <v>18145</v>
      </c>
      <c r="N53" s="32" t="s">
        <v>1004</v>
      </c>
      <c r="O53" s="31">
        <f>15535</f>
        <v>15535</v>
      </c>
      <c r="P53" s="32" t="s">
        <v>876</v>
      </c>
      <c r="Q53" s="31">
        <f>17570</f>
        <v>17570</v>
      </c>
      <c r="R53" s="32" t="s">
        <v>791</v>
      </c>
      <c r="S53" s="33">
        <f>16855.68</f>
        <v>16855.68</v>
      </c>
      <c r="T53" s="30">
        <f>13728849</f>
        <v>13728849</v>
      </c>
      <c r="U53" s="30">
        <f>25</f>
        <v>25</v>
      </c>
      <c r="V53" s="30">
        <f>229314273605</f>
        <v>229314273605</v>
      </c>
      <c r="W53" s="30">
        <f>424025</f>
        <v>424025</v>
      </c>
      <c r="X53" s="34">
        <f>22</f>
        <v>22</v>
      </c>
    </row>
    <row r="54" spans="1:24" ht="13.5" customHeight="1" x14ac:dyDescent="0.15">
      <c r="A54" s="25" t="s">
        <v>1013</v>
      </c>
      <c r="B54" s="25" t="s">
        <v>189</v>
      </c>
      <c r="C54" s="25" t="s">
        <v>190</v>
      </c>
      <c r="D54" s="25" t="s">
        <v>191</v>
      </c>
      <c r="E54" s="26" t="s">
        <v>45</v>
      </c>
      <c r="F54" s="27" t="s">
        <v>45</v>
      </c>
      <c r="G54" s="28" t="s">
        <v>45</v>
      </c>
      <c r="H54" s="29"/>
      <c r="I54" s="29" t="s">
        <v>46</v>
      </c>
      <c r="J54" s="30">
        <v>1</v>
      </c>
      <c r="K54" s="31">
        <f>1410</f>
        <v>1410</v>
      </c>
      <c r="L54" s="32" t="s">
        <v>995</v>
      </c>
      <c r="M54" s="31">
        <f>1481</f>
        <v>1481</v>
      </c>
      <c r="N54" s="32" t="s">
        <v>876</v>
      </c>
      <c r="O54" s="31">
        <f>1278</f>
        <v>1278</v>
      </c>
      <c r="P54" s="32" t="s">
        <v>1004</v>
      </c>
      <c r="Q54" s="31">
        <f>1306</f>
        <v>1306</v>
      </c>
      <c r="R54" s="32" t="s">
        <v>791</v>
      </c>
      <c r="S54" s="33">
        <f>1370.68</f>
        <v>1370.68</v>
      </c>
      <c r="T54" s="30">
        <f>213031847</f>
        <v>213031847</v>
      </c>
      <c r="U54" s="30">
        <f>532484</f>
        <v>532484</v>
      </c>
      <c r="V54" s="30">
        <f>293925383195</f>
        <v>293925383195</v>
      </c>
      <c r="W54" s="30">
        <f>723503895</f>
        <v>723503895</v>
      </c>
      <c r="X54" s="34">
        <f>22</f>
        <v>22</v>
      </c>
    </row>
    <row r="55" spans="1:24" ht="13.5" customHeight="1" x14ac:dyDescent="0.15">
      <c r="A55" s="25" t="s">
        <v>1013</v>
      </c>
      <c r="B55" s="25" t="s">
        <v>192</v>
      </c>
      <c r="C55" s="25" t="s">
        <v>193</v>
      </c>
      <c r="D55" s="25" t="s">
        <v>194</v>
      </c>
      <c r="E55" s="26" t="s">
        <v>45</v>
      </c>
      <c r="F55" s="27" t="s">
        <v>45</v>
      </c>
      <c r="G55" s="28" t="s">
        <v>45</v>
      </c>
      <c r="H55" s="29"/>
      <c r="I55" s="29" t="s">
        <v>46</v>
      </c>
      <c r="J55" s="30">
        <v>1</v>
      </c>
      <c r="K55" s="31">
        <f>15800</f>
        <v>15800</v>
      </c>
      <c r="L55" s="32" t="s">
        <v>999</v>
      </c>
      <c r="M55" s="31">
        <f>16920</f>
        <v>16920</v>
      </c>
      <c r="N55" s="32" t="s">
        <v>1004</v>
      </c>
      <c r="O55" s="31">
        <f>14340</f>
        <v>14340</v>
      </c>
      <c r="P55" s="32" t="s">
        <v>876</v>
      </c>
      <c r="Q55" s="31">
        <f>16130</f>
        <v>16130</v>
      </c>
      <c r="R55" s="32" t="s">
        <v>791</v>
      </c>
      <c r="S55" s="33">
        <f>15596.9</f>
        <v>15596.9</v>
      </c>
      <c r="T55" s="30">
        <f>5324</f>
        <v>5324</v>
      </c>
      <c r="U55" s="30" t="str">
        <f t="shared" ref="U55:U61" si="2">"－"</f>
        <v>－</v>
      </c>
      <c r="V55" s="30">
        <f>82764975</f>
        <v>82764975</v>
      </c>
      <c r="W55" s="30" t="str">
        <f t="shared" ref="W55:W61" si="3">"－"</f>
        <v>－</v>
      </c>
      <c r="X55" s="34">
        <f>21</f>
        <v>21</v>
      </c>
    </row>
    <row r="56" spans="1:24" ht="13.5" customHeight="1" x14ac:dyDescent="0.15">
      <c r="A56" s="25" t="s">
        <v>1013</v>
      </c>
      <c r="B56" s="25" t="s">
        <v>195</v>
      </c>
      <c r="C56" s="25" t="s">
        <v>196</v>
      </c>
      <c r="D56" s="25" t="s">
        <v>197</v>
      </c>
      <c r="E56" s="26" t="s">
        <v>45</v>
      </c>
      <c r="F56" s="27" t="s">
        <v>45</v>
      </c>
      <c r="G56" s="28" t="s">
        <v>45</v>
      </c>
      <c r="H56" s="29"/>
      <c r="I56" s="29" t="s">
        <v>46</v>
      </c>
      <c r="J56" s="30">
        <v>1</v>
      </c>
      <c r="K56" s="31">
        <f>4490</f>
        <v>4490</v>
      </c>
      <c r="L56" s="32" t="s">
        <v>996</v>
      </c>
      <c r="M56" s="31">
        <f>4730</f>
        <v>4730</v>
      </c>
      <c r="N56" s="32" t="s">
        <v>876</v>
      </c>
      <c r="O56" s="31">
        <f>4395</f>
        <v>4395</v>
      </c>
      <c r="P56" s="32" t="s">
        <v>1004</v>
      </c>
      <c r="Q56" s="31">
        <f>4405</f>
        <v>4405</v>
      </c>
      <c r="R56" s="32" t="s">
        <v>791</v>
      </c>
      <c r="S56" s="33">
        <f>4527.69</f>
        <v>4527.6899999999996</v>
      </c>
      <c r="T56" s="30">
        <f>1158</f>
        <v>1158</v>
      </c>
      <c r="U56" s="30" t="str">
        <f t="shared" si="2"/>
        <v>－</v>
      </c>
      <c r="V56" s="30">
        <f>5284545</f>
        <v>5284545</v>
      </c>
      <c r="W56" s="30" t="str">
        <f t="shared" si="3"/>
        <v>－</v>
      </c>
      <c r="X56" s="34">
        <f>13</f>
        <v>13</v>
      </c>
    </row>
    <row r="57" spans="1:24" ht="13.5" customHeight="1" x14ac:dyDescent="0.15">
      <c r="A57" s="25" t="s">
        <v>1013</v>
      </c>
      <c r="B57" s="25" t="s">
        <v>198</v>
      </c>
      <c r="C57" s="25" t="s">
        <v>199</v>
      </c>
      <c r="D57" s="25" t="s">
        <v>200</v>
      </c>
      <c r="E57" s="26" t="s">
        <v>45</v>
      </c>
      <c r="F57" s="27" t="s">
        <v>45</v>
      </c>
      <c r="G57" s="28" t="s">
        <v>45</v>
      </c>
      <c r="H57" s="29"/>
      <c r="I57" s="29" t="s">
        <v>46</v>
      </c>
      <c r="J57" s="30">
        <v>1</v>
      </c>
      <c r="K57" s="31">
        <f>1601</f>
        <v>1601</v>
      </c>
      <c r="L57" s="32" t="s">
        <v>995</v>
      </c>
      <c r="M57" s="31">
        <f>1745</f>
        <v>1745</v>
      </c>
      <c r="N57" s="32" t="s">
        <v>876</v>
      </c>
      <c r="O57" s="31">
        <f>1471</f>
        <v>1471</v>
      </c>
      <c r="P57" s="32" t="s">
        <v>1004</v>
      </c>
      <c r="Q57" s="31">
        <f>1535</f>
        <v>1535</v>
      </c>
      <c r="R57" s="32" t="s">
        <v>791</v>
      </c>
      <c r="S57" s="33">
        <f>1593.36</f>
        <v>1593.36</v>
      </c>
      <c r="T57" s="30">
        <f>42714</f>
        <v>42714</v>
      </c>
      <c r="U57" s="30" t="str">
        <f t="shared" si="2"/>
        <v>－</v>
      </c>
      <c r="V57" s="30">
        <f>68706127</f>
        <v>68706127</v>
      </c>
      <c r="W57" s="30" t="str">
        <f t="shared" si="3"/>
        <v>－</v>
      </c>
      <c r="X57" s="34">
        <f>22</f>
        <v>22</v>
      </c>
    </row>
    <row r="58" spans="1:24" ht="13.5" customHeight="1" x14ac:dyDescent="0.15">
      <c r="A58" s="25" t="s">
        <v>1013</v>
      </c>
      <c r="B58" s="25" t="s">
        <v>201</v>
      </c>
      <c r="C58" s="25" t="s">
        <v>202</v>
      </c>
      <c r="D58" s="25" t="s">
        <v>203</v>
      </c>
      <c r="E58" s="26" t="s">
        <v>45</v>
      </c>
      <c r="F58" s="27" t="s">
        <v>45</v>
      </c>
      <c r="G58" s="28" t="s">
        <v>45</v>
      </c>
      <c r="H58" s="29"/>
      <c r="I58" s="29" t="s">
        <v>46</v>
      </c>
      <c r="J58" s="30">
        <v>10</v>
      </c>
      <c r="K58" s="31">
        <f>14450</f>
        <v>14450</v>
      </c>
      <c r="L58" s="32" t="s">
        <v>995</v>
      </c>
      <c r="M58" s="31">
        <f>16000</f>
        <v>16000</v>
      </c>
      <c r="N58" s="32" t="s">
        <v>78</v>
      </c>
      <c r="O58" s="31">
        <f>13550</f>
        <v>13550</v>
      </c>
      <c r="P58" s="32" t="s">
        <v>80</v>
      </c>
      <c r="Q58" s="31">
        <f>14655</f>
        <v>14655</v>
      </c>
      <c r="R58" s="32" t="s">
        <v>791</v>
      </c>
      <c r="S58" s="33">
        <f>14503.25</f>
        <v>14503.25</v>
      </c>
      <c r="T58" s="30">
        <f>2070</f>
        <v>2070</v>
      </c>
      <c r="U58" s="30" t="str">
        <f t="shared" si="2"/>
        <v>－</v>
      </c>
      <c r="V58" s="30">
        <f>30281150</f>
        <v>30281150</v>
      </c>
      <c r="W58" s="30" t="str">
        <f t="shared" si="3"/>
        <v>－</v>
      </c>
      <c r="X58" s="34">
        <f>20</f>
        <v>20</v>
      </c>
    </row>
    <row r="59" spans="1:24" ht="13.5" customHeight="1" x14ac:dyDescent="0.15">
      <c r="A59" s="25" t="s">
        <v>1013</v>
      </c>
      <c r="B59" s="25" t="s">
        <v>204</v>
      </c>
      <c r="C59" s="25" t="s">
        <v>205</v>
      </c>
      <c r="D59" s="25" t="s">
        <v>206</v>
      </c>
      <c r="E59" s="26" t="s">
        <v>45</v>
      </c>
      <c r="F59" s="27" t="s">
        <v>45</v>
      </c>
      <c r="G59" s="28" t="s">
        <v>45</v>
      </c>
      <c r="H59" s="29"/>
      <c r="I59" s="29" t="s">
        <v>46</v>
      </c>
      <c r="J59" s="30">
        <v>10</v>
      </c>
      <c r="K59" s="31">
        <f>3734</f>
        <v>3734</v>
      </c>
      <c r="L59" s="32" t="s">
        <v>78</v>
      </c>
      <c r="M59" s="31">
        <f>3969</f>
        <v>3969</v>
      </c>
      <c r="N59" s="32" t="s">
        <v>80</v>
      </c>
      <c r="O59" s="31">
        <f>3661</f>
        <v>3661</v>
      </c>
      <c r="P59" s="32" t="s">
        <v>1000</v>
      </c>
      <c r="Q59" s="31">
        <f>3700</f>
        <v>3700</v>
      </c>
      <c r="R59" s="32" t="s">
        <v>255</v>
      </c>
      <c r="S59" s="33">
        <f>3722.78</f>
        <v>3722.78</v>
      </c>
      <c r="T59" s="30">
        <f>860</f>
        <v>860</v>
      </c>
      <c r="U59" s="30" t="str">
        <f t="shared" si="2"/>
        <v>－</v>
      </c>
      <c r="V59" s="30">
        <f>3238820</f>
        <v>3238820</v>
      </c>
      <c r="W59" s="30" t="str">
        <f t="shared" si="3"/>
        <v>－</v>
      </c>
      <c r="X59" s="34">
        <f>9</f>
        <v>9</v>
      </c>
    </row>
    <row r="60" spans="1:24" ht="13.5" customHeight="1" x14ac:dyDescent="0.15">
      <c r="A60" s="25" t="s">
        <v>1013</v>
      </c>
      <c r="B60" s="25" t="s">
        <v>207</v>
      </c>
      <c r="C60" s="25" t="s">
        <v>208</v>
      </c>
      <c r="D60" s="25" t="s">
        <v>209</v>
      </c>
      <c r="E60" s="26" t="s">
        <v>45</v>
      </c>
      <c r="F60" s="27" t="s">
        <v>45</v>
      </c>
      <c r="G60" s="28" t="s">
        <v>45</v>
      </c>
      <c r="H60" s="29"/>
      <c r="I60" s="29" t="s">
        <v>46</v>
      </c>
      <c r="J60" s="30">
        <v>10</v>
      </c>
      <c r="K60" s="31">
        <f>1589.5</f>
        <v>1589.5</v>
      </c>
      <c r="L60" s="32" t="s">
        <v>995</v>
      </c>
      <c r="M60" s="31">
        <f>1695.5</f>
        <v>1695.5</v>
      </c>
      <c r="N60" s="32" t="s">
        <v>876</v>
      </c>
      <c r="O60" s="31">
        <f>1460</f>
        <v>1460</v>
      </c>
      <c r="P60" s="32" t="s">
        <v>1004</v>
      </c>
      <c r="Q60" s="31">
        <f>1500</f>
        <v>1500</v>
      </c>
      <c r="R60" s="32" t="s">
        <v>791</v>
      </c>
      <c r="S60" s="33">
        <f>1571.64</f>
        <v>1571.64</v>
      </c>
      <c r="T60" s="30">
        <f>112550</f>
        <v>112550</v>
      </c>
      <c r="U60" s="30" t="str">
        <f t="shared" si="2"/>
        <v>－</v>
      </c>
      <c r="V60" s="30">
        <f>178072280</f>
        <v>178072280</v>
      </c>
      <c r="W60" s="30" t="str">
        <f t="shared" si="3"/>
        <v>－</v>
      </c>
      <c r="X60" s="34">
        <f>22</f>
        <v>22</v>
      </c>
    </row>
    <row r="61" spans="1:24" ht="13.5" customHeight="1" x14ac:dyDescent="0.15">
      <c r="A61" s="25" t="s">
        <v>1013</v>
      </c>
      <c r="B61" s="25" t="s">
        <v>210</v>
      </c>
      <c r="C61" s="25" t="s">
        <v>211</v>
      </c>
      <c r="D61" s="25" t="s">
        <v>212</v>
      </c>
      <c r="E61" s="26" t="s">
        <v>45</v>
      </c>
      <c r="F61" s="27" t="s">
        <v>45</v>
      </c>
      <c r="G61" s="28" t="s">
        <v>45</v>
      </c>
      <c r="H61" s="29"/>
      <c r="I61" s="29" t="s">
        <v>46</v>
      </c>
      <c r="J61" s="30">
        <v>1</v>
      </c>
      <c r="K61" s="31">
        <f>642</f>
        <v>642</v>
      </c>
      <c r="L61" s="32" t="s">
        <v>995</v>
      </c>
      <c r="M61" s="31">
        <f>690</f>
        <v>690</v>
      </c>
      <c r="N61" s="32" t="s">
        <v>876</v>
      </c>
      <c r="O61" s="31">
        <f>576</f>
        <v>576</v>
      </c>
      <c r="P61" s="32" t="s">
        <v>1004</v>
      </c>
      <c r="Q61" s="31">
        <f>611</f>
        <v>611</v>
      </c>
      <c r="R61" s="32" t="s">
        <v>791</v>
      </c>
      <c r="S61" s="33">
        <f>638.91</f>
        <v>638.91</v>
      </c>
      <c r="T61" s="30">
        <f>145549</f>
        <v>145549</v>
      </c>
      <c r="U61" s="30" t="str">
        <f t="shared" si="2"/>
        <v>－</v>
      </c>
      <c r="V61" s="30">
        <f>94333398</f>
        <v>94333398</v>
      </c>
      <c r="W61" s="30" t="str">
        <f t="shared" si="3"/>
        <v>－</v>
      </c>
      <c r="X61" s="34">
        <f>22</f>
        <v>22</v>
      </c>
    </row>
    <row r="62" spans="1:24" ht="13.5" customHeight="1" x14ac:dyDescent="0.15">
      <c r="A62" s="25" t="s">
        <v>1013</v>
      </c>
      <c r="B62" s="25" t="s">
        <v>213</v>
      </c>
      <c r="C62" s="25" t="s">
        <v>214</v>
      </c>
      <c r="D62" s="25" t="s">
        <v>215</v>
      </c>
      <c r="E62" s="26" t="s">
        <v>45</v>
      </c>
      <c r="F62" s="27" t="s">
        <v>45</v>
      </c>
      <c r="G62" s="28" t="s">
        <v>45</v>
      </c>
      <c r="H62" s="29"/>
      <c r="I62" s="29" t="s">
        <v>46</v>
      </c>
      <c r="J62" s="30">
        <v>10</v>
      </c>
      <c r="K62" s="31">
        <f>2010</f>
        <v>2010</v>
      </c>
      <c r="L62" s="32" t="s">
        <v>995</v>
      </c>
      <c r="M62" s="31">
        <f>2096.5</f>
        <v>2096.5</v>
      </c>
      <c r="N62" s="32" t="s">
        <v>1004</v>
      </c>
      <c r="O62" s="31">
        <f>1933</f>
        <v>1933</v>
      </c>
      <c r="P62" s="32" t="s">
        <v>876</v>
      </c>
      <c r="Q62" s="31">
        <f>2051.5</f>
        <v>2051.5</v>
      </c>
      <c r="R62" s="32" t="s">
        <v>791</v>
      </c>
      <c r="S62" s="33">
        <f>2015.64</f>
        <v>2015.64</v>
      </c>
      <c r="T62" s="30">
        <f>929190</f>
        <v>929190</v>
      </c>
      <c r="U62" s="30">
        <f>250000</f>
        <v>250000</v>
      </c>
      <c r="V62" s="30">
        <f>1877203340</f>
        <v>1877203340</v>
      </c>
      <c r="W62" s="30">
        <f>523750000</f>
        <v>523750000</v>
      </c>
      <c r="X62" s="34">
        <f>22</f>
        <v>22</v>
      </c>
    </row>
    <row r="63" spans="1:24" ht="13.5" customHeight="1" x14ac:dyDescent="0.15">
      <c r="A63" s="25" t="s">
        <v>1013</v>
      </c>
      <c r="B63" s="25" t="s">
        <v>216</v>
      </c>
      <c r="C63" s="25" t="s">
        <v>217</v>
      </c>
      <c r="D63" s="25" t="s">
        <v>218</v>
      </c>
      <c r="E63" s="26" t="s">
        <v>45</v>
      </c>
      <c r="F63" s="27" t="s">
        <v>45</v>
      </c>
      <c r="G63" s="28" t="s">
        <v>45</v>
      </c>
      <c r="H63" s="29"/>
      <c r="I63" s="29" t="s">
        <v>46</v>
      </c>
      <c r="J63" s="30">
        <v>1</v>
      </c>
      <c r="K63" s="31">
        <f>18060</f>
        <v>18060</v>
      </c>
      <c r="L63" s="32" t="s">
        <v>995</v>
      </c>
      <c r="M63" s="31">
        <f>18780</f>
        <v>18780</v>
      </c>
      <c r="N63" s="32" t="s">
        <v>1004</v>
      </c>
      <c r="O63" s="31">
        <f>17350</f>
        <v>17350</v>
      </c>
      <c r="P63" s="32" t="s">
        <v>876</v>
      </c>
      <c r="Q63" s="31">
        <f>18415</f>
        <v>18415</v>
      </c>
      <c r="R63" s="32" t="s">
        <v>791</v>
      </c>
      <c r="S63" s="33">
        <f>18073.18</f>
        <v>18073.18</v>
      </c>
      <c r="T63" s="30">
        <f>17930</f>
        <v>17930</v>
      </c>
      <c r="U63" s="30">
        <f>4327</f>
        <v>4327</v>
      </c>
      <c r="V63" s="30">
        <f>323888691</f>
        <v>323888691</v>
      </c>
      <c r="W63" s="30">
        <f>80105751</f>
        <v>80105751</v>
      </c>
      <c r="X63" s="34">
        <f>22</f>
        <v>22</v>
      </c>
    </row>
    <row r="64" spans="1:24" ht="13.5" customHeight="1" x14ac:dyDescent="0.15">
      <c r="A64" s="25" t="s">
        <v>1013</v>
      </c>
      <c r="B64" s="25" t="s">
        <v>219</v>
      </c>
      <c r="C64" s="25" t="s">
        <v>220</v>
      </c>
      <c r="D64" s="25" t="s">
        <v>221</v>
      </c>
      <c r="E64" s="26" t="s">
        <v>45</v>
      </c>
      <c r="F64" s="27" t="s">
        <v>45</v>
      </c>
      <c r="G64" s="28" t="s">
        <v>45</v>
      </c>
      <c r="H64" s="29"/>
      <c r="I64" s="29" t="s">
        <v>46</v>
      </c>
      <c r="J64" s="30">
        <v>1</v>
      </c>
      <c r="K64" s="31">
        <f>2031</f>
        <v>2031</v>
      </c>
      <c r="L64" s="32" t="s">
        <v>995</v>
      </c>
      <c r="M64" s="31">
        <f>2114</f>
        <v>2114</v>
      </c>
      <c r="N64" s="32" t="s">
        <v>1004</v>
      </c>
      <c r="O64" s="31">
        <f>1948</f>
        <v>1948</v>
      </c>
      <c r="P64" s="32" t="s">
        <v>876</v>
      </c>
      <c r="Q64" s="31">
        <f>2071</f>
        <v>2071</v>
      </c>
      <c r="R64" s="32" t="s">
        <v>791</v>
      </c>
      <c r="S64" s="33">
        <f>2032.36</f>
        <v>2032.36</v>
      </c>
      <c r="T64" s="30">
        <f>36136682</f>
        <v>36136682</v>
      </c>
      <c r="U64" s="30">
        <f>28645833</f>
        <v>28645833</v>
      </c>
      <c r="V64" s="30">
        <f>72178277765</f>
        <v>72178277765</v>
      </c>
      <c r="W64" s="30">
        <f>56994221436</f>
        <v>56994221436</v>
      </c>
      <c r="X64" s="34">
        <f>22</f>
        <v>22</v>
      </c>
    </row>
    <row r="65" spans="1:24" ht="13.5" customHeight="1" x14ac:dyDescent="0.15">
      <c r="A65" s="25" t="s">
        <v>1013</v>
      </c>
      <c r="B65" s="25" t="s">
        <v>222</v>
      </c>
      <c r="C65" s="25" t="s">
        <v>223</v>
      </c>
      <c r="D65" s="25" t="s">
        <v>224</v>
      </c>
      <c r="E65" s="26" t="s">
        <v>45</v>
      </c>
      <c r="F65" s="27" t="s">
        <v>45</v>
      </c>
      <c r="G65" s="28" t="s">
        <v>45</v>
      </c>
      <c r="H65" s="29"/>
      <c r="I65" s="29" t="s">
        <v>46</v>
      </c>
      <c r="J65" s="30">
        <v>1</v>
      </c>
      <c r="K65" s="31">
        <f>1907</f>
        <v>1907</v>
      </c>
      <c r="L65" s="32" t="s">
        <v>995</v>
      </c>
      <c r="M65" s="31">
        <f>1907</f>
        <v>1907</v>
      </c>
      <c r="N65" s="32" t="s">
        <v>995</v>
      </c>
      <c r="O65" s="31">
        <f>1803</f>
        <v>1803</v>
      </c>
      <c r="P65" s="32" t="s">
        <v>80</v>
      </c>
      <c r="Q65" s="31">
        <f>1845</f>
        <v>1845</v>
      </c>
      <c r="R65" s="32" t="s">
        <v>791</v>
      </c>
      <c r="S65" s="33">
        <f>1856</f>
        <v>1856</v>
      </c>
      <c r="T65" s="30">
        <f>5834526</f>
        <v>5834526</v>
      </c>
      <c r="U65" s="30">
        <f>3050293</f>
        <v>3050293</v>
      </c>
      <c r="V65" s="30">
        <f>10828687960</f>
        <v>10828687960</v>
      </c>
      <c r="W65" s="30">
        <f>5684385376</f>
        <v>5684385376</v>
      </c>
      <c r="X65" s="34">
        <f>22</f>
        <v>22</v>
      </c>
    </row>
    <row r="66" spans="1:24" ht="13.5" customHeight="1" x14ac:dyDescent="0.15">
      <c r="A66" s="25" t="s">
        <v>1013</v>
      </c>
      <c r="B66" s="25" t="s">
        <v>225</v>
      </c>
      <c r="C66" s="25" t="s">
        <v>226</v>
      </c>
      <c r="D66" s="25" t="s">
        <v>227</v>
      </c>
      <c r="E66" s="26" t="s">
        <v>45</v>
      </c>
      <c r="F66" s="27" t="s">
        <v>45</v>
      </c>
      <c r="G66" s="28" t="s">
        <v>45</v>
      </c>
      <c r="H66" s="29"/>
      <c r="I66" s="29" t="s">
        <v>46</v>
      </c>
      <c r="J66" s="30">
        <v>1</v>
      </c>
      <c r="K66" s="31">
        <f>1916</f>
        <v>1916</v>
      </c>
      <c r="L66" s="32" t="s">
        <v>995</v>
      </c>
      <c r="M66" s="31">
        <f>1979</f>
        <v>1979</v>
      </c>
      <c r="N66" s="32" t="s">
        <v>1004</v>
      </c>
      <c r="O66" s="31">
        <f>1853</f>
        <v>1853</v>
      </c>
      <c r="P66" s="32" t="s">
        <v>876</v>
      </c>
      <c r="Q66" s="31">
        <f>1939</f>
        <v>1939</v>
      </c>
      <c r="R66" s="32" t="s">
        <v>791</v>
      </c>
      <c r="S66" s="33">
        <f>1913</f>
        <v>1913</v>
      </c>
      <c r="T66" s="30">
        <f>19140</f>
        <v>19140</v>
      </c>
      <c r="U66" s="30">
        <f>10376</f>
        <v>10376</v>
      </c>
      <c r="V66" s="30">
        <f>36818798</f>
        <v>36818798</v>
      </c>
      <c r="W66" s="30">
        <f>20127233</f>
        <v>20127233</v>
      </c>
      <c r="X66" s="34">
        <f>22</f>
        <v>22</v>
      </c>
    </row>
    <row r="67" spans="1:24" ht="13.5" customHeight="1" x14ac:dyDescent="0.15">
      <c r="A67" s="25" t="s">
        <v>1013</v>
      </c>
      <c r="B67" s="25" t="s">
        <v>228</v>
      </c>
      <c r="C67" s="25" t="s">
        <v>229</v>
      </c>
      <c r="D67" s="25" t="s">
        <v>230</v>
      </c>
      <c r="E67" s="26" t="s">
        <v>45</v>
      </c>
      <c r="F67" s="27" t="s">
        <v>45</v>
      </c>
      <c r="G67" s="28" t="s">
        <v>45</v>
      </c>
      <c r="H67" s="29"/>
      <c r="I67" s="29" t="s">
        <v>46</v>
      </c>
      <c r="J67" s="30">
        <v>1</v>
      </c>
      <c r="K67" s="31">
        <f>2446</f>
        <v>2446</v>
      </c>
      <c r="L67" s="32" t="s">
        <v>995</v>
      </c>
      <c r="M67" s="31">
        <f>2543</f>
        <v>2543</v>
      </c>
      <c r="N67" s="32" t="s">
        <v>1004</v>
      </c>
      <c r="O67" s="31">
        <f>2368</f>
        <v>2368</v>
      </c>
      <c r="P67" s="32" t="s">
        <v>876</v>
      </c>
      <c r="Q67" s="31">
        <f>2482</f>
        <v>2482</v>
      </c>
      <c r="R67" s="32" t="s">
        <v>791</v>
      </c>
      <c r="S67" s="33">
        <f>2449.73</f>
        <v>2449.73</v>
      </c>
      <c r="T67" s="30">
        <f>922949</f>
        <v>922949</v>
      </c>
      <c r="U67" s="30">
        <f>378198</f>
        <v>378198</v>
      </c>
      <c r="V67" s="30">
        <f>2239544938</f>
        <v>2239544938</v>
      </c>
      <c r="W67" s="30">
        <f>918035174</f>
        <v>918035174</v>
      </c>
      <c r="X67" s="34">
        <f>22</f>
        <v>22</v>
      </c>
    </row>
    <row r="68" spans="1:24" ht="13.5" customHeight="1" x14ac:dyDescent="0.15">
      <c r="A68" s="25" t="s">
        <v>1013</v>
      </c>
      <c r="B68" s="25" t="s">
        <v>231</v>
      </c>
      <c r="C68" s="25" t="s">
        <v>232</v>
      </c>
      <c r="D68" s="25" t="s">
        <v>233</v>
      </c>
      <c r="E68" s="26" t="s">
        <v>45</v>
      </c>
      <c r="F68" s="27" t="s">
        <v>45</v>
      </c>
      <c r="G68" s="28" t="s">
        <v>45</v>
      </c>
      <c r="H68" s="29"/>
      <c r="I68" s="29" t="s">
        <v>46</v>
      </c>
      <c r="J68" s="30">
        <v>1</v>
      </c>
      <c r="K68" s="31">
        <f>24330</f>
        <v>24330</v>
      </c>
      <c r="L68" s="32" t="s">
        <v>999</v>
      </c>
      <c r="M68" s="31">
        <f>24640</f>
        <v>24640</v>
      </c>
      <c r="N68" s="32" t="s">
        <v>791</v>
      </c>
      <c r="O68" s="31">
        <f>23400</f>
        <v>23400</v>
      </c>
      <c r="P68" s="32" t="s">
        <v>876</v>
      </c>
      <c r="Q68" s="31">
        <f>24640</f>
        <v>24640</v>
      </c>
      <c r="R68" s="32" t="s">
        <v>791</v>
      </c>
      <c r="S68" s="33">
        <f>24126.82</f>
        <v>24126.82</v>
      </c>
      <c r="T68" s="30">
        <f>21</f>
        <v>21</v>
      </c>
      <c r="U68" s="30" t="str">
        <f>"－"</f>
        <v>－</v>
      </c>
      <c r="V68" s="30">
        <f>502825</f>
        <v>502825</v>
      </c>
      <c r="W68" s="30" t="str">
        <f>"－"</f>
        <v>－</v>
      </c>
      <c r="X68" s="34">
        <f>11</f>
        <v>11</v>
      </c>
    </row>
    <row r="69" spans="1:24" ht="13.5" customHeight="1" x14ac:dyDescent="0.15">
      <c r="A69" s="25" t="s">
        <v>1013</v>
      </c>
      <c r="B69" s="25" t="s">
        <v>234</v>
      </c>
      <c r="C69" s="25" t="s">
        <v>235</v>
      </c>
      <c r="D69" s="25" t="s">
        <v>236</v>
      </c>
      <c r="E69" s="26" t="s">
        <v>45</v>
      </c>
      <c r="F69" s="27" t="s">
        <v>45</v>
      </c>
      <c r="G69" s="28" t="s">
        <v>45</v>
      </c>
      <c r="H69" s="29"/>
      <c r="I69" s="29" t="s">
        <v>46</v>
      </c>
      <c r="J69" s="30">
        <v>1</v>
      </c>
      <c r="K69" s="31">
        <f>19910</f>
        <v>19910</v>
      </c>
      <c r="L69" s="32" t="s">
        <v>999</v>
      </c>
      <c r="M69" s="31">
        <f>20370</f>
        <v>20370</v>
      </c>
      <c r="N69" s="32" t="s">
        <v>791</v>
      </c>
      <c r="O69" s="31">
        <f>19245</f>
        <v>19245</v>
      </c>
      <c r="P69" s="32" t="s">
        <v>876</v>
      </c>
      <c r="Q69" s="31">
        <f>20370</f>
        <v>20370</v>
      </c>
      <c r="R69" s="32" t="s">
        <v>791</v>
      </c>
      <c r="S69" s="33">
        <f>19813</f>
        <v>19813</v>
      </c>
      <c r="T69" s="30">
        <f>197</f>
        <v>197</v>
      </c>
      <c r="U69" s="30" t="str">
        <f>"－"</f>
        <v>－</v>
      </c>
      <c r="V69" s="30">
        <f>3886675</f>
        <v>3886675</v>
      </c>
      <c r="W69" s="30" t="str">
        <f>"－"</f>
        <v>－</v>
      </c>
      <c r="X69" s="34">
        <f>10</f>
        <v>10</v>
      </c>
    </row>
    <row r="70" spans="1:24" ht="13.5" customHeight="1" x14ac:dyDescent="0.15">
      <c r="A70" s="25" t="s">
        <v>1013</v>
      </c>
      <c r="B70" s="25" t="s">
        <v>237</v>
      </c>
      <c r="C70" s="25" t="s">
        <v>238</v>
      </c>
      <c r="D70" s="25" t="s">
        <v>239</v>
      </c>
      <c r="E70" s="26" t="s">
        <v>45</v>
      </c>
      <c r="F70" s="27" t="s">
        <v>45</v>
      </c>
      <c r="G70" s="28" t="s">
        <v>45</v>
      </c>
      <c r="H70" s="29"/>
      <c r="I70" s="29" t="s">
        <v>46</v>
      </c>
      <c r="J70" s="30">
        <v>1</v>
      </c>
      <c r="K70" s="31">
        <f>2048</f>
        <v>2048</v>
      </c>
      <c r="L70" s="32" t="s">
        <v>995</v>
      </c>
      <c r="M70" s="31">
        <f>2130</f>
        <v>2130</v>
      </c>
      <c r="N70" s="32" t="s">
        <v>1004</v>
      </c>
      <c r="O70" s="31">
        <f>1989</f>
        <v>1989</v>
      </c>
      <c r="P70" s="32" t="s">
        <v>876</v>
      </c>
      <c r="Q70" s="31">
        <f>2098</f>
        <v>2098</v>
      </c>
      <c r="R70" s="32" t="s">
        <v>791</v>
      </c>
      <c r="S70" s="33">
        <f>2057.8</f>
        <v>2057.8000000000002</v>
      </c>
      <c r="T70" s="30">
        <f>1992</f>
        <v>1992</v>
      </c>
      <c r="U70" s="30" t="str">
        <f>"－"</f>
        <v>－</v>
      </c>
      <c r="V70" s="30">
        <f>4101050</f>
        <v>4101050</v>
      </c>
      <c r="W70" s="30" t="str">
        <f>"－"</f>
        <v>－</v>
      </c>
      <c r="X70" s="34">
        <f>20</f>
        <v>20</v>
      </c>
    </row>
    <row r="71" spans="1:24" ht="13.5" customHeight="1" x14ac:dyDescent="0.15">
      <c r="A71" s="25" t="s">
        <v>1013</v>
      </c>
      <c r="B71" s="25" t="s">
        <v>240</v>
      </c>
      <c r="C71" s="25" t="s">
        <v>241</v>
      </c>
      <c r="D71" s="25" t="s">
        <v>242</v>
      </c>
      <c r="E71" s="26" t="s">
        <v>45</v>
      </c>
      <c r="F71" s="27" t="s">
        <v>45</v>
      </c>
      <c r="G71" s="28" t="s">
        <v>45</v>
      </c>
      <c r="H71" s="29"/>
      <c r="I71" s="29" t="s">
        <v>46</v>
      </c>
      <c r="J71" s="30">
        <v>1</v>
      </c>
      <c r="K71" s="31">
        <f>1869</f>
        <v>1869</v>
      </c>
      <c r="L71" s="32" t="s">
        <v>995</v>
      </c>
      <c r="M71" s="31">
        <f>1948</f>
        <v>1948</v>
      </c>
      <c r="N71" s="32" t="s">
        <v>255</v>
      </c>
      <c r="O71" s="31">
        <f>1847</f>
        <v>1847</v>
      </c>
      <c r="P71" s="32" t="s">
        <v>996</v>
      </c>
      <c r="Q71" s="31">
        <f>1921</f>
        <v>1921</v>
      </c>
      <c r="R71" s="32" t="s">
        <v>791</v>
      </c>
      <c r="S71" s="33">
        <f>1901.77</f>
        <v>1901.77</v>
      </c>
      <c r="T71" s="30">
        <f>7231142</f>
        <v>7231142</v>
      </c>
      <c r="U71" s="30">
        <f>4789621</f>
        <v>4789621</v>
      </c>
      <c r="V71" s="30">
        <f>13690621677</f>
        <v>13690621677</v>
      </c>
      <c r="W71" s="30">
        <f>9078770933</f>
        <v>9078770933</v>
      </c>
      <c r="X71" s="34">
        <f>22</f>
        <v>22</v>
      </c>
    </row>
    <row r="72" spans="1:24" ht="13.5" customHeight="1" x14ac:dyDescent="0.15">
      <c r="A72" s="25" t="s">
        <v>1013</v>
      </c>
      <c r="B72" s="25" t="s">
        <v>243</v>
      </c>
      <c r="C72" s="25" t="s">
        <v>244</v>
      </c>
      <c r="D72" s="25" t="s">
        <v>245</v>
      </c>
      <c r="E72" s="26" t="s">
        <v>45</v>
      </c>
      <c r="F72" s="27" t="s">
        <v>45</v>
      </c>
      <c r="G72" s="28" t="s">
        <v>45</v>
      </c>
      <c r="H72" s="29"/>
      <c r="I72" s="29" t="s">
        <v>46</v>
      </c>
      <c r="J72" s="30">
        <v>1</v>
      </c>
      <c r="K72" s="31">
        <f>2064</f>
        <v>2064</v>
      </c>
      <c r="L72" s="32" t="s">
        <v>995</v>
      </c>
      <c r="M72" s="31">
        <f>2161</f>
        <v>2161</v>
      </c>
      <c r="N72" s="32" t="s">
        <v>56</v>
      </c>
      <c r="O72" s="31">
        <f>2000</f>
        <v>2000</v>
      </c>
      <c r="P72" s="32" t="s">
        <v>80</v>
      </c>
      <c r="Q72" s="31">
        <f>2042</f>
        <v>2042</v>
      </c>
      <c r="R72" s="32" t="s">
        <v>791</v>
      </c>
      <c r="S72" s="33">
        <f>2062.55</f>
        <v>2062.5500000000002</v>
      </c>
      <c r="T72" s="30">
        <f>3166</f>
        <v>3166</v>
      </c>
      <c r="U72" s="30" t="str">
        <f>"－"</f>
        <v>－</v>
      </c>
      <c r="V72" s="30">
        <f>6533654</f>
        <v>6533654</v>
      </c>
      <c r="W72" s="30" t="str">
        <f>"－"</f>
        <v>－</v>
      </c>
      <c r="X72" s="34">
        <f>22</f>
        <v>22</v>
      </c>
    </row>
    <row r="73" spans="1:24" ht="13.5" customHeight="1" x14ac:dyDescent="0.15">
      <c r="A73" s="25" t="s">
        <v>1013</v>
      </c>
      <c r="B73" s="25" t="s">
        <v>246</v>
      </c>
      <c r="C73" s="25" t="s">
        <v>247</v>
      </c>
      <c r="D73" s="25" t="s">
        <v>248</v>
      </c>
      <c r="E73" s="26" t="s">
        <v>45</v>
      </c>
      <c r="F73" s="27" t="s">
        <v>45</v>
      </c>
      <c r="G73" s="28" t="s">
        <v>45</v>
      </c>
      <c r="H73" s="29"/>
      <c r="I73" s="29" t="s">
        <v>46</v>
      </c>
      <c r="J73" s="30">
        <v>10</v>
      </c>
      <c r="K73" s="31">
        <f>2028</f>
        <v>2028</v>
      </c>
      <c r="L73" s="32" t="s">
        <v>995</v>
      </c>
      <c r="M73" s="31">
        <f>2110</f>
        <v>2110</v>
      </c>
      <c r="N73" s="32" t="s">
        <v>1004</v>
      </c>
      <c r="O73" s="31">
        <f>1959</f>
        <v>1959</v>
      </c>
      <c r="P73" s="32" t="s">
        <v>876</v>
      </c>
      <c r="Q73" s="31">
        <f>2068.5</f>
        <v>2068.5</v>
      </c>
      <c r="R73" s="32" t="s">
        <v>791</v>
      </c>
      <c r="S73" s="33">
        <f>2030.14</f>
        <v>2030.14</v>
      </c>
      <c r="T73" s="30">
        <f>47720</f>
        <v>47720</v>
      </c>
      <c r="U73" s="30" t="str">
        <f>"－"</f>
        <v>－</v>
      </c>
      <c r="V73" s="30">
        <f>98034005</f>
        <v>98034005</v>
      </c>
      <c r="W73" s="30" t="str">
        <f>"－"</f>
        <v>－</v>
      </c>
      <c r="X73" s="34">
        <f>22</f>
        <v>22</v>
      </c>
    </row>
    <row r="74" spans="1:24" ht="13.5" customHeight="1" x14ac:dyDescent="0.15">
      <c r="A74" s="25" t="s">
        <v>1013</v>
      </c>
      <c r="B74" s="25" t="s">
        <v>249</v>
      </c>
      <c r="C74" s="25" t="s">
        <v>250</v>
      </c>
      <c r="D74" s="25" t="s">
        <v>251</v>
      </c>
      <c r="E74" s="26" t="s">
        <v>45</v>
      </c>
      <c r="F74" s="27" t="s">
        <v>45</v>
      </c>
      <c r="G74" s="28" t="s">
        <v>45</v>
      </c>
      <c r="H74" s="29"/>
      <c r="I74" s="29" t="s">
        <v>46</v>
      </c>
      <c r="J74" s="30">
        <v>1</v>
      </c>
      <c r="K74" s="31">
        <f>29810</f>
        <v>29810</v>
      </c>
      <c r="L74" s="32" t="s">
        <v>996</v>
      </c>
      <c r="M74" s="31">
        <f>31490</f>
        <v>31490</v>
      </c>
      <c r="N74" s="32" t="s">
        <v>791</v>
      </c>
      <c r="O74" s="31">
        <f>29810</f>
        <v>29810</v>
      </c>
      <c r="P74" s="32" t="s">
        <v>996</v>
      </c>
      <c r="Q74" s="31">
        <f>31490</f>
        <v>31490</v>
      </c>
      <c r="R74" s="32" t="s">
        <v>791</v>
      </c>
      <c r="S74" s="33">
        <f>31055</f>
        <v>31055</v>
      </c>
      <c r="T74" s="30">
        <f>16</f>
        <v>16</v>
      </c>
      <c r="U74" s="30" t="str">
        <f>"－"</f>
        <v>－</v>
      </c>
      <c r="V74" s="30">
        <f>496850</f>
        <v>496850</v>
      </c>
      <c r="W74" s="30" t="str">
        <f>"－"</f>
        <v>－</v>
      </c>
      <c r="X74" s="34">
        <f>2</f>
        <v>2</v>
      </c>
    </row>
    <row r="75" spans="1:24" ht="13.5" customHeight="1" x14ac:dyDescent="0.15">
      <c r="A75" s="25" t="s">
        <v>1013</v>
      </c>
      <c r="B75" s="25" t="s">
        <v>252</v>
      </c>
      <c r="C75" s="25" t="s">
        <v>253</v>
      </c>
      <c r="D75" s="25" t="s">
        <v>254</v>
      </c>
      <c r="E75" s="26" t="s">
        <v>45</v>
      </c>
      <c r="F75" s="27" t="s">
        <v>45</v>
      </c>
      <c r="G75" s="28" t="s">
        <v>45</v>
      </c>
      <c r="H75" s="29"/>
      <c r="I75" s="29" t="s">
        <v>46</v>
      </c>
      <c r="J75" s="30">
        <v>1</v>
      </c>
      <c r="K75" s="31">
        <f>21535</f>
        <v>21535</v>
      </c>
      <c r="L75" s="32" t="s">
        <v>995</v>
      </c>
      <c r="M75" s="31">
        <f>21820</f>
        <v>21820</v>
      </c>
      <c r="N75" s="32" t="s">
        <v>876</v>
      </c>
      <c r="O75" s="31">
        <f>21340</f>
        <v>21340</v>
      </c>
      <c r="P75" s="32" t="s">
        <v>1017</v>
      </c>
      <c r="Q75" s="31">
        <f>21700</f>
        <v>21700</v>
      </c>
      <c r="R75" s="32" t="s">
        <v>791</v>
      </c>
      <c r="S75" s="33">
        <f>21577.05</f>
        <v>21577.05</v>
      </c>
      <c r="T75" s="30">
        <f>116416</f>
        <v>116416</v>
      </c>
      <c r="U75" s="30">
        <f>3</f>
        <v>3</v>
      </c>
      <c r="V75" s="30">
        <f>2513274415</f>
        <v>2513274415</v>
      </c>
      <c r="W75" s="30">
        <f>65040</f>
        <v>65040</v>
      </c>
      <c r="X75" s="34">
        <f>22</f>
        <v>22</v>
      </c>
    </row>
    <row r="76" spans="1:24" ht="13.5" customHeight="1" x14ac:dyDescent="0.15">
      <c r="A76" s="25" t="s">
        <v>1013</v>
      </c>
      <c r="B76" s="25" t="s">
        <v>256</v>
      </c>
      <c r="C76" s="25" t="s">
        <v>257</v>
      </c>
      <c r="D76" s="25" t="s">
        <v>258</v>
      </c>
      <c r="E76" s="26" t="s">
        <v>45</v>
      </c>
      <c r="F76" s="27" t="s">
        <v>45</v>
      </c>
      <c r="G76" s="28" t="s">
        <v>45</v>
      </c>
      <c r="H76" s="29"/>
      <c r="I76" s="29" t="s">
        <v>46</v>
      </c>
      <c r="J76" s="30">
        <v>1</v>
      </c>
      <c r="K76" s="31">
        <f>14350</f>
        <v>14350</v>
      </c>
      <c r="L76" s="32" t="s">
        <v>995</v>
      </c>
      <c r="M76" s="31">
        <f>14990</f>
        <v>14990</v>
      </c>
      <c r="N76" s="32" t="s">
        <v>255</v>
      </c>
      <c r="O76" s="31">
        <f>14190</f>
        <v>14190</v>
      </c>
      <c r="P76" s="32" t="s">
        <v>996</v>
      </c>
      <c r="Q76" s="31">
        <f>14775</f>
        <v>14775</v>
      </c>
      <c r="R76" s="32" t="s">
        <v>791</v>
      </c>
      <c r="S76" s="33">
        <f>14619.77</f>
        <v>14619.77</v>
      </c>
      <c r="T76" s="30">
        <f>415175</f>
        <v>415175</v>
      </c>
      <c r="U76" s="30">
        <f>154201</f>
        <v>154201</v>
      </c>
      <c r="V76" s="30">
        <f>6075526635</f>
        <v>6075526635</v>
      </c>
      <c r="W76" s="30">
        <f>2248954705</f>
        <v>2248954705</v>
      </c>
      <c r="X76" s="34">
        <f>22</f>
        <v>22</v>
      </c>
    </row>
    <row r="77" spans="1:24" ht="13.5" customHeight="1" x14ac:dyDescent="0.15">
      <c r="A77" s="25" t="s">
        <v>1013</v>
      </c>
      <c r="B77" s="25" t="s">
        <v>259</v>
      </c>
      <c r="C77" s="25" t="s">
        <v>260</v>
      </c>
      <c r="D77" s="25" t="s">
        <v>261</v>
      </c>
      <c r="E77" s="26" t="s">
        <v>45</v>
      </c>
      <c r="F77" s="27" t="s">
        <v>45</v>
      </c>
      <c r="G77" s="28" t="s">
        <v>45</v>
      </c>
      <c r="H77" s="29"/>
      <c r="I77" s="29" t="s">
        <v>46</v>
      </c>
      <c r="J77" s="30">
        <v>10</v>
      </c>
      <c r="K77" s="31">
        <f>1921</f>
        <v>1921</v>
      </c>
      <c r="L77" s="32" t="s">
        <v>995</v>
      </c>
      <c r="M77" s="31">
        <f>1921</f>
        <v>1921</v>
      </c>
      <c r="N77" s="32" t="s">
        <v>995</v>
      </c>
      <c r="O77" s="31">
        <f>1793</f>
        <v>1793</v>
      </c>
      <c r="P77" s="32" t="s">
        <v>80</v>
      </c>
      <c r="Q77" s="31">
        <f>1837</f>
        <v>1837</v>
      </c>
      <c r="R77" s="32" t="s">
        <v>791</v>
      </c>
      <c r="S77" s="33">
        <f>1848.73</f>
        <v>1848.73</v>
      </c>
      <c r="T77" s="30">
        <f>1663720</f>
        <v>1663720</v>
      </c>
      <c r="U77" s="30">
        <f>677220</f>
        <v>677220</v>
      </c>
      <c r="V77" s="30">
        <f>3071292394</f>
        <v>3071292394</v>
      </c>
      <c r="W77" s="30">
        <f>1248200139</f>
        <v>1248200139</v>
      </c>
      <c r="X77" s="34">
        <f>22</f>
        <v>22</v>
      </c>
    </row>
    <row r="78" spans="1:24" ht="13.5" customHeight="1" x14ac:dyDescent="0.15">
      <c r="A78" s="25" t="s">
        <v>1013</v>
      </c>
      <c r="B78" s="25" t="s">
        <v>262</v>
      </c>
      <c r="C78" s="25" t="s">
        <v>263</v>
      </c>
      <c r="D78" s="25" t="s">
        <v>264</v>
      </c>
      <c r="E78" s="26" t="s">
        <v>45</v>
      </c>
      <c r="F78" s="27" t="s">
        <v>45</v>
      </c>
      <c r="G78" s="28" t="s">
        <v>45</v>
      </c>
      <c r="H78" s="29"/>
      <c r="I78" s="29" t="s">
        <v>46</v>
      </c>
      <c r="J78" s="30">
        <v>1</v>
      </c>
      <c r="K78" s="31">
        <f>46680</f>
        <v>46680</v>
      </c>
      <c r="L78" s="32" t="s">
        <v>995</v>
      </c>
      <c r="M78" s="31">
        <f>48920</f>
        <v>48920</v>
      </c>
      <c r="N78" s="32" t="s">
        <v>1004</v>
      </c>
      <c r="O78" s="31">
        <f>43510</f>
        <v>43510</v>
      </c>
      <c r="P78" s="32" t="s">
        <v>80</v>
      </c>
      <c r="Q78" s="31">
        <f>46010</f>
        <v>46010</v>
      </c>
      <c r="R78" s="32" t="s">
        <v>791</v>
      </c>
      <c r="S78" s="33">
        <f>45879.55</f>
        <v>45879.55</v>
      </c>
      <c r="T78" s="30">
        <f>632680</f>
        <v>632680</v>
      </c>
      <c r="U78" s="30">
        <f>43651</f>
        <v>43651</v>
      </c>
      <c r="V78" s="30">
        <f>28902897535</f>
        <v>28902897535</v>
      </c>
      <c r="W78" s="30">
        <f>1969397985</f>
        <v>1969397985</v>
      </c>
      <c r="X78" s="34">
        <f>22</f>
        <v>22</v>
      </c>
    </row>
    <row r="79" spans="1:24" ht="13.5" customHeight="1" x14ac:dyDescent="0.15">
      <c r="A79" s="25" t="s">
        <v>1013</v>
      </c>
      <c r="B79" s="25" t="s">
        <v>265</v>
      </c>
      <c r="C79" s="25" t="s">
        <v>266</v>
      </c>
      <c r="D79" s="25" t="s">
        <v>267</v>
      </c>
      <c r="E79" s="26" t="s">
        <v>45</v>
      </c>
      <c r="F79" s="27" t="s">
        <v>45</v>
      </c>
      <c r="G79" s="28" t="s">
        <v>45</v>
      </c>
      <c r="H79" s="29"/>
      <c r="I79" s="29" t="s">
        <v>46</v>
      </c>
      <c r="J79" s="30">
        <v>10</v>
      </c>
      <c r="K79" s="31">
        <f>7702</f>
        <v>7702</v>
      </c>
      <c r="L79" s="32" t="s">
        <v>875</v>
      </c>
      <c r="M79" s="31">
        <f>7702</f>
        <v>7702</v>
      </c>
      <c r="N79" s="32" t="s">
        <v>875</v>
      </c>
      <c r="O79" s="31">
        <f>7569</f>
        <v>7569</v>
      </c>
      <c r="P79" s="32" t="s">
        <v>791</v>
      </c>
      <c r="Q79" s="31">
        <f>7569</f>
        <v>7569</v>
      </c>
      <c r="R79" s="32" t="s">
        <v>791</v>
      </c>
      <c r="S79" s="33">
        <f>7657.67</f>
        <v>7657.67</v>
      </c>
      <c r="T79" s="30">
        <f>40</f>
        <v>40</v>
      </c>
      <c r="U79" s="30" t="str">
        <f>"－"</f>
        <v>－</v>
      </c>
      <c r="V79" s="30">
        <f>306390</f>
        <v>306390</v>
      </c>
      <c r="W79" s="30" t="str">
        <f>"－"</f>
        <v>－</v>
      </c>
      <c r="X79" s="34">
        <f>3</f>
        <v>3</v>
      </c>
    </row>
    <row r="80" spans="1:24" ht="13.5" customHeight="1" x14ac:dyDescent="0.15">
      <c r="A80" s="25" t="s">
        <v>1013</v>
      </c>
      <c r="B80" s="25" t="s">
        <v>268</v>
      </c>
      <c r="C80" s="25" t="s">
        <v>269</v>
      </c>
      <c r="D80" s="25" t="s">
        <v>270</v>
      </c>
      <c r="E80" s="26" t="s">
        <v>45</v>
      </c>
      <c r="F80" s="27" t="s">
        <v>45</v>
      </c>
      <c r="G80" s="28" t="s">
        <v>45</v>
      </c>
      <c r="H80" s="29"/>
      <c r="I80" s="29" t="s">
        <v>46</v>
      </c>
      <c r="J80" s="30">
        <v>1</v>
      </c>
      <c r="K80" s="31">
        <f>15925</f>
        <v>15925</v>
      </c>
      <c r="L80" s="32" t="s">
        <v>995</v>
      </c>
      <c r="M80" s="31">
        <f>16525</f>
        <v>16525</v>
      </c>
      <c r="N80" s="32" t="s">
        <v>875</v>
      </c>
      <c r="O80" s="31">
        <f>15300</f>
        <v>15300</v>
      </c>
      <c r="P80" s="32" t="s">
        <v>80</v>
      </c>
      <c r="Q80" s="31">
        <f>15985</f>
        <v>15985</v>
      </c>
      <c r="R80" s="32" t="s">
        <v>791</v>
      </c>
      <c r="S80" s="33">
        <f>15876.67</f>
        <v>15876.67</v>
      </c>
      <c r="T80" s="30">
        <f>856</f>
        <v>856</v>
      </c>
      <c r="U80" s="30" t="str">
        <f>"－"</f>
        <v>－</v>
      </c>
      <c r="V80" s="30">
        <f>13685100</f>
        <v>13685100</v>
      </c>
      <c r="W80" s="30" t="str">
        <f>"－"</f>
        <v>－</v>
      </c>
      <c r="X80" s="34">
        <f>21</f>
        <v>21</v>
      </c>
    </row>
    <row r="81" spans="1:24" ht="13.5" customHeight="1" x14ac:dyDescent="0.15">
      <c r="A81" s="25" t="s">
        <v>1013</v>
      </c>
      <c r="B81" s="25" t="s">
        <v>271</v>
      </c>
      <c r="C81" s="25" t="s">
        <v>272</v>
      </c>
      <c r="D81" s="25" t="s">
        <v>273</v>
      </c>
      <c r="E81" s="26" t="s">
        <v>45</v>
      </c>
      <c r="F81" s="27" t="s">
        <v>45</v>
      </c>
      <c r="G81" s="28" t="s">
        <v>45</v>
      </c>
      <c r="H81" s="29"/>
      <c r="I81" s="29" t="s">
        <v>46</v>
      </c>
      <c r="J81" s="30">
        <v>1</v>
      </c>
      <c r="K81" s="31">
        <f>15850</f>
        <v>15850</v>
      </c>
      <c r="L81" s="32" t="s">
        <v>995</v>
      </c>
      <c r="M81" s="31">
        <f>16375</f>
        <v>16375</v>
      </c>
      <c r="N81" s="32" t="s">
        <v>1004</v>
      </c>
      <c r="O81" s="31">
        <f>15195</f>
        <v>15195</v>
      </c>
      <c r="P81" s="32" t="s">
        <v>80</v>
      </c>
      <c r="Q81" s="31">
        <f>15995</f>
        <v>15995</v>
      </c>
      <c r="R81" s="32" t="s">
        <v>791</v>
      </c>
      <c r="S81" s="33">
        <f>15771.82</f>
        <v>15771.82</v>
      </c>
      <c r="T81" s="30">
        <f>860</f>
        <v>860</v>
      </c>
      <c r="U81" s="30" t="str">
        <f>"－"</f>
        <v>－</v>
      </c>
      <c r="V81" s="30">
        <f>13563380</f>
        <v>13563380</v>
      </c>
      <c r="W81" s="30" t="str">
        <f>"－"</f>
        <v>－</v>
      </c>
      <c r="X81" s="34">
        <f>22</f>
        <v>22</v>
      </c>
    </row>
    <row r="82" spans="1:24" ht="13.5" customHeight="1" x14ac:dyDescent="0.15">
      <c r="A82" s="25" t="s">
        <v>1013</v>
      </c>
      <c r="B82" s="25" t="s">
        <v>274</v>
      </c>
      <c r="C82" s="25" t="s">
        <v>275</v>
      </c>
      <c r="D82" s="25" t="s">
        <v>276</v>
      </c>
      <c r="E82" s="26" t="s">
        <v>45</v>
      </c>
      <c r="F82" s="27" t="s">
        <v>45</v>
      </c>
      <c r="G82" s="28" t="s">
        <v>45</v>
      </c>
      <c r="H82" s="29"/>
      <c r="I82" s="29" t="s">
        <v>46</v>
      </c>
      <c r="J82" s="30">
        <v>1</v>
      </c>
      <c r="K82" s="31">
        <f>21985</f>
        <v>21985</v>
      </c>
      <c r="L82" s="32" t="s">
        <v>995</v>
      </c>
      <c r="M82" s="31">
        <f>22850</f>
        <v>22850</v>
      </c>
      <c r="N82" s="32" t="s">
        <v>1004</v>
      </c>
      <c r="O82" s="31">
        <f>20680</f>
        <v>20680</v>
      </c>
      <c r="P82" s="32" t="s">
        <v>80</v>
      </c>
      <c r="Q82" s="31">
        <f>21670</f>
        <v>21670</v>
      </c>
      <c r="R82" s="32" t="s">
        <v>791</v>
      </c>
      <c r="S82" s="33">
        <f>21604.32</f>
        <v>21604.32</v>
      </c>
      <c r="T82" s="30">
        <f>32280</f>
        <v>32280</v>
      </c>
      <c r="U82" s="30">
        <f>9000</f>
        <v>9000</v>
      </c>
      <c r="V82" s="30">
        <f>697522075</f>
        <v>697522075</v>
      </c>
      <c r="W82" s="30">
        <f>191824500</f>
        <v>191824500</v>
      </c>
      <c r="X82" s="34">
        <f>22</f>
        <v>22</v>
      </c>
    </row>
    <row r="83" spans="1:24" ht="13.5" customHeight="1" x14ac:dyDescent="0.15">
      <c r="A83" s="25" t="s">
        <v>1013</v>
      </c>
      <c r="B83" s="25" t="s">
        <v>277</v>
      </c>
      <c r="C83" s="25" t="s">
        <v>278</v>
      </c>
      <c r="D83" s="25" t="s">
        <v>279</v>
      </c>
      <c r="E83" s="26" t="s">
        <v>45</v>
      </c>
      <c r="F83" s="27" t="s">
        <v>45</v>
      </c>
      <c r="G83" s="28" t="s">
        <v>45</v>
      </c>
      <c r="H83" s="29"/>
      <c r="I83" s="29" t="s">
        <v>46</v>
      </c>
      <c r="J83" s="30">
        <v>10</v>
      </c>
      <c r="K83" s="31">
        <f>10600</f>
        <v>10600</v>
      </c>
      <c r="L83" s="32" t="s">
        <v>995</v>
      </c>
      <c r="M83" s="31">
        <f>10795</f>
        <v>10795</v>
      </c>
      <c r="N83" s="32" t="s">
        <v>999</v>
      </c>
      <c r="O83" s="31">
        <f>10110</f>
        <v>10110</v>
      </c>
      <c r="P83" s="32" t="s">
        <v>876</v>
      </c>
      <c r="Q83" s="31">
        <f>10510</f>
        <v>10510</v>
      </c>
      <c r="R83" s="32" t="s">
        <v>791</v>
      </c>
      <c r="S83" s="33">
        <f>10473.18</f>
        <v>10473.18</v>
      </c>
      <c r="T83" s="30">
        <f>9920</f>
        <v>9920</v>
      </c>
      <c r="U83" s="30">
        <f>130</f>
        <v>130</v>
      </c>
      <c r="V83" s="30">
        <f>103070000</f>
        <v>103070000</v>
      </c>
      <c r="W83" s="30">
        <f>1343400</f>
        <v>1343400</v>
      </c>
      <c r="X83" s="34">
        <f>22</f>
        <v>22</v>
      </c>
    </row>
    <row r="84" spans="1:24" ht="13.5" customHeight="1" x14ac:dyDescent="0.15">
      <c r="A84" s="25" t="s">
        <v>1013</v>
      </c>
      <c r="B84" s="25" t="s">
        <v>280</v>
      </c>
      <c r="C84" s="25" t="s">
        <v>281</v>
      </c>
      <c r="D84" s="25" t="s">
        <v>282</v>
      </c>
      <c r="E84" s="26" t="s">
        <v>45</v>
      </c>
      <c r="F84" s="27" t="s">
        <v>45</v>
      </c>
      <c r="G84" s="28" t="s">
        <v>45</v>
      </c>
      <c r="H84" s="29"/>
      <c r="I84" s="29" t="s">
        <v>46</v>
      </c>
      <c r="J84" s="30">
        <v>1</v>
      </c>
      <c r="K84" s="31">
        <f>1950</f>
        <v>1950</v>
      </c>
      <c r="L84" s="32" t="s">
        <v>995</v>
      </c>
      <c r="M84" s="31">
        <f>2015</f>
        <v>2015</v>
      </c>
      <c r="N84" s="32" t="s">
        <v>255</v>
      </c>
      <c r="O84" s="31">
        <f>1930</f>
        <v>1930</v>
      </c>
      <c r="P84" s="32" t="s">
        <v>999</v>
      </c>
      <c r="Q84" s="31">
        <f>1994</f>
        <v>1994</v>
      </c>
      <c r="R84" s="32" t="s">
        <v>791</v>
      </c>
      <c r="S84" s="33">
        <f>1972.64</f>
        <v>1972.64</v>
      </c>
      <c r="T84" s="30">
        <f>310617</f>
        <v>310617</v>
      </c>
      <c r="U84" s="30" t="str">
        <f>"－"</f>
        <v>－</v>
      </c>
      <c r="V84" s="30">
        <f>610784941</f>
        <v>610784941</v>
      </c>
      <c r="W84" s="30" t="str">
        <f>"－"</f>
        <v>－</v>
      </c>
      <c r="X84" s="34">
        <f>22</f>
        <v>22</v>
      </c>
    </row>
    <row r="85" spans="1:24" ht="13.5" customHeight="1" x14ac:dyDescent="0.15">
      <c r="A85" s="25" t="s">
        <v>1013</v>
      </c>
      <c r="B85" s="25" t="s">
        <v>283</v>
      </c>
      <c r="C85" s="25" t="s">
        <v>284</v>
      </c>
      <c r="D85" s="25" t="s">
        <v>285</v>
      </c>
      <c r="E85" s="26" t="s">
        <v>45</v>
      </c>
      <c r="F85" s="27" t="s">
        <v>45</v>
      </c>
      <c r="G85" s="28" t="s">
        <v>45</v>
      </c>
      <c r="H85" s="29"/>
      <c r="I85" s="29" t="s">
        <v>46</v>
      </c>
      <c r="J85" s="30">
        <v>1</v>
      </c>
      <c r="K85" s="31">
        <f>1931</f>
        <v>1931</v>
      </c>
      <c r="L85" s="32" t="s">
        <v>995</v>
      </c>
      <c r="M85" s="31">
        <f>1950</f>
        <v>1950</v>
      </c>
      <c r="N85" s="32" t="s">
        <v>78</v>
      </c>
      <c r="O85" s="31">
        <f>1900</f>
        <v>1900</v>
      </c>
      <c r="P85" s="32" t="s">
        <v>1005</v>
      </c>
      <c r="Q85" s="31">
        <f>1937</f>
        <v>1937</v>
      </c>
      <c r="R85" s="32" t="s">
        <v>791</v>
      </c>
      <c r="S85" s="33">
        <f>1922.73</f>
        <v>1922.73</v>
      </c>
      <c r="T85" s="30">
        <f>477601</f>
        <v>477601</v>
      </c>
      <c r="U85" s="30" t="str">
        <f>"－"</f>
        <v>－</v>
      </c>
      <c r="V85" s="30">
        <f>916867896</f>
        <v>916867896</v>
      </c>
      <c r="W85" s="30" t="str">
        <f>"－"</f>
        <v>－</v>
      </c>
      <c r="X85" s="34">
        <f>22</f>
        <v>22</v>
      </c>
    </row>
    <row r="86" spans="1:24" ht="13.5" customHeight="1" x14ac:dyDescent="0.15">
      <c r="A86" s="25" t="s">
        <v>1013</v>
      </c>
      <c r="B86" s="25" t="s">
        <v>286</v>
      </c>
      <c r="C86" s="25" t="s">
        <v>287</v>
      </c>
      <c r="D86" s="25" t="s">
        <v>288</v>
      </c>
      <c r="E86" s="26" t="s">
        <v>45</v>
      </c>
      <c r="F86" s="27" t="s">
        <v>45</v>
      </c>
      <c r="G86" s="28" t="s">
        <v>45</v>
      </c>
      <c r="H86" s="29"/>
      <c r="I86" s="29" t="s">
        <v>46</v>
      </c>
      <c r="J86" s="30">
        <v>1</v>
      </c>
      <c r="K86" s="31">
        <f>15165</f>
        <v>15165</v>
      </c>
      <c r="L86" s="32" t="s">
        <v>995</v>
      </c>
      <c r="M86" s="31">
        <f>15735</f>
        <v>15735</v>
      </c>
      <c r="N86" s="32" t="s">
        <v>1004</v>
      </c>
      <c r="O86" s="31">
        <f>14500</f>
        <v>14500</v>
      </c>
      <c r="P86" s="32" t="s">
        <v>876</v>
      </c>
      <c r="Q86" s="31">
        <f>15405</f>
        <v>15405</v>
      </c>
      <c r="R86" s="32" t="s">
        <v>791</v>
      </c>
      <c r="S86" s="33">
        <f>15104.09</f>
        <v>15104.09</v>
      </c>
      <c r="T86" s="30">
        <f>115923</f>
        <v>115923</v>
      </c>
      <c r="U86" s="30">
        <f>100641</f>
        <v>100641</v>
      </c>
      <c r="V86" s="30">
        <f>1766748635</f>
        <v>1766748635</v>
      </c>
      <c r="W86" s="30">
        <f>1537930835</f>
        <v>1537930835</v>
      </c>
      <c r="X86" s="34">
        <f>22</f>
        <v>22</v>
      </c>
    </row>
    <row r="87" spans="1:24" ht="13.5" customHeight="1" x14ac:dyDescent="0.15">
      <c r="A87" s="25" t="s">
        <v>1013</v>
      </c>
      <c r="B87" s="25" t="s">
        <v>289</v>
      </c>
      <c r="C87" s="25" t="s">
        <v>290</v>
      </c>
      <c r="D87" s="25" t="s">
        <v>291</v>
      </c>
      <c r="E87" s="26" t="s">
        <v>45</v>
      </c>
      <c r="F87" s="27" t="s">
        <v>45</v>
      </c>
      <c r="G87" s="28" t="s">
        <v>45</v>
      </c>
      <c r="H87" s="29"/>
      <c r="I87" s="29" t="s">
        <v>46</v>
      </c>
      <c r="J87" s="30">
        <v>1</v>
      </c>
      <c r="K87" s="31">
        <f>8785</f>
        <v>8785</v>
      </c>
      <c r="L87" s="32" t="s">
        <v>995</v>
      </c>
      <c r="M87" s="31">
        <f>9100</f>
        <v>9100</v>
      </c>
      <c r="N87" s="32" t="s">
        <v>1005</v>
      </c>
      <c r="O87" s="31">
        <f>8751</f>
        <v>8751</v>
      </c>
      <c r="P87" s="32" t="s">
        <v>255</v>
      </c>
      <c r="Q87" s="31">
        <f>8824</f>
        <v>8824</v>
      </c>
      <c r="R87" s="32" t="s">
        <v>791</v>
      </c>
      <c r="S87" s="33">
        <f>8837.59</f>
        <v>8837.59</v>
      </c>
      <c r="T87" s="30">
        <f>41914</f>
        <v>41914</v>
      </c>
      <c r="U87" s="30">
        <f>40000</f>
        <v>40000</v>
      </c>
      <c r="V87" s="30">
        <f>365492147</f>
        <v>365492147</v>
      </c>
      <c r="W87" s="30">
        <f>348560000</f>
        <v>348560000</v>
      </c>
      <c r="X87" s="34">
        <f>22</f>
        <v>22</v>
      </c>
    </row>
    <row r="88" spans="1:24" ht="13.5" customHeight="1" x14ac:dyDescent="0.15">
      <c r="A88" s="25" t="s">
        <v>1013</v>
      </c>
      <c r="B88" s="25" t="s">
        <v>292</v>
      </c>
      <c r="C88" s="25" t="s">
        <v>293</v>
      </c>
      <c r="D88" s="25" t="s">
        <v>294</v>
      </c>
      <c r="E88" s="26" t="s">
        <v>45</v>
      </c>
      <c r="F88" s="27" t="s">
        <v>45</v>
      </c>
      <c r="G88" s="28" t="s">
        <v>45</v>
      </c>
      <c r="H88" s="29"/>
      <c r="I88" s="29" t="s">
        <v>46</v>
      </c>
      <c r="J88" s="30">
        <v>1</v>
      </c>
      <c r="K88" s="31">
        <f>7599</f>
        <v>7599</v>
      </c>
      <c r="L88" s="32" t="s">
        <v>995</v>
      </c>
      <c r="M88" s="31">
        <f>8058</f>
        <v>8058</v>
      </c>
      <c r="N88" s="32" t="s">
        <v>791</v>
      </c>
      <c r="O88" s="31">
        <f>7588</f>
        <v>7588</v>
      </c>
      <c r="P88" s="32" t="s">
        <v>1004</v>
      </c>
      <c r="Q88" s="31">
        <f>8045</f>
        <v>8045</v>
      </c>
      <c r="R88" s="32" t="s">
        <v>791</v>
      </c>
      <c r="S88" s="33">
        <f>7789.09</f>
        <v>7789.09</v>
      </c>
      <c r="T88" s="30">
        <f>2379346</f>
        <v>2379346</v>
      </c>
      <c r="U88" s="30">
        <f>69383</f>
        <v>69383</v>
      </c>
      <c r="V88" s="30">
        <f>18614020082</f>
        <v>18614020082</v>
      </c>
      <c r="W88" s="30">
        <f>549851301</f>
        <v>549851301</v>
      </c>
      <c r="X88" s="34">
        <f>22</f>
        <v>22</v>
      </c>
    </row>
    <row r="89" spans="1:24" ht="13.5" customHeight="1" x14ac:dyDescent="0.15">
      <c r="A89" s="25" t="s">
        <v>1013</v>
      </c>
      <c r="B89" s="25" t="s">
        <v>295</v>
      </c>
      <c r="C89" s="25" t="s">
        <v>296</v>
      </c>
      <c r="D89" s="25" t="s">
        <v>297</v>
      </c>
      <c r="E89" s="26" t="s">
        <v>45</v>
      </c>
      <c r="F89" s="27" t="s">
        <v>45</v>
      </c>
      <c r="G89" s="28" t="s">
        <v>45</v>
      </c>
      <c r="H89" s="29"/>
      <c r="I89" s="29" t="s">
        <v>46</v>
      </c>
      <c r="J89" s="30">
        <v>1</v>
      </c>
      <c r="K89" s="31">
        <f>3870</f>
        <v>3870</v>
      </c>
      <c r="L89" s="32" t="s">
        <v>995</v>
      </c>
      <c r="M89" s="31">
        <f>3960</f>
        <v>3960</v>
      </c>
      <c r="N89" s="32" t="s">
        <v>1005</v>
      </c>
      <c r="O89" s="31">
        <f>3810</f>
        <v>3810</v>
      </c>
      <c r="P89" s="32" t="s">
        <v>1017</v>
      </c>
      <c r="Q89" s="31">
        <f>3915</f>
        <v>3915</v>
      </c>
      <c r="R89" s="32" t="s">
        <v>791</v>
      </c>
      <c r="S89" s="33">
        <f>3885.68</f>
        <v>3885.68</v>
      </c>
      <c r="T89" s="30">
        <f>483991</f>
        <v>483991</v>
      </c>
      <c r="U89" s="30">
        <f>2000</f>
        <v>2000</v>
      </c>
      <c r="V89" s="30">
        <f>1879820550</f>
        <v>1879820550</v>
      </c>
      <c r="W89" s="30">
        <f>7750000</f>
        <v>7750000</v>
      </c>
      <c r="X89" s="34">
        <f>22</f>
        <v>22</v>
      </c>
    </row>
    <row r="90" spans="1:24" ht="13.5" customHeight="1" x14ac:dyDescent="0.15">
      <c r="A90" s="25" t="s">
        <v>1013</v>
      </c>
      <c r="B90" s="25" t="s">
        <v>298</v>
      </c>
      <c r="C90" s="25" t="s">
        <v>299</v>
      </c>
      <c r="D90" s="25" t="s">
        <v>300</v>
      </c>
      <c r="E90" s="26" t="s">
        <v>45</v>
      </c>
      <c r="F90" s="27" t="s">
        <v>45</v>
      </c>
      <c r="G90" s="28" t="s">
        <v>45</v>
      </c>
      <c r="H90" s="29"/>
      <c r="I90" s="29" t="s">
        <v>46</v>
      </c>
      <c r="J90" s="30">
        <v>1</v>
      </c>
      <c r="K90" s="31">
        <f>8460</f>
        <v>8460</v>
      </c>
      <c r="L90" s="32" t="s">
        <v>995</v>
      </c>
      <c r="M90" s="31">
        <f>9400</f>
        <v>9400</v>
      </c>
      <c r="N90" s="32" t="s">
        <v>791</v>
      </c>
      <c r="O90" s="31">
        <f>8205</f>
        <v>8205</v>
      </c>
      <c r="P90" s="32" t="s">
        <v>875</v>
      </c>
      <c r="Q90" s="31">
        <f>9336</f>
        <v>9336</v>
      </c>
      <c r="R90" s="32" t="s">
        <v>791</v>
      </c>
      <c r="S90" s="33">
        <f>8716.45</f>
        <v>8716.4500000000007</v>
      </c>
      <c r="T90" s="30">
        <f>224169</f>
        <v>224169</v>
      </c>
      <c r="U90" s="30">
        <f>221</f>
        <v>221</v>
      </c>
      <c r="V90" s="30">
        <f>1958236220</f>
        <v>1958236220</v>
      </c>
      <c r="W90" s="30">
        <f>2033824</f>
        <v>2033824</v>
      </c>
      <c r="X90" s="34">
        <f>22</f>
        <v>22</v>
      </c>
    </row>
    <row r="91" spans="1:24" ht="13.5" customHeight="1" x14ac:dyDescent="0.15">
      <c r="A91" s="25" t="s">
        <v>1013</v>
      </c>
      <c r="B91" s="25" t="s">
        <v>301</v>
      </c>
      <c r="C91" s="25" t="s">
        <v>302</v>
      </c>
      <c r="D91" s="25" t="s">
        <v>303</v>
      </c>
      <c r="E91" s="26" t="s">
        <v>45</v>
      </c>
      <c r="F91" s="27" t="s">
        <v>45</v>
      </c>
      <c r="G91" s="28" t="s">
        <v>45</v>
      </c>
      <c r="H91" s="29"/>
      <c r="I91" s="29" t="s">
        <v>46</v>
      </c>
      <c r="J91" s="30">
        <v>1</v>
      </c>
      <c r="K91" s="31">
        <f>60060</f>
        <v>60060</v>
      </c>
      <c r="L91" s="32" t="s">
        <v>995</v>
      </c>
      <c r="M91" s="31">
        <f>60470</f>
        <v>60470</v>
      </c>
      <c r="N91" s="32" t="s">
        <v>792</v>
      </c>
      <c r="O91" s="31">
        <f>54930</f>
        <v>54930</v>
      </c>
      <c r="P91" s="32" t="s">
        <v>255</v>
      </c>
      <c r="Q91" s="31">
        <f>58190</f>
        <v>58190</v>
      </c>
      <c r="R91" s="32" t="s">
        <v>791</v>
      </c>
      <c r="S91" s="33">
        <f>57776.82</f>
        <v>57776.82</v>
      </c>
      <c r="T91" s="30">
        <f>10689</f>
        <v>10689</v>
      </c>
      <c r="U91" s="30">
        <f>2</f>
        <v>2</v>
      </c>
      <c r="V91" s="30">
        <f>618533050</f>
        <v>618533050</v>
      </c>
      <c r="W91" s="30">
        <f>104920</f>
        <v>104920</v>
      </c>
      <c r="X91" s="34">
        <f>22</f>
        <v>22</v>
      </c>
    </row>
    <row r="92" spans="1:24" ht="13.5" customHeight="1" x14ac:dyDescent="0.15">
      <c r="A92" s="25" t="s">
        <v>1013</v>
      </c>
      <c r="B92" s="25" t="s">
        <v>304</v>
      </c>
      <c r="C92" s="25" t="s">
        <v>895</v>
      </c>
      <c r="D92" s="25" t="s">
        <v>896</v>
      </c>
      <c r="E92" s="26" t="s">
        <v>45</v>
      </c>
      <c r="F92" s="27" t="s">
        <v>45</v>
      </c>
      <c r="G92" s="28" t="s">
        <v>45</v>
      </c>
      <c r="H92" s="29"/>
      <c r="I92" s="29" t="s">
        <v>46</v>
      </c>
      <c r="J92" s="30">
        <v>1</v>
      </c>
      <c r="K92" s="31">
        <f>16605</f>
        <v>16605</v>
      </c>
      <c r="L92" s="32" t="s">
        <v>995</v>
      </c>
      <c r="M92" s="31">
        <f>17640</f>
        <v>17640</v>
      </c>
      <c r="N92" s="32" t="s">
        <v>791</v>
      </c>
      <c r="O92" s="31">
        <f>16135</f>
        <v>16135</v>
      </c>
      <c r="P92" s="32" t="s">
        <v>1005</v>
      </c>
      <c r="Q92" s="31">
        <f>17545</f>
        <v>17545</v>
      </c>
      <c r="R92" s="32" t="s">
        <v>791</v>
      </c>
      <c r="S92" s="33">
        <f>16848.41</f>
        <v>16848.41</v>
      </c>
      <c r="T92" s="30">
        <f>1460416</f>
        <v>1460416</v>
      </c>
      <c r="U92" s="30">
        <f>78908</f>
        <v>78908</v>
      </c>
      <c r="V92" s="30">
        <f>24480244083</f>
        <v>24480244083</v>
      </c>
      <c r="W92" s="30">
        <f>1291162783</f>
        <v>1291162783</v>
      </c>
      <c r="X92" s="34">
        <f>22</f>
        <v>22</v>
      </c>
    </row>
    <row r="93" spans="1:24" ht="13.5" customHeight="1" x14ac:dyDescent="0.15">
      <c r="A93" s="25" t="s">
        <v>1013</v>
      </c>
      <c r="B93" s="25" t="s">
        <v>305</v>
      </c>
      <c r="C93" s="25" t="s">
        <v>897</v>
      </c>
      <c r="D93" s="25" t="s">
        <v>898</v>
      </c>
      <c r="E93" s="26" t="s">
        <v>45</v>
      </c>
      <c r="F93" s="27" t="s">
        <v>45</v>
      </c>
      <c r="G93" s="28" t="s">
        <v>45</v>
      </c>
      <c r="H93" s="29"/>
      <c r="I93" s="29" t="s">
        <v>46</v>
      </c>
      <c r="J93" s="30">
        <v>1</v>
      </c>
      <c r="K93" s="31">
        <f>43510</f>
        <v>43510</v>
      </c>
      <c r="L93" s="32" t="s">
        <v>995</v>
      </c>
      <c r="M93" s="31">
        <f>44560</f>
        <v>44560</v>
      </c>
      <c r="N93" s="32" t="s">
        <v>1003</v>
      </c>
      <c r="O93" s="31">
        <f>40940</f>
        <v>40940</v>
      </c>
      <c r="P93" s="32" t="s">
        <v>793</v>
      </c>
      <c r="Q93" s="31">
        <f>42850</f>
        <v>42850</v>
      </c>
      <c r="R93" s="32" t="s">
        <v>791</v>
      </c>
      <c r="S93" s="33">
        <f>42641.82</f>
        <v>42641.82</v>
      </c>
      <c r="T93" s="30">
        <f>316731</f>
        <v>316731</v>
      </c>
      <c r="U93" s="30">
        <f>140285</f>
        <v>140285</v>
      </c>
      <c r="V93" s="30">
        <f>13580504364</f>
        <v>13580504364</v>
      </c>
      <c r="W93" s="30">
        <f>6075022064</f>
        <v>6075022064</v>
      </c>
      <c r="X93" s="34">
        <f>22</f>
        <v>22</v>
      </c>
    </row>
    <row r="94" spans="1:24" ht="13.5" customHeight="1" x14ac:dyDescent="0.15">
      <c r="A94" s="25" t="s">
        <v>1013</v>
      </c>
      <c r="B94" s="25" t="s">
        <v>306</v>
      </c>
      <c r="C94" s="25" t="s">
        <v>307</v>
      </c>
      <c r="D94" s="25" t="s">
        <v>308</v>
      </c>
      <c r="E94" s="26" t="s">
        <v>45</v>
      </c>
      <c r="F94" s="27" t="s">
        <v>45</v>
      </c>
      <c r="G94" s="28" t="s">
        <v>45</v>
      </c>
      <c r="H94" s="29"/>
      <c r="I94" s="29" t="s">
        <v>46</v>
      </c>
      <c r="J94" s="30">
        <v>10</v>
      </c>
      <c r="K94" s="31">
        <f>5862</f>
        <v>5862</v>
      </c>
      <c r="L94" s="32" t="s">
        <v>995</v>
      </c>
      <c r="M94" s="31">
        <f>5996</f>
        <v>5996</v>
      </c>
      <c r="N94" s="32" t="s">
        <v>1003</v>
      </c>
      <c r="O94" s="31">
        <f>5581</f>
        <v>5581</v>
      </c>
      <c r="P94" s="32" t="s">
        <v>793</v>
      </c>
      <c r="Q94" s="31">
        <f>5866</f>
        <v>5866</v>
      </c>
      <c r="R94" s="32" t="s">
        <v>791</v>
      </c>
      <c r="S94" s="33">
        <f>5776.5</f>
        <v>5776.5</v>
      </c>
      <c r="T94" s="30">
        <f>2232540</f>
        <v>2232540</v>
      </c>
      <c r="U94" s="30">
        <f>494640</f>
        <v>494640</v>
      </c>
      <c r="V94" s="30">
        <f>12788468940</f>
        <v>12788468940</v>
      </c>
      <c r="W94" s="30">
        <f>2821454380</f>
        <v>2821454380</v>
      </c>
      <c r="X94" s="34">
        <f>22</f>
        <v>22</v>
      </c>
    </row>
    <row r="95" spans="1:24" ht="13.5" customHeight="1" x14ac:dyDescent="0.15">
      <c r="A95" s="25" t="s">
        <v>1013</v>
      </c>
      <c r="B95" s="25" t="s">
        <v>309</v>
      </c>
      <c r="C95" s="25" t="s">
        <v>310</v>
      </c>
      <c r="D95" s="25" t="s">
        <v>311</v>
      </c>
      <c r="E95" s="26" t="s">
        <v>45</v>
      </c>
      <c r="F95" s="27" t="s">
        <v>45</v>
      </c>
      <c r="G95" s="28" t="s">
        <v>45</v>
      </c>
      <c r="H95" s="29"/>
      <c r="I95" s="29" t="s">
        <v>46</v>
      </c>
      <c r="J95" s="30">
        <v>10</v>
      </c>
      <c r="K95" s="31">
        <f>3820</f>
        <v>3820</v>
      </c>
      <c r="L95" s="32" t="s">
        <v>995</v>
      </c>
      <c r="M95" s="31">
        <f>3895</f>
        <v>3895</v>
      </c>
      <c r="N95" s="32" t="s">
        <v>1003</v>
      </c>
      <c r="O95" s="31">
        <f>3600</f>
        <v>3600</v>
      </c>
      <c r="P95" s="32" t="s">
        <v>1005</v>
      </c>
      <c r="Q95" s="31">
        <f>3805</f>
        <v>3805</v>
      </c>
      <c r="R95" s="32" t="s">
        <v>791</v>
      </c>
      <c r="S95" s="33">
        <f>3749.5</f>
        <v>3749.5</v>
      </c>
      <c r="T95" s="30">
        <f>135260</f>
        <v>135260</v>
      </c>
      <c r="U95" s="30">
        <f>23020</f>
        <v>23020</v>
      </c>
      <c r="V95" s="30">
        <f>501361359</f>
        <v>501361359</v>
      </c>
      <c r="W95" s="30">
        <f>83934009</f>
        <v>83934009</v>
      </c>
      <c r="X95" s="34">
        <f>22</f>
        <v>22</v>
      </c>
    </row>
    <row r="96" spans="1:24" ht="13.5" customHeight="1" x14ac:dyDescent="0.15">
      <c r="A96" s="25" t="s">
        <v>1013</v>
      </c>
      <c r="B96" s="25" t="s">
        <v>312</v>
      </c>
      <c r="C96" s="25" t="s">
        <v>970</v>
      </c>
      <c r="D96" s="25" t="s">
        <v>971</v>
      </c>
      <c r="E96" s="26" t="s">
        <v>45</v>
      </c>
      <c r="F96" s="27" t="s">
        <v>45</v>
      </c>
      <c r="G96" s="28" t="s">
        <v>45</v>
      </c>
      <c r="H96" s="29"/>
      <c r="I96" s="29" t="s">
        <v>46</v>
      </c>
      <c r="J96" s="30">
        <v>10</v>
      </c>
      <c r="K96" s="31">
        <f>4369</f>
        <v>4369</v>
      </c>
      <c r="L96" s="32" t="s">
        <v>995</v>
      </c>
      <c r="M96" s="31">
        <f>4380</f>
        <v>4380</v>
      </c>
      <c r="N96" s="32" t="s">
        <v>999</v>
      </c>
      <c r="O96" s="31">
        <f>4142</f>
        <v>4142</v>
      </c>
      <c r="P96" s="32" t="s">
        <v>80</v>
      </c>
      <c r="Q96" s="31">
        <f>4281</f>
        <v>4281</v>
      </c>
      <c r="R96" s="32" t="s">
        <v>791</v>
      </c>
      <c r="S96" s="33">
        <f>4273.14</f>
        <v>4273.1400000000003</v>
      </c>
      <c r="T96" s="30">
        <f>2180</f>
        <v>2180</v>
      </c>
      <c r="U96" s="30" t="str">
        <f>"－"</f>
        <v>－</v>
      </c>
      <c r="V96" s="30">
        <f>9328040</f>
        <v>9328040</v>
      </c>
      <c r="W96" s="30" t="str">
        <f>"－"</f>
        <v>－</v>
      </c>
      <c r="X96" s="34">
        <f>22</f>
        <v>22</v>
      </c>
    </row>
    <row r="97" spans="1:24" ht="13.5" customHeight="1" x14ac:dyDescent="0.15">
      <c r="A97" s="25" t="s">
        <v>1013</v>
      </c>
      <c r="B97" s="25" t="s">
        <v>313</v>
      </c>
      <c r="C97" s="25" t="s">
        <v>314</v>
      </c>
      <c r="D97" s="25" t="s">
        <v>315</v>
      </c>
      <c r="E97" s="26" t="s">
        <v>45</v>
      </c>
      <c r="F97" s="27" t="s">
        <v>45</v>
      </c>
      <c r="G97" s="28" t="s">
        <v>45</v>
      </c>
      <c r="H97" s="29" t="s">
        <v>316</v>
      </c>
      <c r="I97" s="29" t="s">
        <v>46</v>
      </c>
      <c r="J97" s="30">
        <v>1</v>
      </c>
      <c r="K97" s="31">
        <f>1264</f>
        <v>1264</v>
      </c>
      <c r="L97" s="32" t="s">
        <v>995</v>
      </c>
      <c r="M97" s="31">
        <f>1482</f>
        <v>1482</v>
      </c>
      <c r="N97" s="32" t="s">
        <v>80</v>
      </c>
      <c r="O97" s="31">
        <f>1153</f>
        <v>1153</v>
      </c>
      <c r="P97" s="32" t="s">
        <v>1003</v>
      </c>
      <c r="Q97" s="31">
        <f>1198</f>
        <v>1198</v>
      </c>
      <c r="R97" s="32" t="s">
        <v>791</v>
      </c>
      <c r="S97" s="33">
        <f>1280.05</f>
        <v>1280.05</v>
      </c>
      <c r="T97" s="30">
        <f>57155624</f>
        <v>57155624</v>
      </c>
      <c r="U97" s="30">
        <f>50084</f>
        <v>50084</v>
      </c>
      <c r="V97" s="30">
        <f>75088268715</f>
        <v>75088268715</v>
      </c>
      <c r="W97" s="30">
        <f>65104107</f>
        <v>65104107</v>
      </c>
      <c r="X97" s="34">
        <f>22</f>
        <v>22</v>
      </c>
    </row>
    <row r="98" spans="1:24" ht="13.5" customHeight="1" x14ac:dyDescent="0.15">
      <c r="A98" s="25" t="s">
        <v>1013</v>
      </c>
      <c r="B98" s="25" t="s">
        <v>317</v>
      </c>
      <c r="C98" s="25" t="s">
        <v>318</v>
      </c>
      <c r="D98" s="25" t="s">
        <v>319</v>
      </c>
      <c r="E98" s="26" t="s">
        <v>45</v>
      </c>
      <c r="F98" s="27" t="s">
        <v>45</v>
      </c>
      <c r="G98" s="28" t="s">
        <v>45</v>
      </c>
      <c r="H98" s="29"/>
      <c r="I98" s="29" t="s">
        <v>46</v>
      </c>
      <c r="J98" s="30">
        <v>10</v>
      </c>
      <c r="K98" s="31">
        <f>3199</f>
        <v>3199</v>
      </c>
      <c r="L98" s="32" t="s">
        <v>995</v>
      </c>
      <c r="M98" s="31">
        <f>3269</f>
        <v>3269</v>
      </c>
      <c r="N98" s="32" t="s">
        <v>1003</v>
      </c>
      <c r="O98" s="31">
        <f>3029</f>
        <v>3029</v>
      </c>
      <c r="P98" s="32" t="s">
        <v>80</v>
      </c>
      <c r="Q98" s="31">
        <f>3197</f>
        <v>3197</v>
      </c>
      <c r="R98" s="32" t="s">
        <v>791</v>
      </c>
      <c r="S98" s="33">
        <f>3144.55</f>
        <v>3144.55</v>
      </c>
      <c r="T98" s="30">
        <f>138880</f>
        <v>138880</v>
      </c>
      <c r="U98" s="30">
        <f>1500</f>
        <v>1500</v>
      </c>
      <c r="V98" s="30">
        <f>432112230</f>
        <v>432112230</v>
      </c>
      <c r="W98" s="30">
        <f>4726500</f>
        <v>4726500</v>
      </c>
      <c r="X98" s="34">
        <f>22</f>
        <v>22</v>
      </c>
    </row>
    <row r="99" spans="1:24" ht="13.5" customHeight="1" x14ac:dyDescent="0.15">
      <c r="A99" s="25" t="s">
        <v>1013</v>
      </c>
      <c r="B99" s="25" t="s">
        <v>320</v>
      </c>
      <c r="C99" s="25" t="s">
        <v>321</v>
      </c>
      <c r="D99" s="25" t="s">
        <v>322</v>
      </c>
      <c r="E99" s="26" t="s">
        <v>45</v>
      </c>
      <c r="F99" s="27" t="s">
        <v>45</v>
      </c>
      <c r="G99" s="28" t="s">
        <v>45</v>
      </c>
      <c r="H99" s="29"/>
      <c r="I99" s="29" t="s">
        <v>46</v>
      </c>
      <c r="J99" s="30">
        <v>10</v>
      </c>
      <c r="K99" s="31">
        <f>1737</f>
        <v>1737</v>
      </c>
      <c r="L99" s="32" t="s">
        <v>995</v>
      </c>
      <c r="M99" s="31">
        <f>1754</f>
        <v>1754</v>
      </c>
      <c r="N99" s="32" t="s">
        <v>1003</v>
      </c>
      <c r="O99" s="31">
        <f>1522</f>
        <v>1522</v>
      </c>
      <c r="P99" s="32" t="s">
        <v>793</v>
      </c>
      <c r="Q99" s="31">
        <f>1594.5</f>
        <v>1594.5</v>
      </c>
      <c r="R99" s="32" t="s">
        <v>791</v>
      </c>
      <c r="S99" s="33">
        <f>1638.7</f>
        <v>1638.7</v>
      </c>
      <c r="T99" s="30">
        <f>194250</f>
        <v>194250</v>
      </c>
      <c r="U99" s="30">
        <f>20</f>
        <v>20</v>
      </c>
      <c r="V99" s="30">
        <f>315485660</f>
        <v>315485660</v>
      </c>
      <c r="W99" s="30">
        <f>33615</f>
        <v>33615</v>
      </c>
      <c r="X99" s="34">
        <f>22</f>
        <v>22</v>
      </c>
    </row>
    <row r="100" spans="1:24" ht="13.5" customHeight="1" x14ac:dyDescent="0.15">
      <c r="A100" s="25" t="s">
        <v>1013</v>
      </c>
      <c r="B100" s="25" t="s">
        <v>323</v>
      </c>
      <c r="C100" s="25" t="s">
        <v>324</v>
      </c>
      <c r="D100" s="25" t="s">
        <v>325</v>
      </c>
      <c r="E100" s="26" t="s">
        <v>45</v>
      </c>
      <c r="F100" s="27" t="s">
        <v>45</v>
      </c>
      <c r="G100" s="28" t="s">
        <v>45</v>
      </c>
      <c r="H100" s="29"/>
      <c r="I100" s="29" t="s">
        <v>46</v>
      </c>
      <c r="J100" s="30">
        <v>1</v>
      </c>
      <c r="K100" s="31">
        <f>53960</f>
        <v>53960</v>
      </c>
      <c r="L100" s="32" t="s">
        <v>995</v>
      </c>
      <c r="M100" s="31">
        <f>55160</f>
        <v>55160</v>
      </c>
      <c r="N100" s="32" t="s">
        <v>1003</v>
      </c>
      <c r="O100" s="31">
        <f>51120</f>
        <v>51120</v>
      </c>
      <c r="P100" s="32" t="s">
        <v>793</v>
      </c>
      <c r="Q100" s="31">
        <f>53740</f>
        <v>53740</v>
      </c>
      <c r="R100" s="32" t="s">
        <v>791</v>
      </c>
      <c r="S100" s="33">
        <f>53055.91</f>
        <v>53055.91</v>
      </c>
      <c r="T100" s="30">
        <f>96216</f>
        <v>96216</v>
      </c>
      <c r="U100" s="30">
        <f>4776</f>
        <v>4776</v>
      </c>
      <c r="V100" s="30">
        <f>5087096748</f>
        <v>5087096748</v>
      </c>
      <c r="W100" s="30">
        <f>250969248</f>
        <v>250969248</v>
      </c>
      <c r="X100" s="34">
        <f>22</f>
        <v>22</v>
      </c>
    </row>
    <row r="101" spans="1:24" ht="13.5" customHeight="1" x14ac:dyDescent="0.15">
      <c r="A101" s="25" t="s">
        <v>1013</v>
      </c>
      <c r="B101" s="25" t="s">
        <v>326</v>
      </c>
      <c r="C101" s="25" t="s">
        <v>327</v>
      </c>
      <c r="D101" s="25" t="s">
        <v>328</v>
      </c>
      <c r="E101" s="26" t="s">
        <v>45</v>
      </c>
      <c r="F101" s="27" t="s">
        <v>45</v>
      </c>
      <c r="G101" s="28" t="s">
        <v>45</v>
      </c>
      <c r="H101" s="29"/>
      <c r="I101" s="29" t="s">
        <v>46</v>
      </c>
      <c r="J101" s="30">
        <v>1</v>
      </c>
      <c r="K101" s="31">
        <f>3460</f>
        <v>3460</v>
      </c>
      <c r="L101" s="32" t="s">
        <v>995</v>
      </c>
      <c r="M101" s="31">
        <f>3470</f>
        <v>3470</v>
      </c>
      <c r="N101" s="32" t="s">
        <v>996</v>
      </c>
      <c r="O101" s="31">
        <f>3280</f>
        <v>3280</v>
      </c>
      <c r="P101" s="32" t="s">
        <v>876</v>
      </c>
      <c r="Q101" s="31">
        <f>3345</f>
        <v>3345</v>
      </c>
      <c r="R101" s="32" t="s">
        <v>791</v>
      </c>
      <c r="S101" s="33">
        <f>3375</f>
        <v>3375</v>
      </c>
      <c r="T101" s="30">
        <f>4215</f>
        <v>4215</v>
      </c>
      <c r="U101" s="30" t="str">
        <f>"－"</f>
        <v>－</v>
      </c>
      <c r="V101" s="30">
        <f>14226145</f>
        <v>14226145</v>
      </c>
      <c r="W101" s="30" t="str">
        <f>"－"</f>
        <v>－</v>
      </c>
      <c r="X101" s="34">
        <f>22</f>
        <v>22</v>
      </c>
    </row>
    <row r="102" spans="1:24" ht="13.5" customHeight="1" x14ac:dyDescent="0.15">
      <c r="A102" s="25" t="s">
        <v>1013</v>
      </c>
      <c r="B102" s="25" t="s">
        <v>329</v>
      </c>
      <c r="C102" s="25" t="s">
        <v>330</v>
      </c>
      <c r="D102" s="25" t="s">
        <v>331</v>
      </c>
      <c r="E102" s="26" t="s">
        <v>45</v>
      </c>
      <c r="F102" s="27" t="s">
        <v>45</v>
      </c>
      <c r="G102" s="28" t="s">
        <v>45</v>
      </c>
      <c r="H102" s="29"/>
      <c r="I102" s="29" t="s">
        <v>46</v>
      </c>
      <c r="J102" s="30">
        <v>1</v>
      </c>
      <c r="K102" s="31">
        <f>4310</f>
        <v>4310</v>
      </c>
      <c r="L102" s="32" t="s">
        <v>995</v>
      </c>
      <c r="M102" s="31">
        <f>4360</f>
        <v>4360</v>
      </c>
      <c r="N102" s="32" t="s">
        <v>791</v>
      </c>
      <c r="O102" s="31">
        <f>4110</f>
        <v>4110</v>
      </c>
      <c r="P102" s="32" t="s">
        <v>255</v>
      </c>
      <c r="Q102" s="31">
        <f>4330</f>
        <v>4330</v>
      </c>
      <c r="R102" s="32" t="s">
        <v>791</v>
      </c>
      <c r="S102" s="33">
        <f>4254.77</f>
        <v>4254.7700000000004</v>
      </c>
      <c r="T102" s="30">
        <f>4604</f>
        <v>4604</v>
      </c>
      <c r="U102" s="30" t="str">
        <f>"－"</f>
        <v>－</v>
      </c>
      <c r="V102" s="30">
        <f>19592960</f>
        <v>19592960</v>
      </c>
      <c r="W102" s="30" t="str">
        <f>"－"</f>
        <v>－</v>
      </c>
      <c r="X102" s="34">
        <f>22</f>
        <v>22</v>
      </c>
    </row>
    <row r="103" spans="1:24" ht="13.5" customHeight="1" x14ac:dyDescent="0.15">
      <c r="A103" s="25" t="s">
        <v>1013</v>
      </c>
      <c r="B103" s="25" t="s">
        <v>332</v>
      </c>
      <c r="C103" s="25" t="s">
        <v>972</v>
      </c>
      <c r="D103" s="25" t="s">
        <v>973</v>
      </c>
      <c r="E103" s="26" t="s">
        <v>45</v>
      </c>
      <c r="F103" s="27" t="s">
        <v>45</v>
      </c>
      <c r="G103" s="28" t="s">
        <v>45</v>
      </c>
      <c r="H103" s="29"/>
      <c r="I103" s="29" t="s">
        <v>46</v>
      </c>
      <c r="J103" s="30">
        <v>1</v>
      </c>
      <c r="K103" s="31">
        <f>2420</f>
        <v>2420</v>
      </c>
      <c r="L103" s="32" t="s">
        <v>995</v>
      </c>
      <c r="M103" s="31">
        <f>2573</f>
        <v>2573</v>
      </c>
      <c r="N103" s="32" t="s">
        <v>1003</v>
      </c>
      <c r="O103" s="31">
        <f>2401</f>
        <v>2401</v>
      </c>
      <c r="P103" s="32" t="s">
        <v>995</v>
      </c>
      <c r="Q103" s="31">
        <f>2418</f>
        <v>2418</v>
      </c>
      <c r="R103" s="32" t="s">
        <v>791</v>
      </c>
      <c r="S103" s="33">
        <f>2481.95</f>
        <v>2481.9499999999998</v>
      </c>
      <c r="T103" s="30">
        <f>463055</f>
        <v>463055</v>
      </c>
      <c r="U103" s="30">
        <f>15</f>
        <v>15</v>
      </c>
      <c r="V103" s="30">
        <f>1150076325</f>
        <v>1150076325</v>
      </c>
      <c r="W103" s="30">
        <f>37851</f>
        <v>37851</v>
      </c>
      <c r="X103" s="34">
        <f>22</f>
        <v>22</v>
      </c>
    </row>
    <row r="104" spans="1:24" ht="13.5" customHeight="1" x14ac:dyDescent="0.15">
      <c r="A104" s="25" t="s">
        <v>1013</v>
      </c>
      <c r="B104" s="25" t="s">
        <v>333</v>
      </c>
      <c r="C104" s="25" t="s">
        <v>334</v>
      </c>
      <c r="D104" s="25" t="s">
        <v>335</v>
      </c>
      <c r="E104" s="26" t="s">
        <v>45</v>
      </c>
      <c r="F104" s="27" t="s">
        <v>45</v>
      </c>
      <c r="G104" s="28" t="s">
        <v>45</v>
      </c>
      <c r="H104" s="29"/>
      <c r="I104" s="29" t="s">
        <v>46</v>
      </c>
      <c r="J104" s="30">
        <v>1</v>
      </c>
      <c r="K104" s="31">
        <f>43860</f>
        <v>43860</v>
      </c>
      <c r="L104" s="32" t="s">
        <v>995</v>
      </c>
      <c r="M104" s="31">
        <f>44190</f>
        <v>44190</v>
      </c>
      <c r="N104" s="32" t="s">
        <v>1000</v>
      </c>
      <c r="O104" s="31">
        <f>42380</f>
        <v>42380</v>
      </c>
      <c r="P104" s="32" t="s">
        <v>80</v>
      </c>
      <c r="Q104" s="31">
        <f>43900</f>
        <v>43900</v>
      </c>
      <c r="R104" s="32" t="s">
        <v>791</v>
      </c>
      <c r="S104" s="33">
        <f>43405.45</f>
        <v>43405.45</v>
      </c>
      <c r="T104" s="30">
        <f>14368</f>
        <v>14368</v>
      </c>
      <c r="U104" s="30">
        <f>795</f>
        <v>795</v>
      </c>
      <c r="V104" s="30">
        <f>624332908</f>
        <v>624332908</v>
      </c>
      <c r="W104" s="30">
        <f>34006498</f>
        <v>34006498</v>
      </c>
      <c r="X104" s="34">
        <f>22</f>
        <v>22</v>
      </c>
    </row>
    <row r="105" spans="1:24" ht="13.5" customHeight="1" x14ac:dyDescent="0.15">
      <c r="A105" s="25" t="s">
        <v>1013</v>
      </c>
      <c r="B105" s="25" t="s">
        <v>336</v>
      </c>
      <c r="C105" s="25" t="s">
        <v>337</v>
      </c>
      <c r="D105" s="25" t="s">
        <v>338</v>
      </c>
      <c r="E105" s="26" t="s">
        <v>45</v>
      </c>
      <c r="F105" s="27" t="s">
        <v>45</v>
      </c>
      <c r="G105" s="28" t="s">
        <v>45</v>
      </c>
      <c r="H105" s="29"/>
      <c r="I105" s="29" t="s">
        <v>46</v>
      </c>
      <c r="J105" s="30">
        <v>10</v>
      </c>
      <c r="K105" s="31">
        <f>25290</f>
        <v>25290</v>
      </c>
      <c r="L105" s="32" t="s">
        <v>995</v>
      </c>
      <c r="M105" s="31">
        <f>27425</f>
        <v>27425</v>
      </c>
      <c r="N105" s="32" t="s">
        <v>1004</v>
      </c>
      <c r="O105" s="31">
        <f>23170</f>
        <v>23170</v>
      </c>
      <c r="P105" s="32" t="s">
        <v>876</v>
      </c>
      <c r="Q105" s="31">
        <f>26175</f>
        <v>26175</v>
      </c>
      <c r="R105" s="32" t="s">
        <v>791</v>
      </c>
      <c r="S105" s="33">
        <f>25276.59</f>
        <v>25276.59</v>
      </c>
      <c r="T105" s="30">
        <f>2448120</f>
        <v>2448120</v>
      </c>
      <c r="U105" s="30">
        <f>80</f>
        <v>80</v>
      </c>
      <c r="V105" s="30">
        <f>62327645500</f>
        <v>62327645500</v>
      </c>
      <c r="W105" s="30">
        <f>2015100</f>
        <v>2015100</v>
      </c>
      <c r="X105" s="34">
        <f>22</f>
        <v>22</v>
      </c>
    </row>
    <row r="106" spans="1:24" ht="13.5" customHeight="1" x14ac:dyDescent="0.15">
      <c r="A106" s="25" t="s">
        <v>1013</v>
      </c>
      <c r="B106" s="25" t="s">
        <v>339</v>
      </c>
      <c r="C106" s="25" t="s">
        <v>340</v>
      </c>
      <c r="D106" s="25" t="s">
        <v>341</v>
      </c>
      <c r="E106" s="26" t="s">
        <v>45</v>
      </c>
      <c r="F106" s="27" t="s">
        <v>45</v>
      </c>
      <c r="G106" s="28" t="s">
        <v>45</v>
      </c>
      <c r="H106" s="29"/>
      <c r="I106" s="29" t="s">
        <v>46</v>
      </c>
      <c r="J106" s="30">
        <v>10</v>
      </c>
      <c r="K106" s="31">
        <f>1963.5</f>
        <v>1963.5</v>
      </c>
      <c r="L106" s="32" t="s">
        <v>995</v>
      </c>
      <c r="M106" s="31">
        <f>2040</f>
        <v>2040</v>
      </c>
      <c r="N106" s="32" t="s">
        <v>876</v>
      </c>
      <c r="O106" s="31">
        <f>1882.5</f>
        <v>1882.5</v>
      </c>
      <c r="P106" s="32" t="s">
        <v>1004</v>
      </c>
      <c r="Q106" s="31">
        <f>1915.5</f>
        <v>1915.5</v>
      </c>
      <c r="R106" s="32" t="s">
        <v>791</v>
      </c>
      <c r="S106" s="33">
        <f>1957.36</f>
        <v>1957.36</v>
      </c>
      <c r="T106" s="30">
        <f>1511340</f>
        <v>1511340</v>
      </c>
      <c r="U106" s="30">
        <f>1200890</f>
        <v>1200890</v>
      </c>
      <c r="V106" s="30">
        <f>2928587347</f>
        <v>2928587347</v>
      </c>
      <c r="W106" s="30">
        <f>2322790537</f>
        <v>2322790537</v>
      </c>
      <c r="X106" s="34">
        <f>22</f>
        <v>22</v>
      </c>
    </row>
    <row r="107" spans="1:24" ht="13.5" customHeight="1" x14ac:dyDescent="0.15">
      <c r="A107" s="25" t="s">
        <v>1013</v>
      </c>
      <c r="B107" s="25" t="s">
        <v>342</v>
      </c>
      <c r="C107" s="25" t="s">
        <v>343</v>
      </c>
      <c r="D107" s="25" t="s">
        <v>344</v>
      </c>
      <c r="E107" s="26" t="s">
        <v>45</v>
      </c>
      <c r="F107" s="27" t="s">
        <v>45</v>
      </c>
      <c r="G107" s="28" t="s">
        <v>45</v>
      </c>
      <c r="H107" s="29"/>
      <c r="I107" s="29" t="s">
        <v>46</v>
      </c>
      <c r="J107" s="30">
        <v>1</v>
      </c>
      <c r="K107" s="31">
        <f>14005</f>
        <v>14005</v>
      </c>
      <c r="L107" s="32" t="s">
        <v>995</v>
      </c>
      <c r="M107" s="31">
        <f>15420</f>
        <v>15420</v>
      </c>
      <c r="N107" s="32" t="s">
        <v>1004</v>
      </c>
      <c r="O107" s="31">
        <f>13215</f>
        <v>13215</v>
      </c>
      <c r="P107" s="32" t="s">
        <v>876</v>
      </c>
      <c r="Q107" s="31">
        <f>14940</f>
        <v>14940</v>
      </c>
      <c r="R107" s="32" t="s">
        <v>791</v>
      </c>
      <c r="S107" s="33">
        <f>14328.18</f>
        <v>14328.18</v>
      </c>
      <c r="T107" s="30">
        <f>140332608</f>
        <v>140332608</v>
      </c>
      <c r="U107" s="30">
        <f>1058794</f>
        <v>1058794</v>
      </c>
      <c r="V107" s="30">
        <f>2000217989205</f>
        <v>2000217989205</v>
      </c>
      <c r="W107" s="30">
        <f>15261017025</f>
        <v>15261017025</v>
      </c>
      <c r="X107" s="34">
        <f>22</f>
        <v>22</v>
      </c>
    </row>
    <row r="108" spans="1:24" ht="13.5" customHeight="1" x14ac:dyDescent="0.15">
      <c r="A108" s="25" t="s">
        <v>1013</v>
      </c>
      <c r="B108" s="25" t="s">
        <v>345</v>
      </c>
      <c r="C108" s="25" t="s">
        <v>346</v>
      </c>
      <c r="D108" s="25" t="s">
        <v>347</v>
      </c>
      <c r="E108" s="26" t="s">
        <v>45</v>
      </c>
      <c r="F108" s="27" t="s">
        <v>45</v>
      </c>
      <c r="G108" s="28" t="s">
        <v>45</v>
      </c>
      <c r="H108" s="29"/>
      <c r="I108" s="29" t="s">
        <v>46</v>
      </c>
      <c r="J108" s="30">
        <v>1</v>
      </c>
      <c r="K108" s="31">
        <f>954</f>
        <v>954</v>
      </c>
      <c r="L108" s="32" t="s">
        <v>995</v>
      </c>
      <c r="M108" s="31">
        <f>979</f>
        <v>979</v>
      </c>
      <c r="N108" s="32" t="s">
        <v>876</v>
      </c>
      <c r="O108" s="31">
        <f>909</f>
        <v>909</v>
      </c>
      <c r="P108" s="32" t="s">
        <v>1004</v>
      </c>
      <c r="Q108" s="31">
        <f>919</f>
        <v>919</v>
      </c>
      <c r="R108" s="32" t="s">
        <v>791</v>
      </c>
      <c r="S108" s="33">
        <f>942</f>
        <v>942</v>
      </c>
      <c r="T108" s="30">
        <f>52679622</f>
        <v>52679622</v>
      </c>
      <c r="U108" s="30">
        <f>2345025</f>
        <v>2345025</v>
      </c>
      <c r="V108" s="30">
        <f>49603423387</f>
        <v>49603423387</v>
      </c>
      <c r="W108" s="30">
        <f>2192972400</f>
        <v>2192972400</v>
      </c>
      <c r="X108" s="34">
        <f>22</f>
        <v>22</v>
      </c>
    </row>
    <row r="109" spans="1:24" ht="13.5" customHeight="1" x14ac:dyDescent="0.15">
      <c r="A109" s="25" t="s">
        <v>1013</v>
      </c>
      <c r="B109" s="25" t="s">
        <v>348</v>
      </c>
      <c r="C109" s="25" t="s">
        <v>349</v>
      </c>
      <c r="D109" s="25" t="s">
        <v>350</v>
      </c>
      <c r="E109" s="26" t="s">
        <v>45</v>
      </c>
      <c r="F109" s="27" t="s">
        <v>45</v>
      </c>
      <c r="G109" s="28" t="s">
        <v>45</v>
      </c>
      <c r="H109" s="29"/>
      <c r="I109" s="29" t="s">
        <v>46</v>
      </c>
      <c r="J109" s="30">
        <v>10</v>
      </c>
      <c r="K109" s="31">
        <f>4573</f>
        <v>4573</v>
      </c>
      <c r="L109" s="32" t="s">
        <v>995</v>
      </c>
      <c r="M109" s="31">
        <f>5220</f>
        <v>5220</v>
      </c>
      <c r="N109" s="32" t="s">
        <v>1003</v>
      </c>
      <c r="O109" s="31">
        <f>4200</f>
        <v>4200</v>
      </c>
      <c r="P109" s="32" t="s">
        <v>80</v>
      </c>
      <c r="Q109" s="31">
        <f>4893</f>
        <v>4893</v>
      </c>
      <c r="R109" s="32" t="s">
        <v>791</v>
      </c>
      <c r="S109" s="33">
        <f>4639.14</f>
        <v>4639.1400000000003</v>
      </c>
      <c r="T109" s="30">
        <f>267750</f>
        <v>267750</v>
      </c>
      <c r="U109" s="30" t="str">
        <f>"－"</f>
        <v>－</v>
      </c>
      <c r="V109" s="30">
        <f>1240592760</f>
        <v>1240592760</v>
      </c>
      <c r="W109" s="30" t="str">
        <f>"－"</f>
        <v>－</v>
      </c>
      <c r="X109" s="34">
        <f>22</f>
        <v>22</v>
      </c>
    </row>
    <row r="110" spans="1:24" ht="13.5" customHeight="1" x14ac:dyDescent="0.15">
      <c r="A110" s="25" t="s">
        <v>1013</v>
      </c>
      <c r="B110" s="25" t="s">
        <v>351</v>
      </c>
      <c r="C110" s="25" t="s">
        <v>352</v>
      </c>
      <c r="D110" s="25" t="s">
        <v>353</v>
      </c>
      <c r="E110" s="26" t="s">
        <v>45</v>
      </c>
      <c r="F110" s="27" t="s">
        <v>45</v>
      </c>
      <c r="G110" s="28" t="s">
        <v>45</v>
      </c>
      <c r="H110" s="29"/>
      <c r="I110" s="29" t="s">
        <v>46</v>
      </c>
      <c r="J110" s="30">
        <v>10</v>
      </c>
      <c r="K110" s="31">
        <f>10700</f>
        <v>10700</v>
      </c>
      <c r="L110" s="32" t="s">
        <v>995</v>
      </c>
      <c r="M110" s="31">
        <f>11000</f>
        <v>11000</v>
      </c>
      <c r="N110" s="32" t="s">
        <v>875</v>
      </c>
      <c r="O110" s="31">
        <f>9680</f>
        <v>9680</v>
      </c>
      <c r="P110" s="32" t="s">
        <v>1017</v>
      </c>
      <c r="Q110" s="31">
        <f>9798</f>
        <v>9798</v>
      </c>
      <c r="R110" s="32" t="s">
        <v>791</v>
      </c>
      <c r="S110" s="33">
        <f>10257.59</f>
        <v>10257.59</v>
      </c>
      <c r="T110" s="30">
        <f>25590</f>
        <v>25590</v>
      </c>
      <c r="U110" s="30" t="str">
        <f>"－"</f>
        <v>－</v>
      </c>
      <c r="V110" s="30">
        <f>263739200</f>
        <v>263739200</v>
      </c>
      <c r="W110" s="30" t="str">
        <f>"－"</f>
        <v>－</v>
      </c>
      <c r="X110" s="34">
        <f>22</f>
        <v>22</v>
      </c>
    </row>
    <row r="111" spans="1:24" ht="13.5" customHeight="1" x14ac:dyDescent="0.15">
      <c r="A111" s="25" t="s">
        <v>1013</v>
      </c>
      <c r="B111" s="25" t="s">
        <v>354</v>
      </c>
      <c r="C111" s="25" t="s">
        <v>355</v>
      </c>
      <c r="D111" s="25" t="s">
        <v>356</v>
      </c>
      <c r="E111" s="26" t="s">
        <v>45</v>
      </c>
      <c r="F111" s="27" t="s">
        <v>45</v>
      </c>
      <c r="G111" s="28" t="s">
        <v>45</v>
      </c>
      <c r="H111" s="29"/>
      <c r="I111" s="29" t="s">
        <v>46</v>
      </c>
      <c r="J111" s="30">
        <v>1</v>
      </c>
      <c r="K111" s="31">
        <f>26395</f>
        <v>26395</v>
      </c>
      <c r="L111" s="32" t="s">
        <v>995</v>
      </c>
      <c r="M111" s="31">
        <f>27465</f>
        <v>27465</v>
      </c>
      <c r="N111" s="32" t="s">
        <v>1004</v>
      </c>
      <c r="O111" s="31">
        <f>24625</f>
        <v>24625</v>
      </c>
      <c r="P111" s="32" t="s">
        <v>80</v>
      </c>
      <c r="Q111" s="31">
        <f>25730</f>
        <v>25730</v>
      </c>
      <c r="R111" s="32" t="s">
        <v>791</v>
      </c>
      <c r="S111" s="33">
        <f>25893.18</f>
        <v>25893.18</v>
      </c>
      <c r="T111" s="30">
        <f>154075</f>
        <v>154075</v>
      </c>
      <c r="U111" s="30">
        <f>65116</f>
        <v>65116</v>
      </c>
      <c r="V111" s="30">
        <f>3960050406</f>
        <v>3960050406</v>
      </c>
      <c r="W111" s="30">
        <f>1682763871</f>
        <v>1682763871</v>
      </c>
      <c r="X111" s="34">
        <f>22</f>
        <v>22</v>
      </c>
    </row>
    <row r="112" spans="1:24" ht="13.5" customHeight="1" x14ac:dyDescent="0.15">
      <c r="A112" s="25" t="s">
        <v>1013</v>
      </c>
      <c r="B112" s="25" t="s">
        <v>357</v>
      </c>
      <c r="C112" s="25" t="s">
        <v>358</v>
      </c>
      <c r="D112" s="25" t="s">
        <v>359</v>
      </c>
      <c r="E112" s="26" t="s">
        <v>45</v>
      </c>
      <c r="F112" s="27" t="s">
        <v>45</v>
      </c>
      <c r="G112" s="28" t="s">
        <v>45</v>
      </c>
      <c r="H112" s="29"/>
      <c r="I112" s="29" t="s">
        <v>46</v>
      </c>
      <c r="J112" s="30">
        <v>1</v>
      </c>
      <c r="K112" s="31">
        <f>2181</f>
        <v>2181</v>
      </c>
      <c r="L112" s="32" t="s">
        <v>995</v>
      </c>
      <c r="M112" s="31">
        <f>2286</f>
        <v>2286</v>
      </c>
      <c r="N112" s="32" t="s">
        <v>1004</v>
      </c>
      <c r="O112" s="31">
        <f>2120</f>
        <v>2120</v>
      </c>
      <c r="P112" s="32" t="s">
        <v>876</v>
      </c>
      <c r="Q112" s="31">
        <f>2250</f>
        <v>2250</v>
      </c>
      <c r="R112" s="32" t="s">
        <v>791</v>
      </c>
      <c r="S112" s="33">
        <f>2204</f>
        <v>2204</v>
      </c>
      <c r="T112" s="30">
        <f>285449</f>
        <v>285449</v>
      </c>
      <c r="U112" s="30">
        <f>228500</f>
        <v>228500</v>
      </c>
      <c r="V112" s="30">
        <f>626683336</f>
        <v>626683336</v>
      </c>
      <c r="W112" s="30">
        <f>501786000</f>
        <v>501786000</v>
      </c>
      <c r="X112" s="34">
        <f>22</f>
        <v>22</v>
      </c>
    </row>
    <row r="113" spans="1:24" ht="13.5" customHeight="1" x14ac:dyDescent="0.15">
      <c r="A113" s="25" t="s">
        <v>1013</v>
      </c>
      <c r="B113" s="25" t="s">
        <v>360</v>
      </c>
      <c r="C113" s="25" t="s">
        <v>361</v>
      </c>
      <c r="D113" s="25" t="s">
        <v>362</v>
      </c>
      <c r="E113" s="26" t="s">
        <v>45</v>
      </c>
      <c r="F113" s="27" t="s">
        <v>45</v>
      </c>
      <c r="G113" s="28" t="s">
        <v>45</v>
      </c>
      <c r="H113" s="29"/>
      <c r="I113" s="29" t="s">
        <v>46</v>
      </c>
      <c r="J113" s="30">
        <v>10</v>
      </c>
      <c r="K113" s="31">
        <f>14980</f>
        <v>14980</v>
      </c>
      <c r="L113" s="32" t="s">
        <v>995</v>
      </c>
      <c r="M113" s="31">
        <f>16495</f>
        <v>16495</v>
      </c>
      <c r="N113" s="32" t="s">
        <v>1004</v>
      </c>
      <c r="O113" s="31">
        <f>14125</f>
        <v>14125</v>
      </c>
      <c r="P113" s="32" t="s">
        <v>876</v>
      </c>
      <c r="Q113" s="31">
        <f>15960</f>
        <v>15960</v>
      </c>
      <c r="R113" s="32" t="s">
        <v>791</v>
      </c>
      <c r="S113" s="33">
        <f>15326.59</f>
        <v>15326.59</v>
      </c>
      <c r="T113" s="30">
        <f>21039860</f>
        <v>21039860</v>
      </c>
      <c r="U113" s="30">
        <f>110</f>
        <v>110</v>
      </c>
      <c r="V113" s="30">
        <f>319642203100</f>
        <v>319642203100</v>
      </c>
      <c r="W113" s="30">
        <f>1662400</f>
        <v>1662400</v>
      </c>
      <c r="X113" s="34">
        <f>22</f>
        <v>22</v>
      </c>
    </row>
    <row r="114" spans="1:24" ht="13.5" customHeight="1" x14ac:dyDescent="0.15">
      <c r="A114" s="25" t="s">
        <v>1013</v>
      </c>
      <c r="B114" s="25" t="s">
        <v>363</v>
      </c>
      <c r="C114" s="25" t="s">
        <v>364</v>
      </c>
      <c r="D114" s="25" t="s">
        <v>365</v>
      </c>
      <c r="E114" s="26" t="s">
        <v>45</v>
      </c>
      <c r="F114" s="27" t="s">
        <v>45</v>
      </c>
      <c r="G114" s="28" t="s">
        <v>45</v>
      </c>
      <c r="H114" s="29"/>
      <c r="I114" s="29" t="s">
        <v>46</v>
      </c>
      <c r="J114" s="30">
        <v>10</v>
      </c>
      <c r="K114" s="31">
        <f>2536.5</f>
        <v>2536.5</v>
      </c>
      <c r="L114" s="32" t="s">
        <v>995</v>
      </c>
      <c r="M114" s="31">
        <f>2600</f>
        <v>2600</v>
      </c>
      <c r="N114" s="32" t="s">
        <v>876</v>
      </c>
      <c r="O114" s="31">
        <f>2414</f>
        <v>2414</v>
      </c>
      <c r="P114" s="32" t="s">
        <v>1004</v>
      </c>
      <c r="Q114" s="31">
        <f>2444.5</f>
        <v>2444.5</v>
      </c>
      <c r="R114" s="32" t="s">
        <v>791</v>
      </c>
      <c r="S114" s="33">
        <f>2501.36</f>
        <v>2501.36</v>
      </c>
      <c r="T114" s="30">
        <f>2980030</f>
        <v>2980030</v>
      </c>
      <c r="U114" s="30">
        <f>1781940</f>
        <v>1781940</v>
      </c>
      <c r="V114" s="30">
        <f>7458948975</f>
        <v>7458948975</v>
      </c>
      <c r="W114" s="30">
        <f>4485703240</f>
        <v>4485703240</v>
      </c>
      <c r="X114" s="34">
        <f>22</f>
        <v>22</v>
      </c>
    </row>
    <row r="115" spans="1:24" ht="13.5" customHeight="1" x14ac:dyDescent="0.15">
      <c r="A115" s="25" t="s">
        <v>1013</v>
      </c>
      <c r="B115" s="25" t="s">
        <v>369</v>
      </c>
      <c r="C115" s="25" t="s">
        <v>370</v>
      </c>
      <c r="D115" s="25" t="s">
        <v>371</v>
      </c>
      <c r="E115" s="26" t="s">
        <v>45</v>
      </c>
      <c r="F115" s="27" t="s">
        <v>45</v>
      </c>
      <c r="G115" s="28" t="s">
        <v>45</v>
      </c>
      <c r="H115" s="29"/>
      <c r="I115" s="29" t="s">
        <v>46</v>
      </c>
      <c r="J115" s="30">
        <v>10</v>
      </c>
      <c r="K115" s="31">
        <f>1539</f>
        <v>1539</v>
      </c>
      <c r="L115" s="32" t="s">
        <v>999</v>
      </c>
      <c r="M115" s="31">
        <f>1590</f>
        <v>1590</v>
      </c>
      <c r="N115" s="32" t="s">
        <v>1004</v>
      </c>
      <c r="O115" s="31">
        <f>1492</f>
        <v>1492</v>
      </c>
      <c r="P115" s="32" t="s">
        <v>876</v>
      </c>
      <c r="Q115" s="31">
        <f>1561</f>
        <v>1561</v>
      </c>
      <c r="R115" s="32" t="s">
        <v>893</v>
      </c>
      <c r="S115" s="33">
        <f>1538.42</f>
        <v>1538.42</v>
      </c>
      <c r="T115" s="30">
        <f>1380</f>
        <v>1380</v>
      </c>
      <c r="U115" s="30" t="str">
        <f>"－"</f>
        <v>－</v>
      </c>
      <c r="V115" s="30">
        <f>2124955</f>
        <v>2124955</v>
      </c>
      <c r="W115" s="30" t="str">
        <f>"－"</f>
        <v>－</v>
      </c>
      <c r="X115" s="34">
        <f>12</f>
        <v>12</v>
      </c>
    </row>
    <row r="116" spans="1:24" ht="13.5" customHeight="1" x14ac:dyDescent="0.15">
      <c r="A116" s="25" t="s">
        <v>1013</v>
      </c>
      <c r="B116" s="25" t="s">
        <v>372</v>
      </c>
      <c r="C116" s="25" t="s">
        <v>373</v>
      </c>
      <c r="D116" s="25" t="s">
        <v>374</v>
      </c>
      <c r="E116" s="26" t="s">
        <v>45</v>
      </c>
      <c r="F116" s="27" t="s">
        <v>45</v>
      </c>
      <c r="G116" s="28" t="s">
        <v>45</v>
      </c>
      <c r="H116" s="29"/>
      <c r="I116" s="29" t="s">
        <v>46</v>
      </c>
      <c r="J116" s="30">
        <v>1</v>
      </c>
      <c r="K116" s="31">
        <f>1619</f>
        <v>1619</v>
      </c>
      <c r="L116" s="32" t="s">
        <v>995</v>
      </c>
      <c r="M116" s="31">
        <f>1750</f>
        <v>1750</v>
      </c>
      <c r="N116" s="32" t="s">
        <v>791</v>
      </c>
      <c r="O116" s="31">
        <f>1589</f>
        <v>1589</v>
      </c>
      <c r="P116" s="32" t="s">
        <v>1005</v>
      </c>
      <c r="Q116" s="31">
        <f>1666</f>
        <v>1666</v>
      </c>
      <c r="R116" s="32" t="s">
        <v>791</v>
      </c>
      <c r="S116" s="33">
        <f>1631.64</f>
        <v>1631.64</v>
      </c>
      <c r="T116" s="30">
        <f>560037</f>
        <v>560037</v>
      </c>
      <c r="U116" s="30">
        <f>540000</f>
        <v>540000</v>
      </c>
      <c r="V116" s="30">
        <f>911807494</f>
        <v>911807494</v>
      </c>
      <c r="W116" s="30">
        <f>878950800</f>
        <v>878950800</v>
      </c>
      <c r="X116" s="34">
        <f>22</f>
        <v>22</v>
      </c>
    </row>
    <row r="117" spans="1:24" ht="13.5" customHeight="1" x14ac:dyDescent="0.15">
      <c r="A117" s="25" t="s">
        <v>1013</v>
      </c>
      <c r="B117" s="25" t="s">
        <v>375</v>
      </c>
      <c r="C117" s="25" t="s">
        <v>376</v>
      </c>
      <c r="D117" s="25" t="s">
        <v>377</v>
      </c>
      <c r="E117" s="26" t="s">
        <v>45</v>
      </c>
      <c r="F117" s="27" t="s">
        <v>45</v>
      </c>
      <c r="G117" s="28" t="s">
        <v>45</v>
      </c>
      <c r="H117" s="29"/>
      <c r="I117" s="29" t="s">
        <v>46</v>
      </c>
      <c r="J117" s="30">
        <v>1</v>
      </c>
      <c r="K117" s="31">
        <f>17995</f>
        <v>17995</v>
      </c>
      <c r="L117" s="32" t="s">
        <v>995</v>
      </c>
      <c r="M117" s="31">
        <f>18760</f>
        <v>18760</v>
      </c>
      <c r="N117" s="32" t="s">
        <v>1004</v>
      </c>
      <c r="O117" s="31">
        <f>17300</f>
        <v>17300</v>
      </c>
      <c r="P117" s="32" t="s">
        <v>876</v>
      </c>
      <c r="Q117" s="31">
        <f>18345</f>
        <v>18345</v>
      </c>
      <c r="R117" s="32" t="s">
        <v>791</v>
      </c>
      <c r="S117" s="33">
        <f>18043.41</f>
        <v>18043.41</v>
      </c>
      <c r="T117" s="30">
        <f>79598</f>
        <v>79598</v>
      </c>
      <c r="U117" s="30">
        <f>28547</f>
        <v>28547</v>
      </c>
      <c r="V117" s="30">
        <f>1421312838</f>
        <v>1421312838</v>
      </c>
      <c r="W117" s="30">
        <f>499778038</f>
        <v>499778038</v>
      </c>
      <c r="X117" s="34">
        <f>22</f>
        <v>22</v>
      </c>
    </row>
    <row r="118" spans="1:24" ht="13.5" customHeight="1" x14ac:dyDescent="0.15">
      <c r="A118" s="25" t="s">
        <v>1013</v>
      </c>
      <c r="B118" s="25" t="s">
        <v>378</v>
      </c>
      <c r="C118" s="25" t="s">
        <v>379</v>
      </c>
      <c r="D118" s="25" t="s">
        <v>380</v>
      </c>
      <c r="E118" s="26" t="s">
        <v>45</v>
      </c>
      <c r="F118" s="27" t="s">
        <v>45</v>
      </c>
      <c r="G118" s="28" t="s">
        <v>45</v>
      </c>
      <c r="H118" s="29"/>
      <c r="I118" s="29" t="s">
        <v>46</v>
      </c>
      <c r="J118" s="30">
        <v>1</v>
      </c>
      <c r="K118" s="31">
        <f>1643</f>
        <v>1643</v>
      </c>
      <c r="L118" s="32" t="s">
        <v>995</v>
      </c>
      <c r="M118" s="31">
        <f>1711</f>
        <v>1711</v>
      </c>
      <c r="N118" s="32" t="s">
        <v>1004</v>
      </c>
      <c r="O118" s="31">
        <f>1573</f>
        <v>1573</v>
      </c>
      <c r="P118" s="32" t="s">
        <v>893</v>
      </c>
      <c r="Q118" s="31">
        <f>1672</f>
        <v>1672</v>
      </c>
      <c r="R118" s="32" t="s">
        <v>791</v>
      </c>
      <c r="S118" s="33">
        <f>1642.64</f>
        <v>1642.64</v>
      </c>
      <c r="T118" s="30">
        <f>59312</f>
        <v>59312</v>
      </c>
      <c r="U118" s="30">
        <f>31000</f>
        <v>31000</v>
      </c>
      <c r="V118" s="30">
        <f>98903394</f>
        <v>98903394</v>
      </c>
      <c r="W118" s="30">
        <f>52281500</f>
        <v>52281500</v>
      </c>
      <c r="X118" s="34">
        <f>22</f>
        <v>22</v>
      </c>
    </row>
    <row r="119" spans="1:24" ht="13.5" customHeight="1" x14ac:dyDescent="0.15">
      <c r="A119" s="25" t="s">
        <v>1013</v>
      </c>
      <c r="B119" s="25" t="s">
        <v>381</v>
      </c>
      <c r="C119" s="25" t="s">
        <v>382</v>
      </c>
      <c r="D119" s="25" t="s">
        <v>383</v>
      </c>
      <c r="E119" s="26" t="s">
        <v>45</v>
      </c>
      <c r="F119" s="27" t="s">
        <v>45</v>
      </c>
      <c r="G119" s="28" t="s">
        <v>45</v>
      </c>
      <c r="H119" s="29"/>
      <c r="I119" s="29" t="s">
        <v>46</v>
      </c>
      <c r="J119" s="30">
        <v>1</v>
      </c>
      <c r="K119" s="31">
        <f>18365</f>
        <v>18365</v>
      </c>
      <c r="L119" s="32" t="s">
        <v>995</v>
      </c>
      <c r="M119" s="31">
        <f>19080</f>
        <v>19080</v>
      </c>
      <c r="N119" s="32" t="s">
        <v>1004</v>
      </c>
      <c r="O119" s="31">
        <f>17610</f>
        <v>17610</v>
      </c>
      <c r="P119" s="32" t="s">
        <v>876</v>
      </c>
      <c r="Q119" s="31">
        <f>18740</f>
        <v>18740</v>
      </c>
      <c r="R119" s="32" t="s">
        <v>791</v>
      </c>
      <c r="S119" s="33">
        <f>18355</f>
        <v>18355</v>
      </c>
      <c r="T119" s="30">
        <f>101114</f>
        <v>101114</v>
      </c>
      <c r="U119" s="30">
        <f>85411</f>
        <v>85411</v>
      </c>
      <c r="V119" s="30">
        <f>1865138906</f>
        <v>1865138906</v>
      </c>
      <c r="W119" s="30">
        <f>1574419726</f>
        <v>1574419726</v>
      </c>
      <c r="X119" s="34">
        <f>22</f>
        <v>22</v>
      </c>
    </row>
    <row r="120" spans="1:24" ht="13.5" customHeight="1" x14ac:dyDescent="0.15">
      <c r="A120" s="25" t="s">
        <v>1013</v>
      </c>
      <c r="B120" s="25" t="s">
        <v>384</v>
      </c>
      <c r="C120" s="25" t="s">
        <v>385</v>
      </c>
      <c r="D120" s="25" t="s">
        <v>386</v>
      </c>
      <c r="E120" s="26" t="s">
        <v>45</v>
      </c>
      <c r="F120" s="27" t="s">
        <v>45</v>
      </c>
      <c r="G120" s="28" t="s">
        <v>45</v>
      </c>
      <c r="H120" s="29"/>
      <c r="I120" s="29" t="s">
        <v>46</v>
      </c>
      <c r="J120" s="30">
        <v>10</v>
      </c>
      <c r="K120" s="31">
        <f>1886.5</f>
        <v>1886.5</v>
      </c>
      <c r="L120" s="32" t="s">
        <v>995</v>
      </c>
      <c r="M120" s="31">
        <f>1890</f>
        <v>1890</v>
      </c>
      <c r="N120" s="32" t="s">
        <v>1003</v>
      </c>
      <c r="O120" s="31">
        <f>1789</f>
        <v>1789</v>
      </c>
      <c r="P120" s="32" t="s">
        <v>80</v>
      </c>
      <c r="Q120" s="31">
        <f>1831</f>
        <v>1831</v>
      </c>
      <c r="R120" s="32" t="s">
        <v>791</v>
      </c>
      <c r="S120" s="33">
        <f>1842.59</f>
        <v>1842.59</v>
      </c>
      <c r="T120" s="30">
        <f>2051460</f>
        <v>2051460</v>
      </c>
      <c r="U120" s="30">
        <f>1108030</f>
        <v>1108030</v>
      </c>
      <c r="V120" s="30">
        <f>3768793475</f>
        <v>3768793475</v>
      </c>
      <c r="W120" s="30">
        <f>2044196000</f>
        <v>2044196000</v>
      </c>
      <c r="X120" s="34">
        <f>22</f>
        <v>22</v>
      </c>
    </row>
    <row r="121" spans="1:24" ht="13.5" customHeight="1" x14ac:dyDescent="0.15">
      <c r="A121" s="25" t="s">
        <v>1013</v>
      </c>
      <c r="B121" s="25" t="s">
        <v>387</v>
      </c>
      <c r="C121" s="25" t="s">
        <v>388</v>
      </c>
      <c r="D121" s="25" t="s">
        <v>389</v>
      </c>
      <c r="E121" s="26" t="s">
        <v>45</v>
      </c>
      <c r="F121" s="27" t="s">
        <v>45</v>
      </c>
      <c r="G121" s="28" t="s">
        <v>45</v>
      </c>
      <c r="H121" s="29"/>
      <c r="I121" s="29" t="s">
        <v>46</v>
      </c>
      <c r="J121" s="30">
        <v>10</v>
      </c>
      <c r="K121" s="31">
        <f>1744</f>
        <v>1744</v>
      </c>
      <c r="L121" s="32" t="s">
        <v>1004</v>
      </c>
      <c r="M121" s="31">
        <f>1744</f>
        <v>1744</v>
      </c>
      <c r="N121" s="32" t="s">
        <v>1004</v>
      </c>
      <c r="O121" s="31">
        <f>1640</f>
        <v>1640</v>
      </c>
      <c r="P121" s="32" t="s">
        <v>876</v>
      </c>
      <c r="Q121" s="31">
        <f>1717</f>
        <v>1717</v>
      </c>
      <c r="R121" s="32" t="s">
        <v>893</v>
      </c>
      <c r="S121" s="33">
        <f>1694.33</f>
        <v>1694.33</v>
      </c>
      <c r="T121" s="30">
        <f>120</f>
        <v>120</v>
      </c>
      <c r="U121" s="30" t="str">
        <f>"－"</f>
        <v>－</v>
      </c>
      <c r="V121" s="30">
        <f>203330</f>
        <v>203330</v>
      </c>
      <c r="W121" s="30" t="str">
        <f>"－"</f>
        <v>－</v>
      </c>
      <c r="X121" s="34">
        <f>6</f>
        <v>6</v>
      </c>
    </row>
    <row r="122" spans="1:24" ht="13.5" customHeight="1" x14ac:dyDescent="0.15">
      <c r="A122" s="25" t="s">
        <v>1013</v>
      </c>
      <c r="B122" s="25" t="s">
        <v>390</v>
      </c>
      <c r="C122" s="25" t="s">
        <v>391</v>
      </c>
      <c r="D122" s="25" t="s">
        <v>392</v>
      </c>
      <c r="E122" s="26" t="s">
        <v>45</v>
      </c>
      <c r="F122" s="27" t="s">
        <v>45</v>
      </c>
      <c r="G122" s="28" t="s">
        <v>45</v>
      </c>
      <c r="H122" s="29"/>
      <c r="I122" s="29" t="s">
        <v>46</v>
      </c>
      <c r="J122" s="30">
        <v>10</v>
      </c>
      <c r="K122" s="31">
        <f>1910.5</f>
        <v>1910.5</v>
      </c>
      <c r="L122" s="32" t="s">
        <v>995</v>
      </c>
      <c r="M122" s="31">
        <f>1910.5</f>
        <v>1910.5</v>
      </c>
      <c r="N122" s="32" t="s">
        <v>995</v>
      </c>
      <c r="O122" s="31">
        <f>1785</f>
        <v>1785</v>
      </c>
      <c r="P122" s="32" t="s">
        <v>80</v>
      </c>
      <c r="Q122" s="31">
        <f>1828</f>
        <v>1828</v>
      </c>
      <c r="R122" s="32" t="s">
        <v>791</v>
      </c>
      <c r="S122" s="33">
        <f>1841.34</f>
        <v>1841.34</v>
      </c>
      <c r="T122" s="30">
        <f>2146520</f>
        <v>2146520</v>
      </c>
      <c r="U122" s="30">
        <f>807490</f>
        <v>807490</v>
      </c>
      <c r="V122" s="30">
        <f>3970588514</f>
        <v>3970588514</v>
      </c>
      <c r="W122" s="30">
        <f>1501146059</f>
        <v>1501146059</v>
      </c>
      <c r="X122" s="34">
        <f>22</f>
        <v>22</v>
      </c>
    </row>
    <row r="123" spans="1:24" ht="13.5" customHeight="1" x14ac:dyDescent="0.15">
      <c r="A123" s="25" t="s">
        <v>1013</v>
      </c>
      <c r="B123" s="25" t="s">
        <v>393</v>
      </c>
      <c r="C123" s="25" t="s">
        <v>394</v>
      </c>
      <c r="D123" s="25" t="s">
        <v>395</v>
      </c>
      <c r="E123" s="26" t="s">
        <v>45</v>
      </c>
      <c r="F123" s="27" t="s">
        <v>45</v>
      </c>
      <c r="G123" s="28" t="s">
        <v>45</v>
      </c>
      <c r="H123" s="29"/>
      <c r="I123" s="29" t="s">
        <v>46</v>
      </c>
      <c r="J123" s="30">
        <v>1</v>
      </c>
      <c r="K123" s="31">
        <f>18150</f>
        <v>18150</v>
      </c>
      <c r="L123" s="32" t="s">
        <v>995</v>
      </c>
      <c r="M123" s="31">
        <f>18905</f>
        <v>18905</v>
      </c>
      <c r="N123" s="32" t="s">
        <v>1004</v>
      </c>
      <c r="O123" s="31">
        <f>17470</f>
        <v>17470</v>
      </c>
      <c r="P123" s="32" t="s">
        <v>876</v>
      </c>
      <c r="Q123" s="31">
        <f>18510</f>
        <v>18510</v>
      </c>
      <c r="R123" s="32" t="s">
        <v>791</v>
      </c>
      <c r="S123" s="33">
        <f>18226.84</f>
        <v>18226.84</v>
      </c>
      <c r="T123" s="30">
        <f>61678</f>
        <v>61678</v>
      </c>
      <c r="U123" s="30">
        <f>60500</f>
        <v>60500</v>
      </c>
      <c r="V123" s="30">
        <f>1138415965</f>
        <v>1138415965</v>
      </c>
      <c r="W123" s="30">
        <f>1116945450</f>
        <v>1116945450</v>
      </c>
      <c r="X123" s="34">
        <f>19</f>
        <v>19</v>
      </c>
    </row>
    <row r="124" spans="1:24" ht="13.5" customHeight="1" x14ac:dyDescent="0.15">
      <c r="A124" s="25" t="s">
        <v>1013</v>
      </c>
      <c r="B124" s="25" t="s">
        <v>396</v>
      </c>
      <c r="C124" s="25" t="s">
        <v>397</v>
      </c>
      <c r="D124" s="25" t="s">
        <v>398</v>
      </c>
      <c r="E124" s="26" t="s">
        <v>45</v>
      </c>
      <c r="F124" s="27" t="s">
        <v>45</v>
      </c>
      <c r="G124" s="28" t="s">
        <v>45</v>
      </c>
      <c r="H124" s="29"/>
      <c r="I124" s="29" t="s">
        <v>46</v>
      </c>
      <c r="J124" s="30">
        <v>100</v>
      </c>
      <c r="K124" s="31">
        <f>221.2</f>
        <v>221.2</v>
      </c>
      <c r="L124" s="32" t="s">
        <v>995</v>
      </c>
      <c r="M124" s="31">
        <f>231</f>
        <v>231</v>
      </c>
      <c r="N124" s="32" t="s">
        <v>1004</v>
      </c>
      <c r="O124" s="31">
        <f>184</f>
        <v>184</v>
      </c>
      <c r="P124" s="32" t="s">
        <v>876</v>
      </c>
      <c r="Q124" s="31">
        <f>200</f>
        <v>200</v>
      </c>
      <c r="R124" s="32" t="s">
        <v>791</v>
      </c>
      <c r="S124" s="33">
        <f>206.25</f>
        <v>206.25</v>
      </c>
      <c r="T124" s="30">
        <f>163021600</f>
        <v>163021600</v>
      </c>
      <c r="U124" s="30">
        <f>5427400</f>
        <v>5427400</v>
      </c>
      <c r="V124" s="30">
        <f>33545921095</f>
        <v>33545921095</v>
      </c>
      <c r="W124" s="30">
        <f>1095002695</f>
        <v>1095002695</v>
      </c>
      <c r="X124" s="34">
        <f>22</f>
        <v>22</v>
      </c>
    </row>
    <row r="125" spans="1:24" ht="13.5" customHeight="1" x14ac:dyDescent="0.15">
      <c r="A125" s="25" t="s">
        <v>1013</v>
      </c>
      <c r="B125" s="25" t="s">
        <v>399</v>
      </c>
      <c r="C125" s="25" t="s">
        <v>400</v>
      </c>
      <c r="D125" s="25" t="s">
        <v>401</v>
      </c>
      <c r="E125" s="26" t="s">
        <v>45</v>
      </c>
      <c r="F125" s="27" t="s">
        <v>45</v>
      </c>
      <c r="G125" s="28" t="s">
        <v>45</v>
      </c>
      <c r="H125" s="29"/>
      <c r="I125" s="29" t="s">
        <v>46</v>
      </c>
      <c r="J125" s="30">
        <v>1</v>
      </c>
      <c r="K125" s="31">
        <f>29950</f>
        <v>29950</v>
      </c>
      <c r="L125" s="32" t="s">
        <v>995</v>
      </c>
      <c r="M125" s="31">
        <f>31200</f>
        <v>31200</v>
      </c>
      <c r="N125" s="32" t="s">
        <v>791</v>
      </c>
      <c r="O125" s="31">
        <f>29605</f>
        <v>29605</v>
      </c>
      <c r="P125" s="32" t="s">
        <v>876</v>
      </c>
      <c r="Q125" s="31">
        <f>30970</f>
        <v>30970</v>
      </c>
      <c r="R125" s="32" t="s">
        <v>791</v>
      </c>
      <c r="S125" s="33">
        <f>30383.64</f>
        <v>30383.64</v>
      </c>
      <c r="T125" s="30">
        <f>1414</f>
        <v>1414</v>
      </c>
      <c r="U125" s="30" t="str">
        <f>"－"</f>
        <v>－</v>
      </c>
      <c r="V125" s="30">
        <f>43080560</f>
        <v>43080560</v>
      </c>
      <c r="W125" s="30" t="str">
        <f>"－"</f>
        <v>－</v>
      </c>
      <c r="X125" s="34">
        <f>22</f>
        <v>22</v>
      </c>
    </row>
    <row r="126" spans="1:24" ht="13.5" customHeight="1" x14ac:dyDescent="0.15">
      <c r="A126" s="25" t="s">
        <v>1013</v>
      </c>
      <c r="B126" s="25" t="s">
        <v>402</v>
      </c>
      <c r="C126" s="25" t="s">
        <v>403</v>
      </c>
      <c r="D126" s="25" t="s">
        <v>404</v>
      </c>
      <c r="E126" s="26" t="s">
        <v>45</v>
      </c>
      <c r="F126" s="27" t="s">
        <v>45</v>
      </c>
      <c r="G126" s="28" t="s">
        <v>45</v>
      </c>
      <c r="H126" s="29"/>
      <c r="I126" s="29" t="s">
        <v>46</v>
      </c>
      <c r="J126" s="30">
        <v>1</v>
      </c>
      <c r="K126" s="31">
        <f>13410</f>
        <v>13410</v>
      </c>
      <c r="L126" s="32" t="s">
        <v>995</v>
      </c>
      <c r="M126" s="31">
        <f>13990</f>
        <v>13990</v>
      </c>
      <c r="N126" s="32" t="s">
        <v>1003</v>
      </c>
      <c r="O126" s="31">
        <f>12500</f>
        <v>12500</v>
      </c>
      <c r="P126" s="32" t="s">
        <v>876</v>
      </c>
      <c r="Q126" s="31">
        <f>13290</f>
        <v>13290</v>
      </c>
      <c r="R126" s="32" t="s">
        <v>791</v>
      </c>
      <c r="S126" s="33">
        <f>13299.55</f>
        <v>13299.55</v>
      </c>
      <c r="T126" s="30">
        <f>6411</f>
        <v>6411</v>
      </c>
      <c r="U126" s="30" t="str">
        <f>"－"</f>
        <v>－</v>
      </c>
      <c r="V126" s="30">
        <f>84356235</f>
        <v>84356235</v>
      </c>
      <c r="W126" s="30" t="str">
        <f>"－"</f>
        <v>－</v>
      </c>
      <c r="X126" s="34">
        <f>22</f>
        <v>22</v>
      </c>
    </row>
    <row r="127" spans="1:24" ht="13.5" customHeight="1" x14ac:dyDescent="0.15">
      <c r="A127" s="25" t="s">
        <v>1013</v>
      </c>
      <c r="B127" s="25" t="s">
        <v>405</v>
      </c>
      <c r="C127" s="25" t="s">
        <v>406</v>
      </c>
      <c r="D127" s="25" t="s">
        <v>407</v>
      </c>
      <c r="E127" s="26" t="s">
        <v>45</v>
      </c>
      <c r="F127" s="27" t="s">
        <v>45</v>
      </c>
      <c r="G127" s="28" t="s">
        <v>45</v>
      </c>
      <c r="H127" s="29"/>
      <c r="I127" s="29" t="s">
        <v>46</v>
      </c>
      <c r="J127" s="30">
        <v>1</v>
      </c>
      <c r="K127" s="31">
        <f>22145</f>
        <v>22145</v>
      </c>
      <c r="L127" s="32" t="s">
        <v>995</v>
      </c>
      <c r="M127" s="31">
        <f>23230</f>
        <v>23230</v>
      </c>
      <c r="N127" s="32" t="s">
        <v>1004</v>
      </c>
      <c r="O127" s="31">
        <f>21580</f>
        <v>21580</v>
      </c>
      <c r="P127" s="32" t="s">
        <v>80</v>
      </c>
      <c r="Q127" s="31">
        <f>22605</f>
        <v>22605</v>
      </c>
      <c r="R127" s="32" t="s">
        <v>791</v>
      </c>
      <c r="S127" s="33">
        <f>22294.77</f>
        <v>22294.77</v>
      </c>
      <c r="T127" s="30">
        <f>1403</f>
        <v>1403</v>
      </c>
      <c r="U127" s="30" t="str">
        <f>"－"</f>
        <v>－</v>
      </c>
      <c r="V127" s="30">
        <f>31621950</f>
        <v>31621950</v>
      </c>
      <c r="W127" s="30" t="str">
        <f>"－"</f>
        <v>－</v>
      </c>
      <c r="X127" s="34">
        <f>22</f>
        <v>22</v>
      </c>
    </row>
    <row r="128" spans="1:24" ht="13.5" customHeight="1" x14ac:dyDescent="0.15">
      <c r="A128" s="25" t="s">
        <v>1013</v>
      </c>
      <c r="B128" s="25" t="s">
        <v>408</v>
      </c>
      <c r="C128" s="25" t="s">
        <v>409</v>
      </c>
      <c r="D128" s="25" t="s">
        <v>410</v>
      </c>
      <c r="E128" s="26" t="s">
        <v>45</v>
      </c>
      <c r="F128" s="27" t="s">
        <v>45</v>
      </c>
      <c r="G128" s="28" t="s">
        <v>45</v>
      </c>
      <c r="H128" s="29"/>
      <c r="I128" s="29" t="s">
        <v>46</v>
      </c>
      <c r="J128" s="30">
        <v>1</v>
      </c>
      <c r="K128" s="31">
        <f>25100</f>
        <v>25100</v>
      </c>
      <c r="L128" s="32" t="s">
        <v>995</v>
      </c>
      <c r="M128" s="31">
        <f>26135</f>
        <v>26135</v>
      </c>
      <c r="N128" s="32" t="s">
        <v>791</v>
      </c>
      <c r="O128" s="31">
        <f>24535</f>
        <v>24535</v>
      </c>
      <c r="P128" s="32" t="s">
        <v>876</v>
      </c>
      <c r="Q128" s="31">
        <f>26135</f>
        <v>26135</v>
      </c>
      <c r="R128" s="32" t="s">
        <v>791</v>
      </c>
      <c r="S128" s="33">
        <f>25399.32</f>
        <v>25399.32</v>
      </c>
      <c r="T128" s="30">
        <f>1633</f>
        <v>1633</v>
      </c>
      <c r="U128" s="30" t="str">
        <f>"－"</f>
        <v>－</v>
      </c>
      <c r="V128" s="30">
        <f>41707900</f>
        <v>41707900</v>
      </c>
      <c r="W128" s="30" t="str">
        <f>"－"</f>
        <v>－</v>
      </c>
      <c r="X128" s="34">
        <f>22</f>
        <v>22</v>
      </c>
    </row>
    <row r="129" spans="1:24" ht="13.5" customHeight="1" x14ac:dyDescent="0.15">
      <c r="A129" s="25" t="s">
        <v>1013</v>
      </c>
      <c r="B129" s="25" t="s">
        <v>411</v>
      </c>
      <c r="C129" s="25" t="s">
        <v>412</v>
      </c>
      <c r="D129" s="25" t="s">
        <v>413</v>
      </c>
      <c r="E129" s="26" t="s">
        <v>45</v>
      </c>
      <c r="F129" s="27" t="s">
        <v>45</v>
      </c>
      <c r="G129" s="28" t="s">
        <v>45</v>
      </c>
      <c r="H129" s="29"/>
      <c r="I129" s="29" t="s">
        <v>46</v>
      </c>
      <c r="J129" s="30">
        <v>1</v>
      </c>
      <c r="K129" s="31">
        <f>24870</f>
        <v>24870</v>
      </c>
      <c r="L129" s="32" t="s">
        <v>995</v>
      </c>
      <c r="M129" s="31">
        <f>26200</f>
        <v>26200</v>
      </c>
      <c r="N129" s="32" t="s">
        <v>791</v>
      </c>
      <c r="O129" s="31">
        <f>24630</f>
        <v>24630</v>
      </c>
      <c r="P129" s="32" t="s">
        <v>995</v>
      </c>
      <c r="Q129" s="31">
        <f>26185</f>
        <v>26185</v>
      </c>
      <c r="R129" s="32" t="s">
        <v>791</v>
      </c>
      <c r="S129" s="33">
        <f>25322.95</f>
        <v>25322.95</v>
      </c>
      <c r="T129" s="30">
        <f>9861</f>
        <v>9861</v>
      </c>
      <c r="U129" s="30">
        <f>2855</f>
        <v>2855</v>
      </c>
      <c r="V129" s="30">
        <f>250012956</f>
        <v>250012956</v>
      </c>
      <c r="W129" s="30">
        <f>72503721</f>
        <v>72503721</v>
      </c>
      <c r="X129" s="34">
        <f>22</f>
        <v>22</v>
      </c>
    </row>
    <row r="130" spans="1:24" ht="13.5" customHeight="1" x14ac:dyDescent="0.15">
      <c r="A130" s="25" t="s">
        <v>1013</v>
      </c>
      <c r="B130" s="25" t="s">
        <v>414</v>
      </c>
      <c r="C130" s="25" t="s">
        <v>415</v>
      </c>
      <c r="D130" s="25" t="s">
        <v>416</v>
      </c>
      <c r="E130" s="26" t="s">
        <v>45</v>
      </c>
      <c r="F130" s="27" t="s">
        <v>45</v>
      </c>
      <c r="G130" s="28" t="s">
        <v>45</v>
      </c>
      <c r="H130" s="29"/>
      <c r="I130" s="29" t="s">
        <v>46</v>
      </c>
      <c r="J130" s="30">
        <v>1</v>
      </c>
      <c r="K130" s="31">
        <f>23070</f>
        <v>23070</v>
      </c>
      <c r="L130" s="32" t="s">
        <v>995</v>
      </c>
      <c r="M130" s="31">
        <f>24080</f>
        <v>24080</v>
      </c>
      <c r="N130" s="32" t="s">
        <v>1004</v>
      </c>
      <c r="O130" s="31">
        <f>21695</f>
        <v>21695</v>
      </c>
      <c r="P130" s="32" t="s">
        <v>876</v>
      </c>
      <c r="Q130" s="31">
        <f>23485</f>
        <v>23485</v>
      </c>
      <c r="R130" s="32" t="s">
        <v>791</v>
      </c>
      <c r="S130" s="33">
        <f>22895.91</f>
        <v>22895.91</v>
      </c>
      <c r="T130" s="30">
        <f>6656</f>
        <v>6656</v>
      </c>
      <c r="U130" s="30">
        <f>1</f>
        <v>1</v>
      </c>
      <c r="V130" s="30">
        <f>152689770</f>
        <v>152689770</v>
      </c>
      <c r="W130" s="30">
        <f>22350</f>
        <v>22350</v>
      </c>
      <c r="X130" s="34">
        <f>22</f>
        <v>22</v>
      </c>
    </row>
    <row r="131" spans="1:24" ht="13.5" customHeight="1" x14ac:dyDescent="0.15">
      <c r="A131" s="25" t="s">
        <v>1013</v>
      </c>
      <c r="B131" s="25" t="s">
        <v>417</v>
      </c>
      <c r="C131" s="25" t="s">
        <v>418</v>
      </c>
      <c r="D131" s="25" t="s">
        <v>419</v>
      </c>
      <c r="E131" s="26" t="s">
        <v>45</v>
      </c>
      <c r="F131" s="27" t="s">
        <v>45</v>
      </c>
      <c r="G131" s="28" t="s">
        <v>45</v>
      </c>
      <c r="H131" s="29"/>
      <c r="I131" s="29" t="s">
        <v>46</v>
      </c>
      <c r="J131" s="30">
        <v>1</v>
      </c>
      <c r="K131" s="31">
        <f>20230</f>
        <v>20230</v>
      </c>
      <c r="L131" s="32" t="s">
        <v>995</v>
      </c>
      <c r="M131" s="31">
        <f>21660</f>
        <v>21660</v>
      </c>
      <c r="N131" s="32" t="s">
        <v>1004</v>
      </c>
      <c r="O131" s="31">
        <f>19350</f>
        <v>19350</v>
      </c>
      <c r="P131" s="32" t="s">
        <v>80</v>
      </c>
      <c r="Q131" s="31">
        <f>20945</f>
        <v>20945</v>
      </c>
      <c r="R131" s="32" t="s">
        <v>791</v>
      </c>
      <c r="S131" s="33">
        <f>20449.32</f>
        <v>20449.32</v>
      </c>
      <c r="T131" s="30">
        <f>17971</f>
        <v>17971</v>
      </c>
      <c r="U131" s="30" t="str">
        <f>"－"</f>
        <v>－</v>
      </c>
      <c r="V131" s="30">
        <f>374287255</f>
        <v>374287255</v>
      </c>
      <c r="W131" s="30" t="str">
        <f>"－"</f>
        <v>－</v>
      </c>
      <c r="X131" s="34">
        <f>22</f>
        <v>22</v>
      </c>
    </row>
    <row r="132" spans="1:24" ht="13.5" customHeight="1" x14ac:dyDescent="0.15">
      <c r="A132" s="25" t="s">
        <v>1013</v>
      </c>
      <c r="B132" s="25" t="s">
        <v>420</v>
      </c>
      <c r="C132" s="25" t="s">
        <v>421</v>
      </c>
      <c r="D132" s="25" t="s">
        <v>422</v>
      </c>
      <c r="E132" s="26" t="s">
        <v>45</v>
      </c>
      <c r="F132" s="27" t="s">
        <v>45</v>
      </c>
      <c r="G132" s="28" t="s">
        <v>45</v>
      </c>
      <c r="H132" s="29"/>
      <c r="I132" s="29" t="s">
        <v>46</v>
      </c>
      <c r="J132" s="30">
        <v>1</v>
      </c>
      <c r="K132" s="31">
        <f>41020</f>
        <v>41020</v>
      </c>
      <c r="L132" s="32" t="s">
        <v>995</v>
      </c>
      <c r="M132" s="31">
        <f>42910</f>
        <v>42910</v>
      </c>
      <c r="N132" s="32" t="s">
        <v>1004</v>
      </c>
      <c r="O132" s="31">
        <f>39190</f>
        <v>39190</v>
      </c>
      <c r="P132" s="32" t="s">
        <v>876</v>
      </c>
      <c r="Q132" s="31">
        <f>41860</f>
        <v>41860</v>
      </c>
      <c r="R132" s="32" t="s">
        <v>791</v>
      </c>
      <c r="S132" s="33">
        <f>41017.73</f>
        <v>41017.730000000003</v>
      </c>
      <c r="T132" s="30">
        <f>1564</f>
        <v>1564</v>
      </c>
      <c r="U132" s="30" t="str">
        <f>"－"</f>
        <v>－</v>
      </c>
      <c r="V132" s="30">
        <f>65108930</f>
        <v>65108930</v>
      </c>
      <c r="W132" s="30" t="str">
        <f>"－"</f>
        <v>－</v>
      </c>
      <c r="X132" s="34">
        <f>22</f>
        <v>22</v>
      </c>
    </row>
    <row r="133" spans="1:24" ht="13.5" customHeight="1" x14ac:dyDescent="0.15">
      <c r="A133" s="25" t="s">
        <v>1013</v>
      </c>
      <c r="B133" s="25" t="s">
        <v>423</v>
      </c>
      <c r="C133" s="25" t="s">
        <v>424</v>
      </c>
      <c r="D133" s="25" t="s">
        <v>425</v>
      </c>
      <c r="E133" s="26" t="s">
        <v>45</v>
      </c>
      <c r="F133" s="27" t="s">
        <v>45</v>
      </c>
      <c r="G133" s="28" t="s">
        <v>45</v>
      </c>
      <c r="H133" s="29"/>
      <c r="I133" s="29" t="s">
        <v>46</v>
      </c>
      <c r="J133" s="30">
        <v>1</v>
      </c>
      <c r="K133" s="31">
        <f>27125</f>
        <v>27125</v>
      </c>
      <c r="L133" s="32" t="s">
        <v>995</v>
      </c>
      <c r="M133" s="31">
        <f>28760</f>
        <v>28760</v>
      </c>
      <c r="N133" s="32" t="s">
        <v>791</v>
      </c>
      <c r="O133" s="31">
        <f>26500</f>
        <v>26500</v>
      </c>
      <c r="P133" s="32" t="s">
        <v>876</v>
      </c>
      <c r="Q133" s="31">
        <f>28605</f>
        <v>28605</v>
      </c>
      <c r="R133" s="32" t="s">
        <v>791</v>
      </c>
      <c r="S133" s="33">
        <f>27667.5</f>
        <v>27667.5</v>
      </c>
      <c r="T133" s="30">
        <f>4502</f>
        <v>4502</v>
      </c>
      <c r="U133" s="30" t="str">
        <f>"－"</f>
        <v>－</v>
      </c>
      <c r="V133" s="30">
        <f>125835055</f>
        <v>125835055</v>
      </c>
      <c r="W133" s="30" t="str">
        <f>"－"</f>
        <v>－</v>
      </c>
      <c r="X133" s="34">
        <f>22</f>
        <v>22</v>
      </c>
    </row>
    <row r="134" spans="1:24" ht="13.5" customHeight="1" x14ac:dyDescent="0.15">
      <c r="A134" s="25" t="s">
        <v>1013</v>
      </c>
      <c r="B134" s="25" t="s">
        <v>426</v>
      </c>
      <c r="C134" s="25" t="s">
        <v>427</v>
      </c>
      <c r="D134" s="25" t="s">
        <v>428</v>
      </c>
      <c r="E134" s="26" t="s">
        <v>45</v>
      </c>
      <c r="F134" s="27" t="s">
        <v>45</v>
      </c>
      <c r="G134" s="28" t="s">
        <v>45</v>
      </c>
      <c r="H134" s="29"/>
      <c r="I134" s="29" t="s">
        <v>46</v>
      </c>
      <c r="J134" s="30">
        <v>1</v>
      </c>
      <c r="K134" s="31">
        <f>27390</f>
        <v>27390</v>
      </c>
      <c r="L134" s="32" t="s">
        <v>995</v>
      </c>
      <c r="M134" s="31">
        <f>28170</f>
        <v>28170</v>
      </c>
      <c r="N134" s="32" t="s">
        <v>1004</v>
      </c>
      <c r="O134" s="31">
        <f>26440</f>
        <v>26440</v>
      </c>
      <c r="P134" s="32" t="s">
        <v>876</v>
      </c>
      <c r="Q134" s="31">
        <f>27850</f>
        <v>27850</v>
      </c>
      <c r="R134" s="32" t="s">
        <v>791</v>
      </c>
      <c r="S134" s="33">
        <f>27428.18</f>
        <v>27428.18</v>
      </c>
      <c r="T134" s="30">
        <f>4561</f>
        <v>4561</v>
      </c>
      <c r="U134" s="30" t="str">
        <f>"－"</f>
        <v>－</v>
      </c>
      <c r="V134" s="30">
        <f>126112140</f>
        <v>126112140</v>
      </c>
      <c r="W134" s="30" t="str">
        <f>"－"</f>
        <v>－</v>
      </c>
      <c r="X134" s="34">
        <f>22</f>
        <v>22</v>
      </c>
    </row>
    <row r="135" spans="1:24" ht="13.5" customHeight="1" x14ac:dyDescent="0.15">
      <c r="A135" s="25" t="s">
        <v>1013</v>
      </c>
      <c r="B135" s="25" t="s">
        <v>429</v>
      </c>
      <c r="C135" s="25" t="s">
        <v>430</v>
      </c>
      <c r="D135" s="25" t="s">
        <v>431</v>
      </c>
      <c r="E135" s="26" t="s">
        <v>45</v>
      </c>
      <c r="F135" s="27" t="s">
        <v>45</v>
      </c>
      <c r="G135" s="28" t="s">
        <v>45</v>
      </c>
      <c r="H135" s="29"/>
      <c r="I135" s="29" t="s">
        <v>46</v>
      </c>
      <c r="J135" s="30">
        <v>1</v>
      </c>
      <c r="K135" s="31">
        <f>6067</f>
        <v>6067</v>
      </c>
      <c r="L135" s="32" t="s">
        <v>995</v>
      </c>
      <c r="M135" s="31">
        <f>6247</f>
        <v>6247</v>
      </c>
      <c r="N135" s="32" t="s">
        <v>1004</v>
      </c>
      <c r="O135" s="31">
        <f>5922</f>
        <v>5922</v>
      </c>
      <c r="P135" s="32" t="s">
        <v>894</v>
      </c>
      <c r="Q135" s="31">
        <f>6169</f>
        <v>6169</v>
      </c>
      <c r="R135" s="32" t="s">
        <v>791</v>
      </c>
      <c r="S135" s="33">
        <f>6053.36</f>
        <v>6053.36</v>
      </c>
      <c r="T135" s="30">
        <f>23778</f>
        <v>23778</v>
      </c>
      <c r="U135" s="30">
        <f>2</f>
        <v>2</v>
      </c>
      <c r="V135" s="30">
        <f>144314302</f>
        <v>144314302</v>
      </c>
      <c r="W135" s="30">
        <f>12927</f>
        <v>12927</v>
      </c>
      <c r="X135" s="34">
        <f>22</f>
        <v>22</v>
      </c>
    </row>
    <row r="136" spans="1:24" ht="13.5" customHeight="1" x14ac:dyDescent="0.15">
      <c r="A136" s="25" t="s">
        <v>1013</v>
      </c>
      <c r="B136" s="25" t="s">
        <v>432</v>
      </c>
      <c r="C136" s="25" t="s">
        <v>433</v>
      </c>
      <c r="D136" s="25" t="s">
        <v>434</v>
      </c>
      <c r="E136" s="26" t="s">
        <v>45</v>
      </c>
      <c r="F136" s="27" t="s">
        <v>45</v>
      </c>
      <c r="G136" s="28" t="s">
        <v>45</v>
      </c>
      <c r="H136" s="29"/>
      <c r="I136" s="29" t="s">
        <v>46</v>
      </c>
      <c r="J136" s="30">
        <v>1</v>
      </c>
      <c r="K136" s="31">
        <f>15790</f>
        <v>15790</v>
      </c>
      <c r="L136" s="32" t="s">
        <v>995</v>
      </c>
      <c r="M136" s="31">
        <f>16440</f>
        <v>16440</v>
      </c>
      <c r="N136" s="32" t="s">
        <v>1004</v>
      </c>
      <c r="O136" s="31">
        <f>15600</f>
        <v>15600</v>
      </c>
      <c r="P136" s="32" t="s">
        <v>80</v>
      </c>
      <c r="Q136" s="31">
        <f>16235</f>
        <v>16235</v>
      </c>
      <c r="R136" s="32" t="s">
        <v>791</v>
      </c>
      <c r="S136" s="33">
        <f>15981.14</f>
        <v>15981.14</v>
      </c>
      <c r="T136" s="30">
        <f>12199</f>
        <v>12199</v>
      </c>
      <c r="U136" s="30" t="str">
        <f>"－"</f>
        <v>－</v>
      </c>
      <c r="V136" s="30">
        <f>194824545</f>
        <v>194824545</v>
      </c>
      <c r="W136" s="30" t="str">
        <f>"－"</f>
        <v>－</v>
      </c>
      <c r="X136" s="34">
        <f>22</f>
        <v>22</v>
      </c>
    </row>
    <row r="137" spans="1:24" ht="13.5" customHeight="1" x14ac:dyDescent="0.15">
      <c r="A137" s="25" t="s">
        <v>1013</v>
      </c>
      <c r="B137" s="25" t="s">
        <v>435</v>
      </c>
      <c r="C137" s="25" t="s">
        <v>436</v>
      </c>
      <c r="D137" s="25" t="s">
        <v>437</v>
      </c>
      <c r="E137" s="26" t="s">
        <v>45</v>
      </c>
      <c r="F137" s="27" t="s">
        <v>45</v>
      </c>
      <c r="G137" s="28" t="s">
        <v>45</v>
      </c>
      <c r="H137" s="29"/>
      <c r="I137" s="29" t="s">
        <v>46</v>
      </c>
      <c r="J137" s="30">
        <v>1</v>
      </c>
      <c r="K137" s="31">
        <f>52350</f>
        <v>52350</v>
      </c>
      <c r="L137" s="32" t="s">
        <v>995</v>
      </c>
      <c r="M137" s="31">
        <f>56340</f>
        <v>56340</v>
      </c>
      <c r="N137" s="32" t="s">
        <v>1004</v>
      </c>
      <c r="O137" s="31">
        <f>51070</f>
        <v>51070</v>
      </c>
      <c r="P137" s="32" t="s">
        <v>876</v>
      </c>
      <c r="Q137" s="31">
        <f>55050</f>
        <v>55050</v>
      </c>
      <c r="R137" s="32" t="s">
        <v>791</v>
      </c>
      <c r="S137" s="33">
        <f>53501.82</f>
        <v>53501.82</v>
      </c>
      <c r="T137" s="30">
        <f>12043</f>
        <v>12043</v>
      </c>
      <c r="U137" s="30">
        <f>2500</f>
        <v>2500</v>
      </c>
      <c r="V137" s="30">
        <f>636960365</f>
        <v>636960365</v>
      </c>
      <c r="W137" s="30">
        <f>128733575</f>
        <v>128733575</v>
      </c>
      <c r="X137" s="34">
        <f>22</f>
        <v>22</v>
      </c>
    </row>
    <row r="138" spans="1:24" ht="13.5" customHeight="1" x14ac:dyDescent="0.15">
      <c r="A138" s="25" t="s">
        <v>1013</v>
      </c>
      <c r="B138" s="25" t="s">
        <v>438</v>
      </c>
      <c r="C138" s="25" t="s">
        <v>439</v>
      </c>
      <c r="D138" s="25" t="s">
        <v>440</v>
      </c>
      <c r="E138" s="26" t="s">
        <v>45</v>
      </c>
      <c r="F138" s="27" t="s">
        <v>45</v>
      </c>
      <c r="G138" s="28" t="s">
        <v>45</v>
      </c>
      <c r="H138" s="29"/>
      <c r="I138" s="29" t="s">
        <v>46</v>
      </c>
      <c r="J138" s="30">
        <v>1</v>
      </c>
      <c r="K138" s="31">
        <f>22990</f>
        <v>22990</v>
      </c>
      <c r="L138" s="32" t="s">
        <v>995</v>
      </c>
      <c r="M138" s="31">
        <f>24300</f>
        <v>24300</v>
      </c>
      <c r="N138" s="32" t="s">
        <v>1004</v>
      </c>
      <c r="O138" s="31">
        <f>22620</f>
        <v>22620</v>
      </c>
      <c r="P138" s="32" t="s">
        <v>876</v>
      </c>
      <c r="Q138" s="31">
        <f>23530</f>
        <v>23530</v>
      </c>
      <c r="R138" s="32" t="s">
        <v>791</v>
      </c>
      <c r="S138" s="33">
        <f>23281.82</f>
        <v>23281.82</v>
      </c>
      <c r="T138" s="30">
        <f>1839</f>
        <v>1839</v>
      </c>
      <c r="U138" s="30" t="str">
        <f>"－"</f>
        <v>－</v>
      </c>
      <c r="V138" s="30">
        <f>42595895</f>
        <v>42595895</v>
      </c>
      <c r="W138" s="30" t="str">
        <f>"－"</f>
        <v>－</v>
      </c>
      <c r="X138" s="34">
        <f>22</f>
        <v>22</v>
      </c>
    </row>
    <row r="139" spans="1:24" ht="13.5" customHeight="1" x14ac:dyDescent="0.15">
      <c r="A139" s="25" t="s">
        <v>1013</v>
      </c>
      <c r="B139" s="25" t="s">
        <v>441</v>
      </c>
      <c r="C139" s="25" t="s">
        <v>442</v>
      </c>
      <c r="D139" s="25" t="s">
        <v>443</v>
      </c>
      <c r="E139" s="26" t="s">
        <v>45</v>
      </c>
      <c r="F139" s="27" t="s">
        <v>45</v>
      </c>
      <c r="G139" s="28" t="s">
        <v>45</v>
      </c>
      <c r="H139" s="29"/>
      <c r="I139" s="29" t="s">
        <v>46</v>
      </c>
      <c r="J139" s="30">
        <v>1</v>
      </c>
      <c r="K139" s="31">
        <f>11465</f>
        <v>11465</v>
      </c>
      <c r="L139" s="32" t="s">
        <v>995</v>
      </c>
      <c r="M139" s="31">
        <f>11970</f>
        <v>11970</v>
      </c>
      <c r="N139" s="32" t="s">
        <v>1004</v>
      </c>
      <c r="O139" s="31">
        <f>9735</f>
        <v>9735</v>
      </c>
      <c r="P139" s="32" t="s">
        <v>876</v>
      </c>
      <c r="Q139" s="31">
        <f>10410</f>
        <v>10410</v>
      </c>
      <c r="R139" s="32" t="s">
        <v>791</v>
      </c>
      <c r="S139" s="33">
        <f>10710.23</f>
        <v>10710.23</v>
      </c>
      <c r="T139" s="30">
        <f>114837</f>
        <v>114837</v>
      </c>
      <c r="U139" s="30">
        <f>1</f>
        <v>1</v>
      </c>
      <c r="V139" s="30">
        <f>1197610265</f>
        <v>1197610265</v>
      </c>
      <c r="W139" s="30">
        <f>10145</f>
        <v>10145</v>
      </c>
      <c r="X139" s="34">
        <f>22</f>
        <v>22</v>
      </c>
    </row>
    <row r="140" spans="1:24" ht="13.5" customHeight="1" x14ac:dyDescent="0.15">
      <c r="A140" s="25" t="s">
        <v>1013</v>
      </c>
      <c r="B140" s="25" t="s">
        <v>444</v>
      </c>
      <c r="C140" s="25" t="s">
        <v>445</v>
      </c>
      <c r="D140" s="25" t="s">
        <v>446</v>
      </c>
      <c r="E140" s="26" t="s">
        <v>45</v>
      </c>
      <c r="F140" s="27" t="s">
        <v>45</v>
      </c>
      <c r="G140" s="28" t="s">
        <v>45</v>
      </c>
      <c r="H140" s="29"/>
      <c r="I140" s="29" t="s">
        <v>46</v>
      </c>
      <c r="J140" s="30">
        <v>1</v>
      </c>
      <c r="K140" s="31">
        <f>16300</f>
        <v>16300</v>
      </c>
      <c r="L140" s="32" t="s">
        <v>995</v>
      </c>
      <c r="M140" s="31">
        <f>17000</f>
        <v>17000</v>
      </c>
      <c r="N140" s="32" t="s">
        <v>875</v>
      </c>
      <c r="O140" s="31">
        <f>14355</f>
        <v>14355</v>
      </c>
      <c r="P140" s="32" t="s">
        <v>80</v>
      </c>
      <c r="Q140" s="31">
        <f>15075</f>
        <v>15075</v>
      </c>
      <c r="R140" s="32" t="s">
        <v>791</v>
      </c>
      <c r="S140" s="33">
        <f>15386.82</f>
        <v>15386.82</v>
      </c>
      <c r="T140" s="30">
        <f>13250</f>
        <v>13250</v>
      </c>
      <c r="U140" s="30" t="str">
        <f>"－"</f>
        <v>－</v>
      </c>
      <c r="V140" s="30">
        <f>203137170</f>
        <v>203137170</v>
      </c>
      <c r="W140" s="30" t="str">
        <f>"－"</f>
        <v>－</v>
      </c>
      <c r="X140" s="34">
        <f>22</f>
        <v>22</v>
      </c>
    </row>
    <row r="141" spans="1:24" ht="13.5" customHeight="1" x14ac:dyDescent="0.15">
      <c r="A141" s="25" t="s">
        <v>1013</v>
      </c>
      <c r="B141" s="25" t="s">
        <v>447</v>
      </c>
      <c r="C141" s="25" t="s">
        <v>448</v>
      </c>
      <c r="D141" s="25" t="s">
        <v>449</v>
      </c>
      <c r="E141" s="26" t="s">
        <v>45</v>
      </c>
      <c r="F141" s="27" t="s">
        <v>45</v>
      </c>
      <c r="G141" s="28" t="s">
        <v>45</v>
      </c>
      <c r="H141" s="29"/>
      <c r="I141" s="29" t="s">
        <v>46</v>
      </c>
      <c r="J141" s="30">
        <v>1</v>
      </c>
      <c r="K141" s="31">
        <f>28710</f>
        <v>28710</v>
      </c>
      <c r="L141" s="32" t="s">
        <v>995</v>
      </c>
      <c r="M141" s="31">
        <f>29300</f>
        <v>29300</v>
      </c>
      <c r="N141" s="32" t="s">
        <v>1004</v>
      </c>
      <c r="O141" s="31">
        <f>26760</f>
        <v>26760</v>
      </c>
      <c r="P141" s="32" t="s">
        <v>793</v>
      </c>
      <c r="Q141" s="31">
        <f>28025</f>
        <v>28025</v>
      </c>
      <c r="R141" s="32" t="s">
        <v>791</v>
      </c>
      <c r="S141" s="33">
        <f>27981.82</f>
        <v>27981.82</v>
      </c>
      <c r="T141" s="30">
        <f>2248</f>
        <v>2248</v>
      </c>
      <c r="U141" s="30" t="str">
        <f>"－"</f>
        <v>－</v>
      </c>
      <c r="V141" s="30">
        <f>62846960</f>
        <v>62846960</v>
      </c>
      <c r="W141" s="30" t="str">
        <f>"－"</f>
        <v>－</v>
      </c>
      <c r="X141" s="34">
        <f>22</f>
        <v>22</v>
      </c>
    </row>
    <row r="142" spans="1:24" ht="13.5" customHeight="1" x14ac:dyDescent="0.15">
      <c r="A142" s="25" t="s">
        <v>1013</v>
      </c>
      <c r="B142" s="25" t="s">
        <v>450</v>
      </c>
      <c r="C142" s="25" t="s">
        <v>451</v>
      </c>
      <c r="D142" s="25" t="s">
        <v>452</v>
      </c>
      <c r="E142" s="26" t="s">
        <v>45</v>
      </c>
      <c r="F142" s="27" t="s">
        <v>45</v>
      </c>
      <c r="G142" s="28" t="s">
        <v>45</v>
      </c>
      <c r="H142" s="29"/>
      <c r="I142" s="29" t="s">
        <v>46</v>
      </c>
      <c r="J142" s="30">
        <v>10</v>
      </c>
      <c r="K142" s="31">
        <f>1340</f>
        <v>1340</v>
      </c>
      <c r="L142" s="32" t="s">
        <v>995</v>
      </c>
      <c r="M142" s="31">
        <f>1396</f>
        <v>1396</v>
      </c>
      <c r="N142" s="32" t="s">
        <v>1004</v>
      </c>
      <c r="O142" s="31">
        <f>1257.5</f>
        <v>1257.5</v>
      </c>
      <c r="P142" s="32" t="s">
        <v>876</v>
      </c>
      <c r="Q142" s="31">
        <f>1334</f>
        <v>1334</v>
      </c>
      <c r="R142" s="32" t="s">
        <v>791</v>
      </c>
      <c r="S142" s="33">
        <f>1322.48</f>
        <v>1322.48</v>
      </c>
      <c r="T142" s="30">
        <f>2924370</f>
        <v>2924370</v>
      </c>
      <c r="U142" s="30">
        <f>736760</f>
        <v>736760</v>
      </c>
      <c r="V142" s="30">
        <f>3766424772</f>
        <v>3766424772</v>
      </c>
      <c r="W142" s="30">
        <f>948469857</f>
        <v>948469857</v>
      </c>
      <c r="X142" s="34">
        <f>22</f>
        <v>22</v>
      </c>
    </row>
    <row r="143" spans="1:24" ht="13.5" customHeight="1" x14ac:dyDescent="0.15">
      <c r="A143" s="25" t="s">
        <v>1013</v>
      </c>
      <c r="B143" s="25" t="s">
        <v>453</v>
      </c>
      <c r="C143" s="25" t="s">
        <v>454</v>
      </c>
      <c r="D143" s="25" t="s">
        <v>455</v>
      </c>
      <c r="E143" s="26" t="s">
        <v>45</v>
      </c>
      <c r="F143" s="27" t="s">
        <v>45</v>
      </c>
      <c r="G143" s="28" t="s">
        <v>45</v>
      </c>
      <c r="H143" s="29"/>
      <c r="I143" s="29" t="s">
        <v>46</v>
      </c>
      <c r="J143" s="30">
        <v>10</v>
      </c>
      <c r="K143" s="31">
        <f>2352</f>
        <v>2352</v>
      </c>
      <c r="L143" s="32" t="s">
        <v>78</v>
      </c>
      <c r="M143" s="31">
        <f>2382.5</f>
        <v>2382.5</v>
      </c>
      <c r="N143" s="32" t="s">
        <v>1004</v>
      </c>
      <c r="O143" s="31">
        <f>2254</f>
        <v>2254</v>
      </c>
      <c r="P143" s="32" t="s">
        <v>1005</v>
      </c>
      <c r="Q143" s="31">
        <f>2263.5</f>
        <v>2263.5</v>
      </c>
      <c r="R143" s="32" t="s">
        <v>793</v>
      </c>
      <c r="S143" s="33">
        <f>2325.5</f>
        <v>2325.5</v>
      </c>
      <c r="T143" s="30">
        <f>48660</f>
        <v>48660</v>
      </c>
      <c r="U143" s="30" t="str">
        <f>"－"</f>
        <v>－</v>
      </c>
      <c r="V143" s="30">
        <f>115579380</f>
        <v>115579380</v>
      </c>
      <c r="W143" s="30" t="str">
        <f>"－"</f>
        <v>－</v>
      </c>
      <c r="X143" s="34">
        <f>7</f>
        <v>7</v>
      </c>
    </row>
    <row r="144" spans="1:24" ht="13.5" customHeight="1" x14ac:dyDescent="0.15">
      <c r="A144" s="25" t="s">
        <v>1013</v>
      </c>
      <c r="B144" s="25" t="s">
        <v>456</v>
      </c>
      <c r="C144" s="25" t="s">
        <v>457</v>
      </c>
      <c r="D144" s="25" t="s">
        <v>458</v>
      </c>
      <c r="E144" s="26" t="s">
        <v>45</v>
      </c>
      <c r="F144" s="27" t="s">
        <v>45</v>
      </c>
      <c r="G144" s="28" t="s">
        <v>45</v>
      </c>
      <c r="H144" s="29"/>
      <c r="I144" s="29" t="s">
        <v>46</v>
      </c>
      <c r="J144" s="30">
        <v>10</v>
      </c>
      <c r="K144" s="31">
        <f>2499</f>
        <v>2499</v>
      </c>
      <c r="L144" s="32" t="s">
        <v>995</v>
      </c>
      <c r="M144" s="31">
        <f>2596</f>
        <v>2596</v>
      </c>
      <c r="N144" s="32" t="s">
        <v>1004</v>
      </c>
      <c r="O144" s="31">
        <f>2395.5</f>
        <v>2395.5</v>
      </c>
      <c r="P144" s="32" t="s">
        <v>876</v>
      </c>
      <c r="Q144" s="31">
        <f>2535</f>
        <v>2535</v>
      </c>
      <c r="R144" s="32" t="s">
        <v>791</v>
      </c>
      <c r="S144" s="33">
        <f>2498.45</f>
        <v>2498.4499999999998</v>
      </c>
      <c r="T144" s="30">
        <f>432370</f>
        <v>432370</v>
      </c>
      <c r="U144" s="30">
        <f>326000</f>
        <v>326000</v>
      </c>
      <c r="V144" s="30">
        <f>1078293440</f>
        <v>1078293440</v>
      </c>
      <c r="W144" s="30">
        <f>814513000</f>
        <v>814513000</v>
      </c>
      <c r="X144" s="34">
        <f>19</f>
        <v>19</v>
      </c>
    </row>
    <row r="145" spans="1:24" ht="13.5" customHeight="1" x14ac:dyDescent="0.15">
      <c r="A145" s="25" t="s">
        <v>1013</v>
      </c>
      <c r="B145" s="25" t="s">
        <v>459</v>
      </c>
      <c r="C145" s="25" t="s">
        <v>460</v>
      </c>
      <c r="D145" s="25" t="s">
        <v>461</v>
      </c>
      <c r="E145" s="26" t="s">
        <v>45</v>
      </c>
      <c r="F145" s="27" t="s">
        <v>45</v>
      </c>
      <c r="G145" s="28" t="s">
        <v>45</v>
      </c>
      <c r="H145" s="29"/>
      <c r="I145" s="29" t="s">
        <v>46</v>
      </c>
      <c r="J145" s="30">
        <v>10</v>
      </c>
      <c r="K145" s="31">
        <f>1562</f>
        <v>1562</v>
      </c>
      <c r="L145" s="32" t="s">
        <v>995</v>
      </c>
      <c r="M145" s="31">
        <f>1629</f>
        <v>1629</v>
      </c>
      <c r="N145" s="32" t="s">
        <v>1004</v>
      </c>
      <c r="O145" s="31">
        <f>1497</f>
        <v>1497</v>
      </c>
      <c r="P145" s="32" t="s">
        <v>876</v>
      </c>
      <c r="Q145" s="31">
        <f>1587</f>
        <v>1587</v>
      </c>
      <c r="R145" s="32" t="s">
        <v>791</v>
      </c>
      <c r="S145" s="33">
        <f>1563.75</f>
        <v>1563.75</v>
      </c>
      <c r="T145" s="30">
        <f>74440</f>
        <v>74440</v>
      </c>
      <c r="U145" s="30">
        <f>64000</f>
        <v>64000</v>
      </c>
      <c r="V145" s="30">
        <f>114780955</f>
        <v>114780955</v>
      </c>
      <c r="W145" s="30">
        <f>98457600</f>
        <v>98457600</v>
      </c>
      <c r="X145" s="34">
        <f>14</f>
        <v>14</v>
      </c>
    </row>
    <row r="146" spans="1:24" ht="13.5" customHeight="1" x14ac:dyDescent="0.15">
      <c r="A146" s="25" t="s">
        <v>1013</v>
      </c>
      <c r="B146" s="25" t="s">
        <v>462</v>
      </c>
      <c r="C146" s="25" t="s">
        <v>463</v>
      </c>
      <c r="D146" s="25" t="s">
        <v>464</v>
      </c>
      <c r="E146" s="26" t="s">
        <v>45</v>
      </c>
      <c r="F146" s="27" t="s">
        <v>45</v>
      </c>
      <c r="G146" s="28" t="s">
        <v>45</v>
      </c>
      <c r="H146" s="29"/>
      <c r="I146" s="29" t="s">
        <v>46</v>
      </c>
      <c r="J146" s="30">
        <v>10</v>
      </c>
      <c r="K146" s="31">
        <f>387.8</f>
        <v>387.8</v>
      </c>
      <c r="L146" s="32" t="s">
        <v>995</v>
      </c>
      <c r="M146" s="31">
        <f>396.7</f>
        <v>396.7</v>
      </c>
      <c r="N146" s="32" t="s">
        <v>1003</v>
      </c>
      <c r="O146" s="31">
        <f>369.1</f>
        <v>369.1</v>
      </c>
      <c r="P146" s="32" t="s">
        <v>793</v>
      </c>
      <c r="Q146" s="31">
        <f>388</f>
        <v>388</v>
      </c>
      <c r="R146" s="32" t="s">
        <v>791</v>
      </c>
      <c r="S146" s="33">
        <f>382.06</f>
        <v>382.06</v>
      </c>
      <c r="T146" s="30">
        <f>47348700</f>
        <v>47348700</v>
      </c>
      <c r="U146" s="30">
        <f>1311210</f>
        <v>1311210</v>
      </c>
      <c r="V146" s="30">
        <f>17967436435</f>
        <v>17967436435</v>
      </c>
      <c r="W146" s="30">
        <f>490569784</f>
        <v>490569784</v>
      </c>
      <c r="X146" s="34">
        <f>22</f>
        <v>22</v>
      </c>
    </row>
    <row r="147" spans="1:24" ht="13.5" customHeight="1" x14ac:dyDescent="0.15">
      <c r="A147" s="25" t="s">
        <v>1013</v>
      </c>
      <c r="B147" s="25" t="s">
        <v>465</v>
      </c>
      <c r="C147" s="25" t="s">
        <v>466</v>
      </c>
      <c r="D147" s="25" t="s">
        <v>467</v>
      </c>
      <c r="E147" s="26" t="s">
        <v>45</v>
      </c>
      <c r="F147" s="27" t="s">
        <v>45</v>
      </c>
      <c r="G147" s="28" t="s">
        <v>45</v>
      </c>
      <c r="H147" s="29"/>
      <c r="I147" s="29" t="s">
        <v>46</v>
      </c>
      <c r="J147" s="30">
        <v>10</v>
      </c>
      <c r="K147" s="31">
        <f>269.2</f>
        <v>269.2</v>
      </c>
      <c r="L147" s="32" t="s">
        <v>995</v>
      </c>
      <c r="M147" s="31">
        <f>273.5</f>
        <v>273.5</v>
      </c>
      <c r="N147" s="32" t="s">
        <v>876</v>
      </c>
      <c r="O147" s="31">
        <f>267.3</f>
        <v>267.3</v>
      </c>
      <c r="P147" s="32" t="s">
        <v>996</v>
      </c>
      <c r="Q147" s="31">
        <f>271.8</f>
        <v>271.8</v>
      </c>
      <c r="R147" s="32" t="s">
        <v>791</v>
      </c>
      <c r="S147" s="33">
        <f>270.4</f>
        <v>270.39999999999998</v>
      </c>
      <c r="T147" s="30">
        <f>19338660</f>
        <v>19338660</v>
      </c>
      <c r="U147" s="30">
        <f>16924110</f>
        <v>16924110</v>
      </c>
      <c r="V147" s="30">
        <f>5217073342</f>
        <v>5217073342</v>
      </c>
      <c r="W147" s="30">
        <f>4562101808</f>
        <v>4562101808</v>
      </c>
      <c r="X147" s="34">
        <f>22</f>
        <v>22</v>
      </c>
    </row>
    <row r="148" spans="1:24" ht="13.5" customHeight="1" x14ac:dyDescent="0.15">
      <c r="A148" s="25" t="s">
        <v>1013</v>
      </c>
      <c r="B148" s="25" t="s">
        <v>468</v>
      </c>
      <c r="C148" s="25" t="s">
        <v>469</v>
      </c>
      <c r="D148" s="25" t="s">
        <v>470</v>
      </c>
      <c r="E148" s="26" t="s">
        <v>45</v>
      </c>
      <c r="F148" s="27" t="s">
        <v>45</v>
      </c>
      <c r="G148" s="28" t="s">
        <v>45</v>
      </c>
      <c r="H148" s="29"/>
      <c r="I148" s="29" t="s">
        <v>46</v>
      </c>
      <c r="J148" s="30">
        <v>1</v>
      </c>
      <c r="K148" s="31">
        <f>3430</f>
        <v>3430</v>
      </c>
      <c r="L148" s="32" t="s">
        <v>995</v>
      </c>
      <c r="M148" s="31">
        <f>3495</f>
        <v>3495</v>
      </c>
      <c r="N148" s="32" t="s">
        <v>1003</v>
      </c>
      <c r="O148" s="31">
        <f>3240</f>
        <v>3240</v>
      </c>
      <c r="P148" s="32" t="s">
        <v>80</v>
      </c>
      <c r="Q148" s="31">
        <f>3420</f>
        <v>3420</v>
      </c>
      <c r="R148" s="32" t="s">
        <v>791</v>
      </c>
      <c r="S148" s="33">
        <f>3363.41</f>
        <v>3363.41</v>
      </c>
      <c r="T148" s="30">
        <f>188610</f>
        <v>188610</v>
      </c>
      <c r="U148" s="30">
        <f>47915</f>
        <v>47915</v>
      </c>
      <c r="V148" s="30">
        <f>622875777</f>
        <v>622875777</v>
      </c>
      <c r="W148" s="30">
        <f>160302472</f>
        <v>160302472</v>
      </c>
      <c r="X148" s="34">
        <f>22</f>
        <v>22</v>
      </c>
    </row>
    <row r="149" spans="1:24" ht="13.5" customHeight="1" x14ac:dyDescent="0.15">
      <c r="A149" s="25" t="s">
        <v>1013</v>
      </c>
      <c r="B149" s="25" t="s">
        <v>471</v>
      </c>
      <c r="C149" s="25" t="s">
        <v>472</v>
      </c>
      <c r="D149" s="25" t="s">
        <v>473</v>
      </c>
      <c r="E149" s="26" t="s">
        <v>45</v>
      </c>
      <c r="F149" s="27" t="s">
        <v>45</v>
      </c>
      <c r="G149" s="28" t="s">
        <v>45</v>
      </c>
      <c r="H149" s="29"/>
      <c r="I149" s="29" t="s">
        <v>46</v>
      </c>
      <c r="J149" s="30">
        <v>1</v>
      </c>
      <c r="K149" s="31">
        <f>2161</f>
        <v>2161</v>
      </c>
      <c r="L149" s="32" t="s">
        <v>995</v>
      </c>
      <c r="M149" s="31">
        <f>2244</f>
        <v>2244</v>
      </c>
      <c r="N149" s="32" t="s">
        <v>1003</v>
      </c>
      <c r="O149" s="31">
        <f>2050</f>
        <v>2050</v>
      </c>
      <c r="P149" s="32" t="s">
        <v>80</v>
      </c>
      <c r="Q149" s="31">
        <f>2170</f>
        <v>2170</v>
      </c>
      <c r="R149" s="32" t="s">
        <v>791</v>
      </c>
      <c r="S149" s="33">
        <f>2147.59</f>
        <v>2147.59</v>
      </c>
      <c r="T149" s="30">
        <f>77018</f>
        <v>77018</v>
      </c>
      <c r="U149" s="30" t="str">
        <f>"－"</f>
        <v>－</v>
      </c>
      <c r="V149" s="30">
        <f>163949405</f>
        <v>163949405</v>
      </c>
      <c r="W149" s="30" t="str">
        <f>"－"</f>
        <v>－</v>
      </c>
      <c r="X149" s="34">
        <f>22</f>
        <v>22</v>
      </c>
    </row>
    <row r="150" spans="1:24" ht="13.5" customHeight="1" x14ac:dyDescent="0.15">
      <c r="A150" s="25" t="s">
        <v>1013</v>
      </c>
      <c r="B150" s="25" t="s">
        <v>474</v>
      </c>
      <c r="C150" s="25" t="s">
        <v>475</v>
      </c>
      <c r="D150" s="25" t="s">
        <v>476</v>
      </c>
      <c r="E150" s="26" t="s">
        <v>45</v>
      </c>
      <c r="F150" s="27" t="s">
        <v>45</v>
      </c>
      <c r="G150" s="28" t="s">
        <v>45</v>
      </c>
      <c r="H150" s="29"/>
      <c r="I150" s="29" t="s">
        <v>46</v>
      </c>
      <c r="J150" s="30">
        <v>1</v>
      </c>
      <c r="K150" s="31">
        <f>2626</f>
        <v>2626</v>
      </c>
      <c r="L150" s="32" t="s">
        <v>995</v>
      </c>
      <c r="M150" s="31">
        <f>2665</f>
        <v>2665</v>
      </c>
      <c r="N150" s="32" t="s">
        <v>1003</v>
      </c>
      <c r="O150" s="31">
        <f>2238</f>
        <v>2238</v>
      </c>
      <c r="P150" s="32" t="s">
        <v>793</v>
      </c>
      <c r="Q150" s="31">
        <f>2435</f>
        <v>2435</v>
      </c>
      <c r="R150" s="32" t="s">
        <v>791</v>
      </c>
      <c r="S150" s="33">
        <f>2478.68</f>
        <v>2478.6799999999998</v>
      </c>
      <c r="T150" s="30">
        <f>357326</f>
        <v>357326</v>
      </c>
      <c r="U150" s="30">
        <f>101</f>
        <v>101</v>
      </c>
      <c r="V150" s="30">
        <f>855074579</f>
        <v>855074579</v>
      </c>
      <c r="W150" s="30">
        <f>235624</f>
        <v>235624</v>
      </c>
      <c r="X150" s="34">
        <f>22</f>
        <v>22</v>
      </c>
    </row>
    <row r="151" spans="1:24" ht="13.5" customHeight="1" x14ac:dyDescent="0.15">
      <c r="A151" s="25" t="s">
        <v>1013</v>
      </c>
      <c r="B151" s="25" t="s">
        <v>477</v>
      </c>
      <c r="C151" s="25" t="s">
        <v>478</v>
      </c>
      <c r="D151" s="25" t="s">
        <v>479</v>
      </c>
      <c r="E151" s="26" t="s">
        <v>45</v>
      </c>
      <c r="F151" s="27" t="s">
        <v>45</v>
      </c>
      <c r="G151" s="28" t="s">
        <v>45</v>
      </c>
      <c r="H151" s="29"/>
      <c r="I151" s="29" t="s">
        <v>46</v>
      </c>
      <c r="J151" s="30">
        <v>1</v>
      </c>
      <c r="K151" s="31">
        <f>10515</f>
        <v>10515</v>
      </c>
      <c r="L151" s="32" t="s">
        <v>995</v>
      </c>
      <c r="M151" s="31">
        <f>10550</f>
        <v>10550</v>
      </c>
      <c r="N151" s="32" t="s">
        <v>996</v>
      </c>
      <c r="O151" s="31">
        <f>9935</f>
        <v>9935</v>
      </c>
      <c r="P151" s="32" t="s">
        <v>80</v>
      </c>
      <c r="Q151" s="31">
        <f>10175</f>
        <v>10175</v>
      </c>
      <c r="R151" s="32" t="s">
        <v>791</v>
      </c>
      <c r="S151" s="33">
        <f>10239.86</f>
        <v>10239.86</v>
      </c>
      <c r="T151" s="30">
        <f>132804</f>
        <v>132804</v>
      </c>
      <c r="U151" s="30">
        <f>81961</f>
        <v>81961</v>
      </c>
      <c r="V151" s="30">
        <f>1369782493</f>
        <v>1369782493</v>
      </c>
      <c r="W151" s="30">
        <f>849495801</f>
        <v>849495801</v>
      </c>
      <c r="X151" s="34">
        <f>22</f>
        <v>22</v>
      </c>
    </row>
    <row r="152" spans="1:24" ht="13.5" customHeight="1" x14ac:dyDescent="0.15">
      <c r="A152" s="25" t="s">
        <v>1013</v>
      </c>
      <c r="B152" s="25" t="s">
        <v>480</v>
      </c>
      <c r="C152" s="25" t="s">
        <v>481</v>
      </c>
      <c r="D152" s="25" t="s">
        <v>482</v>
      </c>
      <c r="E152" s="26" t="s">
        <v>45</v>
      </c>
      <c r="F152" s="27" t="s">
        <v>45</v>
      </c>
      <c r="G152" s="28" t="s">
        <v>45</v>
      </c>
      <c r="H152" s="29"/>
      <c r="I152" s="29" t="s">
        <v>46</v>
      </c>
      <c r="J152" s="30">
        <v>1</v>
      </c>
      <c r="K152" s="31">
        <f>2519</f>
        <v>2519</v>
      </c>
      <c r="L152" s="32" t="s">
        <v>995</v>
      </c>
      <c r="M152" s="31">
        <f>2651</f>
        <v>2651</v>
      </c>
      <c r="N152" s="32" t="s">
        <v>1003</v>
      </c>
      <c r="O152" s="31">
        <f>2105</f>
        <v>2105</v>
      </c>
      <c r="P152" s="32" t="s">
        <v>80</v>
      </c>
      <c r="Q152" s="31">
        <f>2383</f>
        <v>2383</v>
      </c>
      <c r="R152" s="32" t="s">
        <v>791</v>
      </c>
      <c r="S152" s="33">
        <f>2383.36</f>
        <v>2383.36</v>
      </c>
      <c r="T152" s="30">
        <f>10180782</f>
        <v>10180782</v>
      </c>
      <c r="U152" s="30">
        <f>200</f>
        <v>200</v>
      </c>
      <c r="V152" s="30">
        <f>23813082024</f>
        <v>23813082024</v>
      </c>
      <c r="W152" s="30">
        <f>440400</f>
        <v>440400</v>
      </c>
      <c r="X152" s="34">
        <f>22</f>
        <v>22</v>
      </c>
    </row>
    <row r="153" spans="1:24" ht="13.5" customHeight="1" x14ac:dyDescent="0.15">
      <c r="A153" s="25" t="s">
        <v>1013</v>
      </c>
      <c r="B153" s="25" t="s">
        <v>483</v>
      </c>
      <c r="C153" s="25" t="s">
        <v>484</v>
      </c>
      <c r="D153" s="25" t="s">
        <v>485</v>
      </c>
      <c r="E153" s="26" t="s">
        <v>45</v>
      </c>
      <c r="F153" s="27" t="s">
        <v>45</v>
      </c>
      <c r="G153" s="28" t="s">
        <v>45</v>
      </c>
      <c r="H153" s="29"/>
      <c r="I153" s="29" t="s">
        <v>46</v>
      </c>
      <c r="J153" s="30">
        <v>1</v>
      </c>
      <c r="K153" s="31">
        <f>23350</f>
        <v>23350</v>
      </c>
      <c r="L153" s="32" t="s">
        <v>995</v>
      </c>
      <c r="M153" s="31">
        <f>25000</f>
        <v>25000</v>
      </c>
      <c r="N153" s="32" t="s">
        <v>791</v>
      </c>
      <c r="O153" s="31">
        <f>23350</f>
        <v>23350</v>
      </c>
      <c r="P153" s="32" t="s">
        <v>995</v>
      </c>
      <c r="Q153" s="31">
        <f>24760</f>
        <v>24760</v>
      </c>
      <c r="R153" s="32" t="s">
        <v>791</v>
      </c>
      <c r="S153" s="33">
        <f>23960</f>
        <v>23960</v>
      </c>
      <c r="T153" s="30">
        <f>4471</f>
        <v>4471</v>
      </c>
      <c r="U153" s="30" t="str">
        <f>"－"</f>
        <v>－</v>
      </c>
      <c r="V153" s="30">
        <f>107794945</f>
        <v>107794945</v>
      </c>
      <c r="W153" s="30" t="str">
        <f>"－"</f>
        <v>－</v>
      </c>
      <c r="X153" s="34">
        <f>22</f>
        <v>22</v>
      </c>
    </row>
    <row r="154" spans="1:24" ht="13.5" customHeight="1" x14ac:dyDescent="0.15">
      <c r="A154" s="25" t="s">
        <v>1013</v>
      </c>
      <c r="B154" s="25" t="s">
        <v>486</v>
      </c>
      <c r="C154" s="25" t="s">
        <v>487</v>
      </c>
      <c r="D154" s="25" t="s">
        <v>488</v>
      </c>
      <c r="E154" s="26" t="s">
        <v>45</v>
      </c>
      <c r="F154" s="27" t="s">
        <v>45</v>
      </c>
      <c r="G154" s="28" t="s">
        <v>45</v>
      </c>
      <c r="H154" s="29"/>
      <c r="I154" s="29" t="s">
        <v>46</v>
      </c>
      <c r="J154" s="30">
        <v>10</v>
      </c>
      <c r="K154" s="31">
        <f>2639</f>
        <v>2639</v>
      </c>
      <c r="L154" s="32" t="s">
        <v>995</v>
      </c>
      <c r="M154" s="31">
        <f>2940</f>
        <v>2940</v>
      </c>
      <c r="N154" s="32" t="s">
        <v>791</v>
      </c>
      <c r="O154" s="31">
        <f>2522.5</f>
        <v>2522.5</v>
      </c>
      <c r="P154" s="32" t="s">
        <v>1004</v>
      </c>
      <c r="Q154" s="31">
        <f>2930.5</f>
        <v>2930.5</v>
      </c>
      <c r="R154" s="32" t="s">
        <v>791</v>
      </c>
      <c r="S154" s="33">
        <f>2708.02</f>
        <v>2708.02</v>
      </c>
      <c r="T154" s="30">
        <f>34460</f>
        <v>34460</v>
      </c>
      <c r="U154" s="30" t="str">
        <f>"－"</f>
        <v>－</v>
      </c>
      <c r="V154" s="30">
        <f>93428670</f>
        <v>93428670</v>
      </c>
      <c r="W154" s="30" t="str">
        <f>"－"</f>
        <v>－</v>
      </c>
      <c r="X154" s="34">
        <f>22</f>
        <v>22</v>
      </c>
    </row>
    <row r="155" spans="1:24" ht="13.5" customHeight="1" x14ac:dyDescent="0.15">
      <c r="A155" s="25" t="s">
        <v>1013</v>
      </c>
      <c r="B155" s="25" t="s">
        <v>489</v>
      </c>
      <c r="C155" s="25" t="s">
        <v>490</v>
      </c>
      <c r="D155" s="25" t="s">
        <v>491</v>
      </c>
      <c r="E155" s="26" t="s">
        <v>45</v>
      </c>
      <c r="F155" s="27" t="s">
        <v>45</v>
      </c>
      <c r="G155" s="28" t="s">
        <v>45</v>
      </c>
      <c r="H155" s="29"/>
      <c r="I155" s="29" t="s">
        <v>46</v>
      </c>
      <c r="J155" s="30">
        <v>1</v>
      </c>
      <c r="K155" s="31">
        <f>12045</f>
        <v>12045</v>
      </c>
      <c r="L155" s="32" t="s">
        <v>995</v>
      </c>
      <c r="M155" s="31">
        <f>12650</f>
        <v>12650</v>
      </c>
      <c r="N155" s="32" t="s">
        <v>996</v>
      </c>
      <c r="O155" s="31">
        <f>11800</f>
        <v>11800</v>
      </c>
      <c r="P155" s="32" t="s">
        <v>1017</v>
      </c>
      <c r="Q155" s="31">
        <f>12115</f>
        <v>12115</v>
      </c>
      <c r="R155" s="32" t="s">
        <v>791</v>
      </c>
      <c r="S155" s="33">
        <f>12052.5</f>
        <v>12052.5</v>
      </c>
      <c r="T155" s="30">
        <f>6378</f>
        <v>6378</v>
      </c>
      <c r="U155" s="30" t="str">
        <f>"－"</f>
        <v>－</v>
      </c>
      <c r="V155" s="30">
        <f>77541890</f>
        <v>77541890</v>
      </c>
      <c r="W155" s="30" t="str">
        <f>"－"</f>
        <v>－</v>
      </c>
      <c r="X155" s="34">
        <f>22</f>
        <v>22</v>
      </c>
    </row>
    <row r="156" spans="1:24" ht="13.5" customHeight="1" x14ac:dyDescent="0.15">
      <c r="A156" s="25" t="s">
        <v>1013</v>
      </c>
      <c r="B156" s="25" t="s">
        <v>492</v>
      </c>
      <c r="C156" s="25" t="s">
        <v>493</v>
      </c>
      <c r="D156" s="25" t="s">
        <v>494</v>
      </c>
      <c r="E156" s="26" t="s">
        <v>45</v>
      </c>
      <c r="F156" s="27" t="s">
        <v>45</v>
      </c>
      <c r="G156" s="28" t="s">
        <v>45</v>
      </c>
      <c r="H156" s="29"/>
      <c r="I156" s="29" t="s">
        <v>46</v>
      </c>
      <c r="J156" s="30">
        <v>1</v>
      </c>
      <c r="K156" s="31">
        <f>17775</f>
        <v>17775</v>
      </c>
      <c r="L156" s="32" t="s">
        <v>995</v>
      </c>
      <c r="M156" s="31">
        <f>18840</f>
        <v>18840</v>
      </c>
      <c r="N156" s="32" t="s">
        <v>1002</v>
      </c>
      <c r="O156" s="31">
        <f>17290</f>
        <v>17290</v>
      </c>
      <c r="P156" s="32" t="s">
        <v>997</v>
      </c>
      <c r="Q156" s="31">
        <f>18180</f>
        <v>18180</v>
      </c>
      <c r="R156" s="32" t="s">
        <v>791</v>
      </c>
      <c r="S156" s="33">
        <f>17886.82</f>
        <v>17886.82</v>
      </c>
      <c r="T156" s="30">
        <f>3016</f>
        <v>3016</v>
      </c>
      <c r="U156" s="30" t="str">
        <f>"－"</f>
        <v>－</v>
      </c>
      <c r="V156" s="30">
        <f>53979800</f>
        <v>53979800</v>
      </c>
      <c r="W156" s="30" t="str">
        <f>"－"</f>
        <v>－</v>
      </c>
      <c r="X156" s="34">
        <f>22</f>
        <v>22</v>
      </c>
    </row>
    <row r="157" spans="1:24" ht="13.5" customHeight="1" x14ac:dyDescent="0.15">
      <c r="A157" s="25" t="s">
        <v>1013</v>
      </c>
      <c r="B157" s="25" t="s">
        <v>495</v>
      </c>
      <c r="C157" s="25" t="s">
        <v>496</v>
      </c>
      <c r="D157" s="25" t="s">
        <v>497</v>
      </c>
      <c r="E157" s="26" t="s">
        <v>45</v>
      </c>
      <c r="F157" s="27" t="s">
        <v>45</v>
      </c>
      <c r="G157" s="28" t="s">
        <v>45</v>
      </c>
      <c r="H157" s="29"/>
      <c r="I157" s="29" t="s">
        <v>46</v>
      </c>
      <c r="J157" s="30">
        <v>1</v>
      </c>
      <c r="K157" s="31">
        <f>17430</f>
        <v>17430</v>
      </c>
      <c r="L157" s="32" t="s">
        <v>995</v>
      </c>
      <c r="M157" s="31">
        <f>18145</f>
        <v>18145</v>
      </c>
      <c r="N157" s="32" t="s">
        <v>793</v>
      </c>
      <c r="O157" s="31">
        <f>17005</f>
        <v>17005</v>
      </c>
      <c r="P157" s="32" t="s">
        <v>1004</v>
      </c>
      <c r="Q157" s="31">
        <f>18100</f>
        <v>18100</v>
      </c>
      <c r="R157" s="32" t="s">
        <v>791</v>
      </c>
      <c r="S157" s="33">
        <f>17631.79</f>
        <v>17631.79</v>
      </c>
      <c r="T157" s="30">
        <f>158</f>
        <v>158</v>
      </c>
      <c r="U157" s="30" t="str">
        <f>"－"</f>
        <v>－</v>
      </c>
      <c r="V157" s="30">
        <f>2810285</f>
        <v>2810285</v>
      </c>
      <c r="W157" s="30" t="str">
        <f>"－"</f>
        <v>－</v>
      </c>
      <c r="X157" s="34">
        <f>14</f>
        <v>14</v>
      </c>
    </row>
    <row r="158" spans="1:24" ht="13.5" customHeight="1" x14ac:dyDescent="0.15">
      <c r="A158" s="25" t="s">
        <v>1013</v>
      </c>
      <c r="B158" s="25" t="s">
        <v>498</v>
      </c>
      <c r="C158" s="25" t="s">
        <v>499</v>
      </c>
      <c r="D158" s="25" t="s">
        <v>500</v>
      </c>
      <c r="E158" s="26" t="s">
        <v>45</v>
      </c>
      <c r="F158" s="27" t="s">
        <v>45</v>
      </c>
      <c r="G158" s="28" t="s">
        <v>45</v>
      </c>
      <c r="H158" s="29"/>
      <c r="I158" s="29" t="s">
        <v>46</v>
      </c>
      <c r="J158" s="30">
        <v>10</v>
      </c>
      <c r="K158" s="31">
        <f>49100</f>
        <v>49100</v>
      </c>
      <c r="L158" s="32" t="s">
        <v>995</v>
      </c>
      <c r="M158" s="31">
        <f>49610</f>
        <v>49610</v>
      </c>
      <c r="N158" s="32" t="s">
        <v>791</v>
      </c>
      <c r="O158" s="31">
        <f>48900</f>
        <v>48900</v>
      </c>
      <c r="P158" s="32" t="s">
        <v>997</v>
      </c>
      <c r="Q158" s="31">
        <f>49360</f>
        <v>49360</v>
      </c>
      <c r="R158" s="32" t="s">
        <v>791</v>
      </c>
      <c r="S158" s="33">
        <f>49165</f>
        <v>49165</v>
      </c>
      <c r="T158" s="30">
        <f>3430</f>
        <v>3430</v>
      </c>
      <c r="U158" s="30">
        <f>10</f>
        <v>10</v>
      </c>
      <c r="V158" s="30">
        <f>168855400</f>
        <v>168855400</v>
      </c>
      <c r="W158" s="30">
        <f>490600</f>
        <v>490600</v>
      </c>
      <c r="X158" s="34">
        <f>22</f>
        <v>22</v>
      </c>
    </row>
    <row r="159" spans="1:24" ht="13.5" customHeight="1" x14ac:dyDescent="0.15">
      <c r="A159" s="25" t="s">
        <v>1013</v>
      </c>
      <c r="B159" s="25" t="s">
        <v>501</v>
      </c>
      <c r="C159" s="25" t="s">
        <v>502</v>
      </c>
      <c r="D159" s="25" t="s">
        <v>503</v>
      </c>
      <c r="E159" s="26" t="s">
        <v>45</v>
      </c>
      <c r="F159" s="27" t="s">
        <v>45</v>
      </c>
      <c r="G159" s="28" t="s">
        <v>45</v>
      </c>
      <c r="H159" s="29"/>
      <c r="I159" s="29" t="s">
        <v>46</v>
      </c>
      <c r="J159" s="30">
        <v>100</v>
      </c>
      <c r="K159" s="31">
        <f>256.4</f>
        <v>256.39999999999998</v>
      </c>
      <c r="L159" s="32" t="s">
        <v>995</v>
      </c>
      <c r="M159" s="31">
        <f>266.5</f>
        <v>266.5</v>
      </c>
      <c r="N159" s="32" t="s">
        <v>1004</v>
      </c>
      <c r="O159" s="31">
        <f>240.6</f>
        <v>240.6</v>
      </c>
      <c r="P159" s="32" t="s">
        <v>255</v>
      </c>
      <c r="Q159" s="31">
        <f>251</f>
        <v>251</v>
      </c>
      <c r="R159" s="32" t="s">
        <v>791</v>
      </c>
      <c r="S159" s="33">
        <f>252.04</f>
        <v>252.04</v>
      </c>
      <c r="T159" s="30">
        <f>16296600</f>
        <v>16296600</v>
      </c>
      <c r="U159" s="30">
        <f>100</f>
        <v>100</v>
      </c>
      <c r="V159" s="30">
        <f>4104497425</f>
        <v>4104497425</v>
      </c>
      <c r="W159" s="30">
        <f>24395</f>
        <v>24395</v>
      </c>
      <c r="X159" s="34">
        <f>22</f>
        <v>22</v>
      </c>
    </row>
    <row r="160" spans="1:24" ht="13.5" customHeight="1" x14ac:dyDescent="0.15">
      <c r="A160" s="25" t="s">
        <v>1013</v>
      </c>
      <c r="B160" s="25" t="s">
        <v>504</v>
      </c>
      <c r="C160" s="25" t="s">
        <v>505</v>
      </c>
      <c r="D160" s="25" t="s">
        <v>506</v>
      </c>
      <c r="E160" s="26" t="s">
        <v>45</v>
      </c>
      <c r="F160" s="27" t="s">
        <v>45</v>
      </c>
      <c r="G160" s="28" t="s">
        <v>45</v>
      </c>
      <c r="H160" s="29"/>
      <c r="I160" s="29" t="s">
        <v>46</v>
      </c>
      <c r="J160" s="30">
        <v>10</v>
      </c>
      <c r="K160" s="31">
        <f>37870</f>
        <v>37870</v>
      </c>
      <c r="L160" s="32" t="s">
        <v>995</v>
      </c>
      <c r="M160" s="31">
        <f>38780</f>
        <v>38780</v>
      </c>
      <c r="N160" s="32" t="s">
        <v>1003</v>
      </c>
      <c r="O160" s="31">
        <f>35650</f>
        <v>35650</v>
      </c>
      <c r="P160" s="32" t="s">
        <v>793</v>
      </c>
      <c r="Q160" s="31">
        <f>37170</f>
        <v>37170</v>
      </c>
      <c r="R160" s="32" t="s">
        <v>791</v>
      </c>
      <c r="S160" s="33">
        <f>37087.73</f>
        <v>37087.730000000003</v>
      </c>
      <c r="T160" s="30">
        <f>18230</f>
        <v>18230</v>
      </c>
      <c r="U160" s="30">
        <f>8100</f>
        <v>8100</v>
      </c>
      <c r="V160" s="30">
        <f>687083150</f>
        <v>687083150</v>
      </c>
      <c r="W160" s="30">
        <f>313765650</f>
        <v>313765650</v>
      </c>
      <c r="X160" s="34">
        <f>22</f>
        <v>22</v>
      </c>
    </row>
    <row r="161" spans="1:24" ht="13.5" customHeight="1" x14ac:dyDescent="0.15">
      <c r="A161" s="25" t="s">
        <v>1013</v>
      </c>
      <c r="B161" s="25" t="s">
        <v>507</v>
      </c>
      <c r="C161" s="25" t="s">
        <v>508</v>
      </c>
      <c r="D161" s="25" t="s">
        <v>509</v>
      </c>
      <c r="E161" s="26" t="s">
        <v>45</v>
      </c>
      <c r="F161" s="27" t="s">
        <v>45</v>
      </c>
      <c r="G161" s="28" t="s">
        <v>45</v>
      </c>
      <c r="H161" s="29"/>
      <c r="I161" s="29" t="s">
        <v>46</v>
      </c>
      <c r="J161" s="30">
        <v>10</v>
      </c>
      <c r="K161" s="31">
        <f>3896</f>
        <v>3896</v>
      </c>
      <c r="L161" s="32" t="s">
        <v>995</v>
      </c>
      <c r="M161" s="31">
        <f>3973</f>
        <v>3973</v>
      </c>
      <c r="N161" s="32" t="s">
        <v>1003</v>
      </c>
      <c r="O161" s="31">
        <f>3687</f>
        <v>3687</v>
      </c>
      <c r="P161" s="32" t="s">
        <v>80</v>
      </c>
      <c r="Q161" s="31">
        <f>3882</f>
        <v>3882</v>
      </c>
      <c r="R161" s="32" t="s">
        <v>791</v>
      </c>
      <c r="S161" s="33">
        <f>3820.73</f>
        <v>3820.73</v>
      </c>
      <c r="T161" s="30">
        <f>73350</f>
        <v>73350</v>
      </c>
      <c r="U161" s="30">
        <f>10</f>
        <v>10</v>
      </c>
      <c r="V161" s="30">
        <f>277472760</f>
        <v>277472760</v>
      </c>
      <c r="W161" s="30">
        <f>38000</f>
        <v>38000</v>
      </c>
      <c r="X161" s="34">
        <f>22</f>
        <v>22</v>
      </c>
    </row>
    <row r="162" spans="1:24" ht="13.5" customHeight="1" x14ac:dyDescent="0.15">
      <c r="A162" s="25" t="s">
        <v>1013</v>
      </c>
      <c r="B162" s="25" t="s">
        <v>510</v>
      </c>
      <c r="C162" s="25" t="s">
        <v>511</v>
      </c>
      <c r="D162" s="25" t="s">
        <v>512</v>
      </c>
      <c r="E162" s="26" t="s">
        <v>45</v>
      </c>
      <c r="F162" s="27" t="s">
        <v>45</v>
      </c>
      <c r="G162" s="28" t="s">
        <v>45</v>
      </c>
      <c r="H162" s="29"/>
      <c r="I162" s="29" t="s">
        <v>46</v>
      </c>
      <c r="J162" s="30">
        <v>10</v>
      </c>
      <c r="K162" s="31">
        <f>1635</f>
        <v>1635</v>
      </c>
      <c r="L162" s="32" t="s">
        <v>995</v>
      </c>
      <c r="M162" s="31">
        <f>1700</f>
        <v>1700</v>
      </c>
      <c r="N162" s="32" t="s">
        <v>1003</v>
      </c>
      <c r="O162" s="31">
        <f>1554</f>
        <v>1554</v>
      </c>
      <c r="P162" s="32" t="s">
        <v>80</v>
      </c>
      <c r="Q162" s="31">
        <f>1647</f>
        <v>1647</v>
      </c>
      <c r="R162" s="32" t="s">
        <v>791</v>
      </c>
      <c r="S162" s="33">
        <f>1623.07</f>
        <v>1623.07</v>
      </c>
      <c r="T162" s="30">
        <f>307120</f>
        <v>307120</v>
      </c>
      <c r="U162" s="30">
        <f>37310</f>
        <v>37310</v>
      </c>
      <c r="V162" s="30">
        <f>492504242</f>
        <v>492504242</v>
      </c>
      <c r="W162" s="30">
        <f>58959622</f>
        <v>58959622</v>
      </c>
      <c r="X162" s="34">
        <f>22</f>
        <v>22</v>
      </c>
    </row>
    <row r="163" spans="1:24" ht="13.5" customHeight="1" x14ac:dyDescent="0.15">
      <c r="A163" s="25" t="s">
        <v>1013</v>
      </c>
      <c r="B163" s="25" t="s">
        <v>513</v>
      </c>
      <c r="C163" s="25" t="s">
        <v>514</v>
      </c>
      <c r="D163" s="25" t="s">
        <v>515</v>
      </c>
      <c r="E163" s="26" t="s">
        <v>45</v>
      </c>
      <c r="F163" s="27" t="s">
        <v>45</v>
      </c>
      <c r="G163" s="28" t="s">
        <v>45</v>
      </c>
      <c r="H163" s="29"/>
      <c r="I163" s="29" t="s">
        <v>46</v>
      </c>
      <c r="J163" s="30">
        <v>100</v>
      </c>
      <c r="K163" s="31">
        <f>222</f>
        <v>222</v>
      </c>
      <c r="L163" s="32" t="s">
        <v>995</v>
      </c>
      <c r="M163" s="31">
        <f>232</f>
        <v>232</v>
      </c>
      <c r="N163" s="32" t="s">
        <v>1004</v>
      </c>
      <c r="O163" s="31">
        <f>215</f>
        <v>215</v>
      </c>
      <c r="P163" s="32" t="s">
        <v>80</v>
      </c>
      <c r="Q163" s="31">
        <f>224.9</f>
        <v>224.9</v>
      </c>
      <c r="R163" s="32" t="s">
        <v>791</v>
      </c>
      <c r="S163" s="33">
        <f>223.01</f>
        <v>223.01</v>
      </c>
      <c r="T163" s="30">
        <f>138100</f>
        <v>138100</v>
      </c>
      <c r="U163" s="30" t="str">
        <f t="shared" ref="U163:U168" si="4">"－"</f>
        <v>－</v>
      </c>
      <c r="V163" s="30">
        <f>30759970</f>
        <v>30759970</v>
      </c>
      <c r="W163" s="30" t="str">
        <f t="shared" ref="W163:W168" si="5">"－"</f>
        <v>－</v>
      </c>
      <c r="X163" s="34">
        <f>22</f>
        <v>22</v>
      </c>
    </row>
    <row r="164" spans="1:24" ht="13.5" customHeight="1" x14ac:dyDescent="0.15">
      <c r="A164" s="25" t="s">
        <v>1013</v>
      </c>
      <c r="B164" s="25" t="s">
        <v>516</v>
      </c>
      <c r="C164" s="25" t="s">
        <v>517</v>
      </c>
      <c r="D164" s="25" t="s">
        <v>518</v>
      </c>
      <c r="E164" s="26" t="s">
        <v>45</v>
      </c>
      <c r="F164" s="27" t="s">
        <v>45</v>
      </c>
      <c r="G164" s="28" t="s">
        <v>45</v>
      </c>
      <c r="H164" s="29"/>
      <c r="I164" s="29" t="s">
        <v>46</v>
      </c>
      <c r="J164" s="30">
        <v>10</v>
      </c>
      <c r="K164" s="31">
        <f>1543</f>
        <v>1543</v>
      </c>
      <c r="L164" s="32" t="s">
        <v>995</v>
      </c>
      <c r="M164" s="31">
        <f>1563</f>
        <v>1563</v>
      </c>
      <c r="N164" s="32" t="s">
        <v>78</v>
      </c>
      <c r="O164" s="31">
        <f>1427.5</f>
        <v>1427.5</v>
      </c>
      <c r="P164" s="32" t="s">
        <v>255</v>
      </c>
      <c r="Q164" s="31">
        <f>1427.5</f>
        <v>1427.5</v>
      </c>
      <c r="R164" s="32" t="s">
        <v>255</v>
      </c>
      <c r="S164" s="33">
        <f>1501.38</f>
        <v>1501.38</v>
      </c>
      <c r="T164" s="30">
        <f>840</f>
        <v>840</v>
      </c>
      <c r="U164" s="30" t="str">
        <f t="shared" si="4"/>
        <v>－</v>
      </c>
      <c r="V164" s="30">
        <f>1244810</f>
        <v>1244810</v>
      </c>
      <c r="W164" s="30" t="str">
        <f t="shared" si="5"/>
        <v>－</v>
      </c>
      <c r="X164" s="34">
        <f>8</f>
        <v>8</v>
      </c>
    </row>
    <row r="165" spans="1:24" ht="13.5" customHeight="1" x14ac:dyDescent="0.15">
      <c r="A165" s="25" t="s">
        <v>1013</v>
      </c>
      <c r="B165" s="25" t="s">
        <v>519</v>
      </c>
      <c r="C165" s="25" t="s">
        <v>520</v>
      </c>
      <c r="D165" s="25" t="s">
        <v>521</v>
      </c>
      <c r="E165" s="26" t="s">
        <v>45</v>
      </c>
      <c r="F165" s="27" t="s">
        <v>45</v>
      </c>
      <c r="G165" s="28" t="s">
        <v>45</v>
      </c>
      <c r="H165" s="29"/>
      <c r="I165" s="29" t="s">
        <v>46</v>
      </c>
      <c r="J165" s="30">
        <v>10</v>
      </c>
      <c r="K165" s="31">
        <f>538.9</f>
        <v>538.9</v>
      </c>
      <c r="L165" s="32" t="s">
        <v>995</v>
      </c>
      <c r="M165" s="31">
        <f>550.9</f>
        <v>550.9</v>
      </c>
      <c r="N165" s="32" t="s">
        <v>1003</v>
      </c>
      <c r="O165" s="31">
        <f>453.2</f>
        <v>453.2</v>
      </c>
      <c r="P165" s="32" t="s">
        <v>80</v>
      </c>
      <c r="Q165" s="31">
        <f>478.6</f>
        <v>478.6</v>
      </c>
      <c r="R165" s="32" t="s">
        <v>791</v>
      </c>
      <c r="S165" s="33">
        <f>500.93</f>
        <v>500.93</v>
      </c>
      <c r="T165" s="30">
        <f>27840</f>
        <v>27840</v>
      </c>
      <c r="U165" s="30" t="str">
        <f t="shared" si="4"/>
        <v>－</v>
      </c>
      <c r="V165" s="30">
        <f>13511649</f>
        <v>13511649</v>
      </c>
      <c r="W165" s="30" t="str">
        <f t="shared" si="5"/>
        <v>－</v>
      </c>
      <c r="X165" s="34">
        <f>19</f>
        <v>19</v>
      </c>
    </row>
    <row r="166" spans="1:24" ht="13.5" customHeight="1" x14ac:dyDescent="0.15">
      <c r="A166" s="25" t="s">
        <v>1013</v>
      </c>
      <c r="B166" s="25" t="s">
        <v>522</v>
      </c>
      <c r="C166" s="25" t="s">
        <v>523</v>
      </c>
      <c r="D166" s="25" t="s">
        <v>524</v>
      </c>
      <c r="E166" s="26" t="s">
        <v>45</v>
      </c>
      <c r="F166" s="27" t="s">
        <v>45</v>
      </c>
      <c r="G166" s="28" t="s">
        <v>45</v>
      </c>
      <c r="H166" s="29"/>
      <c r="I166" s="29" t="s">
        <v>46</v>
      </c>
      <c r="J166" s="30">
        <v>10</v>
      </c>
      <c r="K166" s="31">
        <f>2166</f>
        <v>2166</v>
      </c>
      <c r="L166" s="32" t="s">
        <v>995</v>
      </c>
      <c r="M166" s="31">
        <f>2222.5</f>
        <v>2222.5</v>
      </c>
      <c r="N166" s="32" t="s">
        <v>999</v>
      </c>
      <c r="O166" s="31">
        <f>1994</f>
        <v>1994</v>
      </c>
      <c r="P166" s="32" t="s">
        <v>894</v>
      </c>
      <c r="Q166" s="31">
        <f>2076.5</f>
        <v>2076.5</v>
      </c>
      <c r="R166" s="32" t="s">
        <v>791</v>
      </c>
      <c r="S166" s="33">
        <f>2091.69</f>
        <v>2091.69</v>
      </c>
      <c r="T166" s="30">
        <f>3490</f>
        <v>3490</v>
      </c>
      <c r="U166" s="30" t="str">
        <f t="shared" si="4"/>
        <v>－</v>
      </c>
      <c r="V166" s="30">
        <f>7444900</f>
        <v>7444900</v>
      </c>
      <c r="W166" s="30" t="str">
        <f t="shared" si="5"/>
        <v>－</v>
      </c>
      <c r="X166" s="34">
        <f>21</f>
        <v>21</v>
      </c>
    </row>
    <row r="167" spans="1:24" ht="13.5" customHeight="1" x14ac:dyDescent="0.15">
      <c r="A167" s="25" t="s">
        <v>1013</v>
      </c>
      <c r="B167" s="25" t="s">
        <v>525</v>
      </c>
      <c r="C167" s="25" t="s">
        <v>526</v>
      </c>
      <c r="D167" s="25" t="s">
        <v>527</v>
      </c>
      <c r="E167" s="26" t="s">
        <v>45</v>
      </c>
      <c r="F167" s="27" t="s">
        <v>45</v>
      </c>
      <c r="G167" s="28" t="s">
        <v>45</v>
      </c>
      <c r="H167" s="29"/>
      <c r="I167" s="29" t="s">
        <v>46</v>
      </c>
      <c r="J167" s="30">
        <v>10</v>
      </c>
      <c r="K167" s="31">
        <f>913.7</f>
        <v>913.7</v>
      </c>
      <c r="L167" s="32" t="s">
        <v>995</v>
      </c>
      <c r="M167" s="31">
        <f>926.2</f>
        <v>926.2</v>
      </c>
      <c r="N167" s="32" t="s">
        <v>1000</v>
      </c>
      <c r="O167" s="31">
        <f>828.3</f>
        <v>828.3</v>
      </c>
      <c r="P167" s="32" t="s">
        <v>793</v>
      </c>
      <c r="Q167" s="31">
        <f>877.1</f>
        <v>877.1</v>
      </c>
      <c r="R167" s="32" t="s">
        <v>791</v>
      </c>
      <c r="S167" s="33">
        <f>886.63</f>
        <v>886.63</v>
      </c>
      <c r="T167" s="30">
        <f>39880</f>
        <v>39880</v>
      </c>
      <c r="U167" s="30" t="str">
        <f t="shared" si="4"/>
        <v>－</v>
      </c>
      <c r="V167" s="30">
        <f>35121190</f>
        <v>35121190</v>
      </c>
      <c r="W167" s="30" t="str">
        <f t="shared" si="5"/>
        <v>－</v>
      </c>
      <c r="X167" s="34">
        <f>22</f>
        <v>22</v>
      </c>
    </row>
    <row r="168" spans="1:24" ht="13.5" customHeight="1" x14ac:dyDescent="0.15">
      <c r="A168" s="25" t="s">
        <v>1013</v>
      </c>
      <c r="B168" s="25" t="s">
        <v>528</v>
      </c>
      <c r="C168" s="25" t="s">
        <v>529</v>
      </c>
      <c r="D168" s="25" t="s">
        <v>530</v>
      </c>
      <c r="E168" s="26" t="s">
        <v>45</v>
      </c>
      <c r="F168" s="27" t="s">
        <v>45</v>
      </c>
      <c r="G168" s="28" t="s">
        <v>45</v>
      </c>
      <c r="H168" s="29"/>
      <c r="I168" s="29" t="s">
        <v>46</v>
      </c>
      <c r="J168" s="30">
        <v>10</v>
      </c>
      <c r="K168" s="31">
        <f>632</f>
        <v>632</v>
      </c>
      <c r="L168" s="32" t="s">
        <v>995</v>
      </c>
      <c r="M168" s="31">
        <f>645.5</f>
        <v>645.5</v>
      </c>
      <c r="N168" s="32" t="s">
        <v>1000</v>
      </c>
      <c r="O168" s="31">
        <f>588.2</f>
        <v>588.20000000000005</v>
      </c>
      <c r="P168" s="32" t="s">
        <v>793</v>
      </c>
      <c r="Q168" s="31">
        <f>623.5</f>
        <v>623.5</v>
      </c>
      <c r="R168" s="32" t="s">
        <v>791</v>
      </c>
      <c r="S168" s="33">
        <f>623.4</f>
        <v>623.4</v>
      </c>
      <c r="T168" s="30">
        <f>170270</f>
        <v>170270</v>
      </c>
      <c r="U168" s="30" t="str">
        <f t="shared" si="4"/>
        <v>－</v>
      </c>
      <c r="V168" s="30">
        <f>104887223</f>
        <v>104887223</v>
      </c>
      <c r="W168" s="30" t="str">
        <f t="shared" si="5"/>
        <v>－</v>
      </c>
      <c r="X168" s="34">
        <f>22</f>
        <v>22</v>
      </c>
    </row>
    <row r="169" spans="1:24" ht="13.5" customHeight="1" x14ac:dyDescent="0.15">
      <c r="A169" s="25" t="s">
        <v>1013</v>
      </c>
      <c r="B169" s="25" t="s">
        <v>531</v>
      </c>
      <c r="C169" s="25" t="s">
        <v>532</v>
      </c>
      <c r="D169" s="25" t="s">
        <v>533</v>
      </c>
      <c r="E169" s="26" t="s">
        <v>45</v>
      </c>
      <c r="F169" s="27" t="s">
        <v>45</v>
      </c>
      <c r="G169" s="28" t="s">
        <v>45</v>
      </c>
      <c r="H169" s="29"/>
      <c r="I169" s="29" t="s">
        <v>46</v>
      </c>
      <c r="J169" s="30">
        <v>100</v>
      </c>
      <c r="K169" s="31">
        <f>1.5</f>
        <v>1.5</v>
      </c>
      <c r="L169" s="32" t="s">
        <v>995</v>
      </c>
      <c r="M169" s="31">
        <f>1.6</f>
        <v>1.6</v>
      </c>
      <c r="N169" s="32" t="s">
        <v>995</v>
      </c>
      <c r="O169" s="31">
        <f>1.1</f>
        <v>1.1000000000000001</v>
      </c>
      <c r="P169" s="32" t="s">
        <v>793</v>
      </c>
      <c r="Q169" s="31">
        <f>1.2</f>
        <v>1.2</v>
      </c>
      <c r="R169" s="32" t="s">
        <v>791</v>
      </c>
      <c r="S169" s="33">
        <f>1.36</f>
        <v>1.36</v>
      </c>
      <c r="T169" s="30">
        <f>1484067600</f>
        <v>1484067600</v>
      </c>
      <c r="U169" s="30">
        <f>100000</f>
        <v>100000</v>
      </c>
      <c r="V169" s="30">
        <f>1986443820</f>
        <v>1986443820</v>
      </c>
      <c r="W169" s="30">
        <f>150000</f>
        <v>150000</v>
      </c>
      <c r="X169" s="34">
        <f>22</f>
        <v>22</v>
      </c>
    </row>
    <row r="170" spans="1:24" ht="13.5" customHeight="1" x14ac:dyDescent="0.15">
      <c r="A170" s="25" t="s">
        <v>1013</v>
      </c>
      <c r="B170" s="25" t="s">
        <v>534</v>
      </c>
      <c r="C170" s="25" t="s">
        <v>535</v>
      </c>
      <c r="D170" s="25" t="s">
        <v>536</v>
      </c>
      <c r="E170" s="26" t="s">
        <v>45</v>
      </c>
      <c r="F170" s="27" t="s">
        <v>45</v>
      </c>
      <c r="G170" s="28" t="s">
        <v>45</v>
      </c>
      <c r="H170" s="29"/>
      <c r="I170" s="29" t="s">
        <v>46</v>
      </c>
      <c r="J170" s="30">
        <v>10</v>
      </c>
      <c r="K170" s="31">
        <f>1203</f>
        <v>1203</v>
      </c>
      <c r="L170" s="32" t="s">
        <v>995</v>
      </c>
      <c r="M170" s="31">
        <f>1270.5</f>
        <v>1270.5</v>
      </c>
      <c r="N170" s="32" t="s">
        <v>1003</v>
      </c>
      <c r="O170" s="31">
        <f>1015</f>
        <v>1015</v>
      </c>
      <c r="P170" s="32" t="s">
        <v>80</v>
      </c>
      <c r="Q170" s="31">
        <f>1140.5</f>
        <v>1140.5</v>
      </c>
      <c r="R170" s="32" t="s">
        <v>791</v>
      </c>
      <c r="S170" s="33">
        <f>1143.73</f>
        <v>1143.73</v>
      </c>
      <c r="T170" s="30">
        <f>159540</f>
        <v>159540</v>
      </c>
      <c r="U170" s="30" t="str">
        <f>"－"</f>
        <v>－</v>
      </c>
      <c r="V170" s="30">
        <f>174932395</f>
        <v>174932395</v>
      </c>
      <c r="W170" s="30" t="str">
        <f>"－"</f>
        <v>－</v>
      </c>
      <c r="X170" s="34">
        <f>22</f>
        <v>22</v>
      </c>
    </row>
    <row r="171" spans="1:24" ht="13.5" customHeight="1" x14ac:dyDescent="0.15">
      <c r="A171" s="25" t="s">
        <v>1013</v>
      </c>
      <c r="B171" s="25" t="s">
        <v>537</v>
      </c>
      <c r="C171" s="25" t="s">
        <v>538</v>
      </c>
      <c r="D171" s="25" t="s">
        <v>539</v>
      </c>
      <c r="E171" s="26" t="s">
        <v>45</v>
      </c>
      <c r="F171" s="27" t="s">
        <v>45</v>
      </c>
      <c r="G171" s="28" t="s">
        <v>45</v>
      </c>
      <c r="H171" s="29"/>
      <c r="I171" s="29" t="s">
        <v>46</v>
      </c>
      <c r="J171" s="30">
        <v>1</v>
      </c>
      <c r="K171" s="31">
        <f>6260</f>
        <v>6260</v>
      </c>
      <c r="L171" s="32" t="s">
        <v>995</v>
      </c>
      <c r="M171" s="31">
        <f>6661</f>
        <v>6661</v>
      </c>
      <c r="N171" s="32" t="s">
        <v>1003</v>
      </c>
      <c r="O171" s="31">
        <f>5714</f>
        <v>5714</v>
      </c>
      <c r="P171" s="32" t="s">
        <v>80</v>
      </c>
      <c r="Q171" s="31">
        <f>6200</f>
        <v>6200</v>
      </c>
      <c r="R171" s="32" t="s">
        <v>1017</v>
      </c>
      <c r="S171" s="33">
        <f>6229.47</f>
        <v>6229.47</v>
      </c>
      <c r="T171" s="30">
        <f>2016</f>
        <v>2016</v>
      </c>
      <c r="U171" s="30" t="str">
        <f>"－"</f>
        <v>－</v>
      </c>
      <c r="V171" s="30">
        <f>12876623</f>
        <v>12876623</v>
      </c>
      <c r="W171" s="30" t="str">
        <f>"－"</f>
        <v>－</v>
      </c>
      <c r="X171" s="34">
        <f>15</f>
        <v>15</v>
      </c>
    </row>
    <row r="172" spans="1:24" ht="13.5" customHeight="1" x14ac:dyDescent="0.15">
      <c r="A172" s="25" t="s">
        <v>1013</v>
      </c>
      <c r="B172" s="25" t="s">
        <v>540</v>
      </c>
      <c r="C172" s="25" t="s">
        <v>541</v>
      </c>
      <c r="D172" s="25" t="s">
        <v>542</v>
      </c>
      <c r="E172" s="26" t="s">
        <v>45</v>
      </c>
      <c r="F172" s="27" t="s">
        <v>45</v>
      </c>
      <c r="G172" s="28" t="s">
        <v>45</v>
      </c>
      <c r="H172" s="29"/>
      <c r="I172" s="29" t="s">
        <v>46</v>
      </c>
      <c r="J172" s="30">
        <v>100</v>
      </c>
      <c r="K172" s="31">
        <f>438.9</f>
        <v>438.9</v>
      </c>
      <c r="L172" s="32" t="s">
        <v>995</v>
      </c>
      <c r="M172" s="31">
        <f>455.4</f>
        <v>455.4</v>
      </c>
      <c r="N172" s="32" t="s">
        <v>999</v>
      </c>
      <c r="O172" s="31">
        <f>406.2</f>
        <v>406.2</v>
      </c>
      <c r="P172" s="32" t="s">
        <v>894</v>
      </c>
      <c r="Q172" s="31">
        <f>428.6</f>
        <v>428.6</v>
      </c>
      <c r="R172" s="32" t="s">
        <v>791</v>
      </c>
      <c r="S172" s="33">
        <f>427.5</f>
        <v>427.5</v>
      </c>
      <c r="T172" s="30">
        <f>112700</f>
        <v>112700</v>
      </c>
      <c r="U172" s="30" t="str">
        <f>"－"</f>
        <v>－</v>
      </c>
      <c r="V172" s="30">
        <f>48537030</f>
        <v>48537030</v>
      </c>
      <c r="W172" s="30" t="str">
        <f>"－"</f>
        <v>－</v>
      </c>
      <c r="X172" s="34">
        <f>22</f>
        <v>22</v>
      </c>
    </row>
    <row r="173" spans="1:24" ht="13.5" customHeight="1" x14ac:dyDescent="0.15">
      <c r="A173" s="25" t="s">
        <v>1013</v>
      </c>
      <c r="B173" s="25" t="s">
        <v>543</v>
      </c>
      <c r="C173" s="25" t="s">
        <v>544</v>
      </c>
      <c r="D173" s="25" t="s">
        <v>545</v>
      </c>
      <c r="E173" s="26" t="s">
        <v>45</v>
      </c>
      <c r="F173" s="27" t="s">
        <v>45</v>
      </c>
      <c r="G173" s="28" t="s">
        <v>45</v>
      </c>
      <c r="H173" s="29"/>
      <c r="I173" s="29" t="s">
        <v>46</v>
      </c>
      <c r="J173" s="30">
        <v>10</v>
      </c>
      <c r="K173" s="31">
        <f>4892</f>
        <v>4892</v>
      </c>
      <c r="L173" s="32" t="s">
        <v>995</v>
      </c>
      <c r="M173" s="31">
        <f>5023</f>
        <v>5023</v>
      </c>
      <c r="N173" s="32" t="s">
        <v>999</v>
      </c>
      <c r="O173" s="31">
        <f>4532</f>
        <v>4532</v>
      </c>
      <c r="P173" s="32" t="s">
        <v>80</v>
      </c>
      <c r="Q173" s="31">
        <f>4788</f>
        <v>4788</v>
      </c>
      <c r="R173" s="32" t="s">
        <v>791</v>
      </c>
      <c r="S173" s="33">
        <f>4779</f>
        <v>4779</v>
      </c>
      <c r="T173" s="30">
        <f>33650</f>
        <v>33650</v>
      </c>
      <c r="U173" s="30" t="str">
        <f>"－"</f>
        <v>－</v>
      </c>
      <c r="V173" s="30">
        <f>160834460</f>
        <v>160834460</v>
      </c>
      <c r="W173" s="30" t="str">
        <f>"－"</f>
        <v>－</v>
      </c>
      <c r="X173" s="34">
        <f>22</f>
        <v>22</v>
      </c>
    </row>
    <row r="174" spans="1:24" ht="13.5" customHeight="1" x14ac:dyDescent="0.15">
      <c r="A174" s="25" t="s">
        <v>1013</v>
      </c>
      <c r="B174" s="25" t="s">
        <v>546</v>
      </c>
      <c r="C174" s="25" t="s">
        <v>547</v>
      </c>
      <c r="D174" s="25" t="s">
        <v>548</v>
      </c>
      <c r="E174" s="26" t="s">
        <v>45</v>
      </c>
      <c r="F174" s="27" t="s">
        <v>45</v>
      </c>
      <c r="G174" s="28" t="s">
        <v>45</v>
      </c>
      <c r="H174" s="29"/>
      <c r="I174" s="29" t="s">
        <v>46</v>
      </c>
      <c r="J174" s="30">
        <v>10</v>
      </c>
      <c r="K174" s="31">
        <f>3177</f>
        <v>3177</v>
      </c>
      <c r="L174" s="32" t="s">
        <v>995</v>
      </c>
      <c r="M174" s="31">
        <f>3193</f>
        <v>3193</v>
      </c>
      <c r="N174" s="32" t="s">
        <v>999</v>
      </c>
      <c r="O174" s="31">
        <f>2700.5</f>
        <v>2700.5</v>
      </c>
      <c r="P174" s="32" t="s">
        <v>793</v>
      </c>
      <c r="Q174" s="31">
        <f>2835.5</f>
        <v>2835.5</v>
      </c>
      <c r="R174" s="32" t="s">
        <v>791</v>
      </c>
      <c r="S174" s="33">
        <f>2943.27</f>
        <v>2943.27</v>
      </c>
      <c r="T174" s="30">
        <f>24400</f>
        <v>24400</v>
      </c>
      <c r="U174" s="30" t="str">
        <f>"－"</f>
        <v>－</v>
      </c>
      <c r="V174" s="30">
        <f>71303810</f>
        <v>71303810</v>
      </c>
      <c r="W174" s="30" t="str">
        <f>"－"</f>
        <v>－</v>
      </c>
      <c r="X174" s="34">
        <f>22</f>
        <v>22</v>
      </c>
    </row>
    <row r="175" spans="1:24" ht="13.5" customHeight="1" x14ac:dyDescent="0.15">
      <c r="A175" s="25" t="s">
        <v>1013</v>
      </c>
      <c r="B175" s="25" t="s">
        <v>549</v>
      </c>
      <c r="C175" s="25" t="s">
        <v>550</v>
      </c>
      <c r="D175" s="25" t="s">
        <v>551</v>
      </c>
      <c r="E175" s="26" t="s">
        <v>45</v>
      </c>
      <c r="F175" s="27" t="s">
        <v>45</v>
      </c>
      <c r="G175" s="28" t="s">
        <v>45</v>
      </c>
      <c r="H175" s="29"/>
      <c r="I175" s="29" t="s">
        <v>46</v>
      </c>
      <c r="J175" s="30">
        <v>100</v>
      </c>
      <c r="K175" s="31">
        <f>94</f>
        <v>94</v>
      </c>
      <c r="L175" s="32" t="s">
        <v>995</v>
      </c>
      <c r="M175" s="31">
        <f>95.7</f>
        <v>95.7</v>
      </c>
      <c r="N175" s="32" t="s">
        <v>999</v>
      </c>
      <c r="O175" s="31">
        <f>83.8</f>
        <v>83.8</v>
      </c>
      <c r="P175" s="32" t="s">
        <v>793</v>
      </c>
      <c r="Q175" s="31">
        <f>89.2</f>
        <v>89.2</v>
      </c>
      <c r="R175" s="32" t="s">
        <v>791</v>
      </c>
      <c r="S175" s="33">
        <f>90.83</f>
        <v>90.83</v>
      </c>
      <c r="T175" s="30">
        <f>7753700</f>
        <v>7753700</v>
      </c>
      <c r="U175" s="30">
        <f>10000</f>
        <v>10000</v>
      </c>
      <c r="V175" s="30">
        <f>701253060</f>
        <v>701253060</v>
      </c>
      <c r="W175" s="30">
        <f>879000</f>
        <v>879000</v>
      </c>
      <c r="X175" s="34">
        <f>22</f>
        <v>22</v>
      </c>
    </row>
    <row r="176" spans="1:24" ht="13.5" customHeight="1" x14ac:dyDescent="0.15">
      <c r="A176" s="25" t="s">
        <v>1013</v>
      </c>
      <c r="B176" s="25" t="s">
        <v>552</v>
      </c>
      <c r="C176" s="25" t="s">
        <v>553</v>
      </c>
      <c r="D176" s="25" t="s">
        <v>554</v>
      </c>
      <c r="E176" s="26" t="s">
        <v>45</v>
      </c>
      <c r="F176" s="27" t="s">
        <v>45</v>
      </c>
      <c r="G176" s="28" t="s">
        <v>45</v>
      </c>
      <c r="H176" s="29"/>
      <c r="I176" s="29" t="s">
        <v>46</v>
      </c>
      <c r="J176" s="30">
        <v>100</v>
      </c>
      <c r="K176" s="31">
        <f>172.4</f>
        <v>172.4</v>
      </c>
      <c r="L176" s="32" t="s">
        <v>995</v>
      </c>
      <c r="M176" s="31">
        <f>175.7</f>
        <v>175.7</v>
      </c>
      <c r="N176" s="32" t="s">
        <v>1000</v>
      </c>
      <c r="O176" s="31">
        <f>163</f>
        <v>163</v>
      </c>
      <c r="P176" s="32" t="s">
        <v>1005</v>
      </c>
      <c r="Q176" s="31">
        <f>172.3</f>
        <v>172.3</v>
      </c>
      <c r="R176" s="32" t="s">
        <v>791</v>
      </c>
      <c r="S176" s="33">
        <f>169.65</f>
        <v>169.65</v>
      </c>
      <c r="T176" s="30">
        <f>465600</f>
        <v>465600</v>
      </c>
      <c r="U176" s="30" t="str">
        <f>"－"</f>
        <v>－</v>
      </c>
      <c r="V176" s="30">
        <f>78585590</f>
        <v>78585590</v>
      </c>
      <c r="W176" s="30" t="str">
        <f>"－"</f>
        <v>－</v>
      </c>
      <c r="X176" s="34">
        <f>22</f>
        <v>22</v>
      </c>
    </row>
    <row r="177" spans="1:24" ht="13.5" customHeight="1" x14ac:dyDescent="0.15">
      <c r="A177" s="25" t="s">
        <v>1013</v>
      </c>
      <c r="B177" s="25" t="s">
        <v>555</v>
      </c>
      <c r="C177" s="25" t="s">
        <v>556</v>
      </c>
      <c r="D177" s="25" t="s">
        <v>557</v>
      </c>
      <c r="E177" s="26" t="s">
        <v>45</v>
      </c>
      <c r="F177" s="27" t="s">
        <v>45</v>
      </c>
      <c r="G177" s="28" t="s">
        <v>45</v>
      </c>
      <c r="H177" s="29"/>
      <c r="I177" s="29" t="s">
        <v>46</v>
      </c>
      <c r="J177" s="30">
        <v>10</v>
      </c>
      <c r="K177" s="31">
        <f>4158</f>
        <v>4158</v>
      </c>
      <c r="L177" s="32" t="s">
        <v>995</v>
      </c>
      <c r="M177" s="31">
        <f>4277</f>
        <v>4277</v>
      </c>
      <c r="N177" s="32" t="s">
        <v>1004</v>
      </c>
      <c r="O177" s="31">
        <f>3739</f>
        <v>3739</v>
      </c>
      <c r="P177" s="32" t="s">
        <v>793</v>
      </c>
      <c r="Q177" s="31">
        <f>4029</f>
        <v>4029</v>
      </c>
      <c r="R177" s="32" t="s">
        <v>791</v>
      </c>
      <c r="S177" s="33">
        <f>4071.82</f>
        <v>4071.82</v>
      </c>
      <c r="T177" s="30">
        <f>14960</f>
        <v>14960</v>
      </c>
      <c r="U177" s="30" t="str">
        <f>"－"</f>
        <v>－</v>
      </c>
      <c r="V177" s="30">
        <f>59153560</f>
        <v>59153560</v>
      </c>
      <c r="W177" s="30" t="str">
        <f>"－"</f>
        <v>－</v>
      </c>
      <c r="X177" s="34">
        <f>22</f>
        <v>22</v>
      </c>
    </row>
    <row r="178" spans="1:24" ht="13.5" customHeight="1" x14ac:dyDescent="0.15">
      <c r="A178" s="25" t="s">
        <v>1013</v>
      </c>
      <c r="B178" s="25" t="s">
        <v>558</v>
      </c>
      <c r="C178" s="25" t="s">
        <v>559</v>
      </c>
      <c r="D178" s="25" t="s">
        <v>560</v>
      </c>
      <c r="E178" s="26" t="s">
        <v>45</v>
      </c>
      <c r="F178" s="27" t="s">
        <v>45</v>
      </c>
      <c r="G178" s="28" t="s">
        <v>45</v>
      </c>
      <c r="H178" s="29"/>
      <c r="I178" s="29" t="s">
        <v>46</v>
      </c>
      <c r="J178" s="30">
        <v>10</v>
      </c>
      <c r="K178" s="31">
        <f>2171</f>
        <v>2171</v>
      </c>
      <c r="L178" s="32" t="s">
        <v>995</v>
      </c>
      <c r="M178" s="31">
        <f>2251.5</f>
        <v>2251.5</v>
      </c>
      <c r="N178" s="32" t="s">
        <v>1004</v>
      </c>
      <c r="O178" s="31">
        <f>2051</f>
        <v>2051</v>
      </c>
      <c r="P178" s="32" t="s">
        <v>876</v>
      </c>
      <c r="Q178" s="31">
        <f>2170.5</f>
        <v>2170.5</v>
      </c>
      <c r="R178" s="32" t="s">
        <v>791</v>
      </c>
      <c r="S178" s="33">
        <f>2150.7</f>
        <v>2150.6999999999998</v>
      </c>
      <c r="T178" s="30">
        <f>603020</f>
        <v>603020</v>
      </c>
      <c r="U178" s="30">
        <f>429970</f>
        <v>429970</v>
      </c>
      <c r="V178" s="30">
        <f>1283248577</f>
        <v>1283248577</v>
      </c>
      <c r="W178" s="30">
        <f>912235677</f>
        <v>912235677</v>
      </c>
      <c r="X178" s="34">
        <f>22</f>
        <v>22</v>
      </c>
    </row>
    <row r="179" spans="1:24" ht="13.5" customHeight="1" x14ac:dyDescent="0.15">
      <c r="A179" s="25" t="s">
        <v>1013</v>
      </c>
      <c r="B179" s="25" t="s">
        <v>561</v>
      </c>
      <c r="C179" s="25" t="s">
        <v>562</v>
      </c>
      <c r="D179" s="25" t="s">
        <v>563</v>
      </c>
      <c r="E179" s="26" t="s">
        <v>45</v>
      </c>
      <c r="F179" s="27" t="s">
        <v>45</v>
      </c>
      <c r="G179" s="28" t="s">
        <v>45</v>
      </c>
      <c r="H179" s="29"/>
      <c r="I179" s="29" t="s">
        <v>46</v>
      </c>
      <c r="J179" s="30">
        <v>10</v>
      </c>
      <c r="K179" s="31">
        <f>330.2</f>
        <v>330.2</v>
      </c>
      <c r="L179" s="32" t="s">
        <v>995</v>
      </c>
      <c r="M179" s="31">
        <f>347.7</f>
        <v>347.7</v>
      </c>
      <c r="N179" s="32" t="s">
        <v>1003</v>
      </c>
      <c r="O179" s="31">
        <f>278.3</f>
        <v>278.3</v>
      </c>
      <c r="P179" s="32" t="s">
        <v>80</v>
      </c>
      <c r="Q179" s="31">
        <f>313.2</f>
        <v>313.2</v>
      </c>
      <c r="R179" s="32" t="s">
        <v>791</v>
      </c>
      <c r="S179" s="33">
        <f>313.5</f>
        <v>313.5</v>
      </c>
      <c r="T179" s="30">
        <f>27732470</f>
        <v>27732470</v>
      </c>
      <c r="U179" s="30">
        <f>23430</f>
        <v>23430</v>
      </c>
      <c r="V179" s="30">
        <f>8563764263</f>
        <v>8563764263</v>
      </c>
      <c r="W179" s="30">
        <f>7521100</f>
        <v>7521100</v>
      </c>
      <c r="X179" s="34">
        <f>22</f>
        <v>22</v>
      </c>
    </row>
    <row r="180" spans="1:24" ht="13.5" customHeight="1" x14ac:dyDescent="0.15">
      <c r="A180" s="25" t="s">
        <v>1013</v>
      </c>
      <c r="B180" s="25" t="s">
        <v>564</v>
      </c>
      <c r="C180" s="25" t="s">
        <v>565</v>
      </c>
      <c r="D180" s="25" t="s">
        <v>566</v>
      </c>
      <c r="E180" s="26" t="s">
        <v>45</v>
      </c>
      <c r="F180" s="27" t="s">
        <v>45</v>
      </c>
      <c r="G180" s="28" t="s">
        <v>45</v>
      </c>
      <c r="H180" s="29"/>
      <c r="I180" s="29" t="s">
        <v>567</v>
      </c>
      <c r="J180" s="30">
        <v>1</v>
      </c>
      <c r="K180" s="31">
        <f>5947</f>
        <v>5947</v>
      </c>
      <c r="L180" s="32" t="s">
        <v>995</v>
      </c>
      <c r="M180" s="31">
        <f>6543</f>
        <v>6543</v>
      </c>
      <c r="N180" s="32" t="s">
        <v>1003</v>
      </c>
      <c r="O180" s="31">
        <f>5151</f>
        <v>5151</v>
      </c>
      <c r="P180" s="32" t="s">
        <v>80</v>
      </c>
      <c r="Q180" s="31">
        <f>6080</f>
        <v>6080</v>
      </c>
      <c r="R180" s="32" t="s">
        <v>791</v>
      </c>
      <c r="S180" s="33">
        <f>5806.91</f>
        <v>5806.91</v>
      </c>
      <c r="T180" s="30">
        <f>86486</f>
        <v>86486</v>
      </c>
      <c r="U180" s="30">
        <f>5</f>
        <v>5</v>
      </c>
      <c r="V180" s="30">
        <f>505637603</f>
        <v>505637603</v>
      </c>
      <c r="W180" s="30">
        <f>30400</f>
        <v>30400</v>
      </c>
      <c r="X180" s="34">
        <f>22</f>
        <v>22</v>
      </c>
    </row>
    <row r="181" spans="1:24" ht="13.5" customHeight="1" x14ac:dyDescent="0.15">
      <c r="A181" s="25" t="s">
        <v>1013</v>
      </c>
      <c r="B181" s="25" t="s">
        <v>568</v>
      </c>
      <c r="C181" s="25" t="s">
        <v>569</v>
      </c>
      <c r="D181" s="25" t="s">
        <v>570</v>
      </c>
      <c r="E181" s="26" t="s">
        <v>45</v>
      </c>
      <c r="F181" s="27" t="s">
        <v>45</v>
      </c>
      <c r="G181" s="28" t="s">
        <v>45</v>
      </c>
      <c r="H181" s="29"/>
      <c r="I181" s="29" t="s">
        <v>567</v>
      </c>
      <c r="J181" s="30">
        <v>1</v>
      </c>
      <c r="K181" s="31">
        <f>7701</f>
        <v>7701</v>
      </c>
      <c r="L181" s="32" t="s">
        <v>995</v>
      </c>
      <c r="M181" s="31">
        <f>7949</f>
        <v>7949</v>
      </c>
      <c r="N181" s="32" t="s">
        <v>56</v>
      </c>
      <c r="O181" s="31">
        <f>7128</f>
        <v>7128</v>
      </c>
      <c r="P181" s="32" t="s">
        <v>1017</v>
      </c>
      <c r="Q181" s="31">
        <f>7260</f>
        <v>7260</v>
      </c>
      <c r="R181" s="32" t="s">
        <v>791</v>
      </c>
      <c r="S181" s="33">
        <f>7495.68</f>
        <v>7495.68</v>
      </c>
      <c r="T181" s="30">
        <f>17676</f>
        <v>17676</v>
      </c>
      <c r="U181" s="30" t="str">
        <f>"－"</f>
        <v>－</v>
      </c>
      <c r="V181" s="30">
        <f>132817997</f>
        <v>132817997</v>
      </c>
      <c r="W181" s="30" t="str">
        <f>"－"</f>
        <v>－</v>
      </c>
      <c r="X181" s="34">
        <f>22</f>
        <v>22</v>
      </c>
    </row>
    <row r="182" spans="1:24" ht="13.5" customHeight="1" x14ac:dyDescent="0.15">
      <c r="A182" s="25" t="s">
        <v>1013</v>
      </c>
      <c r="B182" s="25" t="s">
        <v>571</v>
      </c>
      <c r="C182" s="25" t="s">
        <v>572</v>
      </c>
      <c r="D182" s="25" t="s">
        <v>573</v>
      </c>
      <c r="E182" s="26" t="s">
        <v>45</v>
      </c>
      <c r="F182" s="27" t="s">
        <v>45</v>
      </c>
      <c r="G182" s="28" t="s">
        <v>45</v>
      </c>
      <c r="H182" s="29"/>
      <c r="I182" s="29" t="s">
        <v>567</v>
      </c>
      <c r="J182" s="30">
        <v>1</v>
      </c>
      <c r="K182" s="31">
        <f>10500</f>
        <v>10500</v>
      </c>
      <c r="L182" s="32" t="s">
        <v>999</v>
      </c>
      <c r="M182" s="31">
        <f>11005</f>
        <v>11005</v>
      </c>
      <c r="N182" s="32" t="s">
        <v>1000</v>
      </c>
      <c r="O182" s="31">
        <f>9586</f>
        <v>9586</v>
      </c>
      <c r="P182" s="32" t="s">
        <v>876</v>
      </c>
      <c r="Q182" s="31">
        <f>10500</f>
        <v>10500</v>
      </c>
      <c r="R182" s="32" t="s">
        <v>791</v>
      </c>
      <c r="S182" s="33">
        <f>10241.19</f>
        <v>10241.19</v>
      </c>
      <c r="T182" s="30">
        <f>394</f>
        <v>394</v>
      </c>
      <c r="U182" s="30" t="str">
        <f>"－"</f>
        <v>－</v>
      </c>
      <c r="V182" s="30">
        <f>3972475</f>
        <v>3972475</v>
      </c>
      <c r="W182" s="30" t="str">
        <f>"－"</f>
        <v>－</v>
      </c>
      <c r="X182" s="34">
        <f>16</f>
        <v>16</v>
      </c>
    </row>
    <row r="183" spans="1:24" ht="13.5" customHeight="1" x14ac:dyDescent="0.15">
      <c r="A183" s="25" t="s">
        <v>1013</v>
      </c>
      <c r="B183" s="25" t="s">
        <v>574</v>
      </c>
      <c r="C183" s="25" t="s">
        <v>575</v>
      </c>
      <c r="D183" s="25" t="s">
        <v>576</v>
      </c>
      <c r="E183" s="26" t="s">
        <v>45</v>
      </c>
      <c r="F183" s="27" t="s">
        <v>45</v>
      </c>
      <c r="G183" s="28" t="s">
        <v>45</v>
      </c>
      <c r="H183" s="29"/>
      <c r="I183" s="29" t="s">
        <v>567</v>
      </c>
      <c r="J183" s="30">
        <v>1</v>
      </c>
      <c r="K183" s="31">
        <f>8058</f>
        <v>8058</v>
      </c>
      <c r="L183" s="32" t="s">
        <v>995</v>
      </c>
      <c r="M183" s="31">
        <f>8146</f>
        <v>8146</v>
      </c>
      <c r="N183" s="32" t="s">
        <v>56</v>
      </c>
      <c r="O183" s="31">
        <f>7711</f>
        <v>7711</v>
      </c>
      <c r="P183" s="32" t="s">
        <v>893</v>
      </c>
      <c r="Q183" s="31">
        <f>7723</f>
        <v>7723</v>
      </c>
      <c r="R183" s="32" t="s">
        <v>791</v>
      </c>
      <c r="S183" s="33">
        <f>7960.14</f>
        <v>7960.14</v>
      </c>
      <c r="T183" s="30">
        <f>12444</f>
        <v>12444</v>
      </c>
      <c r="U183" s="30" t="str">
        <f>"－"</f>
        <v>－</v>
      </c>
      <c r="V183" s="30">
        <f>98717027</f>
        <v>98717027</v>
      </c>
      <c r="W183" s="30" t="str">
        <f>"－"</f>
        <v>－</v>
      </c>
      <c r="X183" s="34">
        <f>22</f>
        <v>22</v>
      </c>
    </row>
    <row r="184" spans="1:24" ht="13.5" customHeight="1" x14ac:dyDescent="0.15">
      <c r="A184" s="25" t="s">
        <v>1013</v>
      </c>
      <c r="B184" s="25" t="s">
        <v>577</v>
      </c>
      <c r="C184" s="25" t="s">
        <v>578</v>
      </c>
      <c r="D184" s="25" t="s">
        <v>579</v>
      </c>
      <c r="E184" s="26" t="s">
        <v>45</v>
      </c>
      <c r="F184" s="27" t="s">
        <v>45</v>
      </c>
      <c r="G184" s="28" t="s">
        <v>45</v>
      </c>
      <c r="H184" s="29"/>
      <c r="I184" s="29" t="s">
        <v>567</v>
      </c>
      <c r="J184" s="30">
        <v>1</v>
      </c>
      <c r="K184" s="31">
        <f>26770</f>
        <v>26770</v>
      </c>
      <c r="L184" s="32" t="s">
        <v>995</v>
      </c>
      <c r="M184" s="31">
        <f>30410</f>
        <v>30410</v>
      </c>
      <c r="N184" s="32" t="s">
        <v>791</v>
      </c>
      <c r="O184" s="31">
        <f>26715</f>
        <v>26715</v>
      </c>
      <c r="P184" s="32" t="s">
        <v>995</v>
      </c>
      <c r="Q184" s="31">
        <f>30230</f>
        <v>30230</v>
      </c>
      <c r="R184" s="32" t="s">
        <v>791</v>
      </c>
      <c r="S184" s="33">
        <f>28216.59</f>
        <v>28216.59</v>
      </c>
      <c r="T184" s="30">
        <f>37159</f>
        <v>37159</v>
      </c>
      <c r="U184" s="30">
        <f>6</f>
        <v>6</v>
      </c>
      <c r="V184" s="30">
        <f>1058817445</f>
        <v>1058817445</v>
      </c>
      <c r="W184" s="30">
        <f>171780</f>
        <v>171780</v>
      </c>
      <c r="X184" s="34">
        <f>22</f>
        <v>22</v>
      </c>
    </row>
    <row r="185" spans="1:24" ht="13.5" customHeight="1" x14ac:dyDescent="0.15">
      <c r="A185" s="25" t="s">
        <v>1013</v>
      </c>
      <c r="B185" s="25" t="s">
        <v>580</v>
      </c>
      <c r="C185" s="25" t="s">
        <v>581</v>
      </c>
      <c r="D185" s="25" t="s">
        <v>582</v>
      </c>
      <c r="E185" s="26" t="s">
        <v>45</v>
      </c>
      <c r="F185" s="27" t="s">
        <v>45</v>
      </c>
      <c r="G185" s="28" t="s">
        <v>45</v>
      </c>
      <c r="H185" s="29"/>
      <c r="I185" s="29" t="s">
        <v>567</v>
      </c>
      <c r="J185" s="30">
        <v>1</v>
      </c>
      <c r="K185" s="31">
        <f>4255</f>
        <v>4255</v>
      </c>
      <c r="L185" s="32" t="s">
        <v>995</v>
      </c>
      <c r="M185" s="31">
        <f>4255</f>
        <v>4255</v>
      </c>
      <c r="N185" s="32" t="s">
        <v>995</v>
      </c>
      <c r="O185" s="31">
        <f>3975</f>
        <v>3975</v>
      </c>
      <c r="P185" s="32" t="s">
        <v>791</v>
      </c>
      <c r="Q185" s="31">
        <f>4010</f>
        <v>4010</v>
      </c>
      <c r="R185" s="32" t="s">
        <v>791</v>
      </c>
      <c r="S185" s="33">
        <f>4149.77</f>
        <v>4149.7700000000004</v>
      </c>
      <c r="T185" s="30">
        <f>15271</f>
        <v>15271</v>
      </c>
      <c r="U185" s="30" t="str">
        <f>"－"</f>
        <v>－</v>
      </c>
      <c r="V185" s="30">
        <f>62629460</f>
        <v>62629460</v>
      </c>
      <c r="W185" s="30" t="str">
        <f>"－"</f>
        <v>－</v>
      </c>
      <c r="X185" s="34">
        <f>22</f>
        <v>22</v>
      </c>
    </row>
    <row r="186" spans="1:24" ht="13.5" customHeight="1" x14ac:dyDescent="0.15">
      <c r="A186" s="25" t="s">
        <v>1013</v>
      </c>
      <c r="B186" s="25" t="s">
        <v>583</v>
      </c>
      <c r="C186" s="25" t="s">
        <v>584</v>
      </c>
      <c r="D186" s="25" t="s">
        <v>585</v>
      </c>
      <c r="E186" s="26" t="s">
        <v>45</v>
      </c>
      <c r="F186" s="27" t="s">
        <v>45</v>
      </c>
      <c r="G186" s="28" t="s">
        <v>45</v>
      </c>
      <c r="H186" s="29"/>
      <c r="I186" s="29" t="s">
        <v>567</v>
      </c>
      <c r="J186" s="30">
        <v>1</v>
      </c>
      <c r="K186" s="31">
        <f>1324</f>
        <v>1324</v>
      </c>
      <c r="L186" s="32" t="s">
        <v>995</v>
      </c>
      <c r="M186" s="31">
        <f>1441</f>
        <v>1441</v>
      </c>
      <c r="N186" s="32" t="s">
        <v>1003</v>
      </c>
      <c r="O186" s="31">
        <f>1007</f>
        <v>1007</v>
      </c>
      <c r="P186" s="32" t="s">
        <v>80</v>
      </c>
      <c r="Q186" s="31">
        <f>1174</f>
        <v>1174</v>
      </c>
      <c r="R186" s="32" t="s">
        <v>791</v>
      </c>
      <c r="S186" s="33">
        <f>1216.23</f>
        <v>1216.23</v>
      </c>
      <c r="T186" s="30">
        <f>34550038</f>
        <v>34550038</v>
      </c>
      <c r="U186" s="30">
        <f>315667</f>
        <v>315667</v>
      </c>
      <c r="V186" s="30">
        <f>41157692898</f>
        <v>41157692898</v>
      </c>
      <c r="W186" s="30">
        <f>422824036</f>
        <v>422824036</v>
      </c>
      <c r="X186" s="34">
        <f>22</f>
        <v>22</v>
      </c>
    </row>
    <row r="187" spans="1:24" ht="13.5" customHeight="1" x14ac:dyDescent="0.15">
      <c r="A187" s="25" t="s">
        <v>1013</v>
      </c>
      <c r="B187" s="25" t="s">
        <v>586</v>
      </c>
      <c r="C187" s="25" t="s">
        <v>587</v>
      </c>
      <c r="D187" s="25" t="s">
        <v>588</v>
      </c>
      <c r="E187" s="26" t="s">
        <v>45</v>
      </c>
      <c r="F187" s="27" t="s">
        <v>45</v>
      </c>
      <c r="G187" s="28" t="s">
        <v>45</v>
      </c>
      <c r="H187" s="29"/>
      <c r="I187" s="29" t="s">
        <v>567</v>
      </c>
      <c r="J187" s="30">
        <v>1</v>
      </c>
      <c r="K187" s="31">
        <f>1424</f>
        <v>1424</v>
      </c>
      <c r="L187" s="32" t="s">
        <v>995</v>
      </c>
      <c r="M187" s="31">
        <f>1622</f>
        <v>1622</v>
      </c>
      <c r="N187" s="32" t="s">
        <v>80</v>
      </c>
      <c r="O187" s="31">
        <f>1369</f>
        <v>1369</v>
      </c>
      <c r="P187" s="32" t="s">
        <v>1003</v>
      </c>
      <c r="Q187" s="31">
        <f>1488</f>
        <v>1488</v>
      </c>
      <c r="R187" s="32" t="s">
        <v>791</v>
      </c>
      <c r="S187" s="33">
        <f>1483.68</f>
        <v>1483.68</v>
      </c>
      <c r="T187" s="30">
        <f>2056538</f>
        <v>2056538</v>
      </c>
      <c r="U187" s="30">
        <f>1065</f>
        <v>1065</v>
      </c>
      <c r="V187" s="30">
        <f>3087836943</f>
        <v>3087836943</v>
      </c>
      <c r="W187" s="30">
        <f>1503866</f>
        <v>1503866</v>
      </c>
      <c r="X187" s="34">
        <f>22</f>
        <v>22</v>
      </c>
    </row>
    <row r="188" spans="1:24" ht="13.5" customHeight="1" x14ac:dyDescent="0.15">
      <c r="A188" s="25" t="s">
        <v>1013</v>
      </c>
      <c r="B188" s="25" t="s">
        <v>589</v>
      </c>
      <c r="C188" s="25" t="s">
        <v>590</v>
      </c>
      <c r="D188" s="25" t="s">
        <v>591</v>
      </c>
      <c r="E188" s="26" t="s">
        <v>45</v>
      </c>
      <c r="F188" s="27" t="s">
        <v>45</v>
      </c>
      <c r="G188" s="28" t="s">
        <v>45</v>
      </c>
      <c r="H188" s="29"/>
      <c r="I188" s="29" t="s">
        <v>567</v>
      </c>
      <c r="J188" s="30">
        <v>1</v>
      </c>
      <c r="K188" s="31">
        <f>23880</f>
        <v>23880</v>
      </c>
      <c r="L188" s="32" t="s">
        <v>995</v>
      </c>
      <c r="M188" s="31">
        <f>24880</f>
        <v>24880</v>
      </c>
      <c r="N188" s="32" t="s">
        <v>1003</v>
      </c>
      <c r="O188" s="31">
        <f>22575</f>
        <v>22575</v>
      </c>
      <c r="P188" s="32" t="s">
        <v>80</v>
      </c>
      <c r="Q188" s="31">
        <f>23685</f>
        <v>23685</v>
      </c>
      <c r="R188" s="32" t="s">
        <v>791</v>
      </c>
      <c r="S188" s="33">
        <f>23516.59</f>
        <v>23516.59</v>
      </c>
      <c r="T188" s="30">
        <f>119429</f>
        <v>119429</v>
      </c>
      <c r="U188" s="30" t="str">
        <f>"－"</f>
        <v>－</v>
      </c>
      <c r="V188" s="30">
        <f>2809719170</f>
        <v>2809719170</v>
      </c>
      <c r="W188" s="30" t="str">
        <f>"－"</f>
        <v>－</v>
      </c>
      <c r="X188" s="34">
        <f>22</f>
        <v>22</v>
      </c>
    </row>
    <row r="189" spans="1:24" ht="13.5" customHeight="1" x14ac:dyDescent="0.15">
      <c r="A189" s="25" t="s">
        <v>1013</v>
      </c>
      <c r="B189" s="25" t="s">
        <v>592</v>
      </c>
      <c r="C189" s="25" t="s">
        <v>593</v>
      </c>
      <c r="D189" s="25" t="s">
        <v>594</v>
      </c>
      <c r="E189" s="26" t="s">
        <v>45</v>
      </c>
      <c r="F189" s="27" t="s">
        <v>45</v>
      </c>
      <c r="G189" s="28" t="s">
        <v>45</v>
      </c>
      <c r="H189" s="29"/>
      <c r="I189" s="29" t="s">
        <v>567</v>
      </c>
      <c r="J189" s="30">
        <v>1</v>
      </c>
      <c r="K189" s="31">
        <f>2974</f>
        <v>2974</v>
      </c>
      <c r="L189" s="32" t="s">
        <v>995</v>
      </c>
      <c r="M189" s="31">
        <f>3055</f>
        <v>3055</v>
      </c>
      <c r="N189" s="32" t="s">
        <v>876</v>
      </c>
      <c r="O189" s="31">
        <f>2893</f>
        <v>2893</v>
      </c>
      <c r="P189" s="32" t="s">
        <v>1003</v>
      </c>
      <c r="Q189" s="31">
        <f>2957</f>
        <v>2957</v>
      </c>
      <c r="R189" s="32" t="s">
        <v>791</v>
      </c>
      <c r="S189" s="33">
        <f>2980</f>
        <v>2980</v>
      </c>
      <c r="T189" s="30">
        <f>771337</f>
        <v>771337</v>
      </c>
      <c r="U189" s="30" t="str">
        <f>"－"</f>
        <v>－</v>
      </c>
      <c r="V189" s="30">
        <f>2310202866</f>
        <v>2310202866</v>
      </c>
      <c r="W189" s="30" t="str">
        <f>"－"</f>
        <v>－</v>
      </c>
      <c r="X189" s="34">
        <f>22</f>
        <v>22</v>
      </c>
    </row>
    <row r="190" spans="1:24" ht="13.5" customHeight="1" x14ac:dyDescent="0.15">
      <c r="A190" s="25" t="s">
        <v>1013</v>
      </c>
      <c r="B190" s="25" t="s">
        <v>595</v>
      </c>
      <c r="C190" s="25" t="s">
        <v>596</v>
      </c>
      <c r="D190" s="25" t="s">
        <v>597</v>
      </c>
      <c r="E190" s="26" t="s">
        <v>45</v>
      </c>
      <c r="F190" s="27" t="s">
        <v>45</v>
      </c>
      <c r="G190" s="28" t="s">
        <v>45</v>
      </c>
      <c r="H190" s="29"/>
      <c r="I190" s="29" t="s">
        <v>567</v>
      </c>
      <c r="J190" s="30">
        <v>1</v>
      </c>
      <c r="K190" s="31">
        <f>7965</f>
        <v>7965</v>
      </c>
      <c r="L190" s="32" t="s">
        <v>995</v>
      </c>
      <c r="M190" s="31">
        <f>8255</f>
        <v>8255</v>
      </c>
      <c r="N190" s="32" t="s">
        <v>1004</v>
      </c>
      <c r="O190" s="31">
        <f>7703</f>
        <v>7703</v>
      </c>
      <c r="P190" s="32" t="s">
        <v>876</v>
      </c>
      <c r="Q190" s="31">
        <f>8002</f>
        <v>8002</v>
      </c>
      <c r="R190" s="32" t="s">
        <v>791</v>
      </c>
      <c r="S190" s="33">
        <f>7987.91</f>
        <v>7987.91</v>
      </c>
      <c r="T190" s="30">
        <f>25919</f>
        <v>25919</v>
      </c>
      <c r="U190" s="30">
        <f>1</f>
        <v>1</v>
      </c>
      <c r="V190" s="30">
        <f>208615348</f>
        <v>208615348</v>
      </c>
      <c r="W190" s="30">
        <f>7950</f>
        <v>7950</v>
      </c>
      <c r="X190" s="34">
        <f>22</f>
        <v>22</v>
      </c>
    </row>
    <row r="191" spans="1:24" ht="13.5" customHeight="1" x14ac:dyDescent="0.15">
      <c r="A191" s="25" t="s">
        <v>1013</v>
      </c>
      <c r="B191" s="25" t="s">
        <v>598</v>
      </c>
      <c r="C191" s="25" t="s">
        <v>599</v>
      </c>
      <c r="D191" s="25" t="s">
        <v>600</v>
      </c>
      <c r="E191" s="26" t="s">
        <v>45</v>
      </c>
      <c r="F191" s="27" t="s">
        <v>45</v>
      </c>
      <c r="G191" s="28" t="s">
        <v>45</v>
      </c>
      <c r="H191" s="29"/>
      <c r="I191" s="29" t="s">
        <v>567</v>
      </c>
      <c r="J191" s="30">
        <v>1</v>
      </c>
      <c r="K191" s="31">
        <f>16250</f>
        <v>16250</v>
      </c>
      <c r="L191" s="32" t="s">
        <v>995</v>
      </c>
      <c r="M191" s="31">
        <f>16420</f>
        <v>16420</v>
      </c>
      <c r="N191" s="32" t="s">
        <v>1003</v>
      </c>
      <c r="O191" s="31">
        <f>15415</f>
        <v>15415</v>
      </c>
      <c r="P191" s="32" t="s">
        <v>255</v>
      </c>
      <c r="Q191" s="31">
        <f>16040</f>
        <v>16040</v>
      </c>
      <c r="R191" s="32" t="s">
        <v>893</v>
      </c>
      <c r="S191" s="33">
        <f>15872.89</f>
        <v>15872.89</v>
      </c>
      <c r="T191" s="30">
        <f>620</f>
        <v>620</v>
      </c>
      <c r="U191" s="30" t="str">
        <f>"－"</f>
        <v>－</v>
      </c>
      <c r="V191" s="30">
        <f>9873490</f>
        <v>9873490</v>
      </c>
      <c r="W191" s="30" t="str">
        <f>"－"</f>
        <v>－</v>
      </c>
      <c r="X191" s="34">
        <f>19</f>
        <v>19</v>
      </c>
    </row>
    <row r="192" spans="1:24" ht="13.5" customHeight="1" x14ac:dyDescent="0.15">
      <c r="A192" s="25" t="s">
        <v>1013</v>
      </c>
      <c r="B192" s="25" t="s">
        <v>601</v>
      </c>
      <c r="C192" s="25" t="s">
        <v>602</v>
      </c>
      <c r="D192" s="25" t="s">
        <v>603</v>
      </c>
      <c r="E192" s="26" t="s">
        <v>45</v>
      </c>
      <c r="F192" s="27" t="s">
        <v>45</v>
      </c>
      <c r="G192" s="28" t="s">
        <v>45</v>
      </c>
      <c r="H192" s="29"/>
      <c r="I192" s="29" t="s">
        <v>567</v>
      </c>
      <c r="J192" s="30">
        <v>1</v>
      </c>
      <c r="K192" s="31">
        <f>23390</f>
        <v>23390</v>
      </c>
      <c r="L192" s="32" t="s">
        <v>995</v>
      </c>
      <c r="M192" s="31">
        <f>23550</f>
        <v>23550</v>
      </c>
      <c r="N192" s="32" t="s">
        <v>78</v>
      </c>
      <c r="O192" s="31">
        <f>21305</f>
        <v>21305</v>
      </c>
      <c r="P192" s="32" t="s">
        <v>793</v>
      </c>
      <c r="Q192" s="31">
        <f>22535</f>
        <v>22535</v>
      </c>
      <c r="R192" s="32" t="s">
        <v>791</v>
      </c>
      <c r="S192" s="33">
        <f>22484.32</f>
        <v>22484.32</v>
      </c>
      <c r="T192" s="30">
        <f>33089</f>
        <v>33089</v>
      </c>
      <c r="U192" s="30">
        <f>2</f>
        <v>2</v>
      </c>
      <c r="V192" s="30">
        <f>753100600</f>
        <v>753100600</v>
      </c>
      <c r="W192" s="30">
        <f>47010</f>
        <v>47010</v>
      </c>
      <c r="X192" s="34">
        <f>22</f>
        <v>22</v>
      </c>
    </row>
    <row r="193" spans="1:24" ht="13.5" customHeight="1" x14ac:dyDescent="0.15">
      <c r="A193" s="25" t="s">
        <v>1013</v>
      </c>
      <c r="B193" s="25" t="s">
        <v>604</v>
      </c>
      <c r="C193" s="25" t="s">
        <v>605</v>
      </c>
      <c r="D193" s="25" t="s">
        <v>606</v>
      </c>
      <c r="E193" s="26" t="s">
        <v>45</v>
      </c>
      <c r="F193" s="27" t="s">
        <v>45</v>
      </c>
      <c r="G193" s="28" t="s">
        <v>45</v>
      </c>
      <c r="H193" s="29"/>
      <c r="I193" s="29" t="s">
        <v>567</v>
      </c>
      <c r="J193" s="30">
        <v>1</v>
      </c>
      <c r="K193" s="31">
        <f>15610</f>
        <v>15610</v>
      </c>
      <c r="L193" s="32" t="s">
        <v>995</v>
      </c>
      <c r="M193" s="31">
        <f>15620</f>
        <v>15620</v>
      </c>
      <c r="N193" s="32" t="s">
        <v>995</v>
      </c>
      <c r="O193" s="31">
        <f>14670</f>
        <v>14670</v>
      </c>
      <c r="P193" s="32" t="s">
        <v>1005</v>
      </c>
      <c r="Q193" s="31">
        <f>15200</f>
        <v>15200</v>
      </c>
      <c r="R193" s="32" t="s">
        <v>791</v>
      </c>
      <c r="S193" s="33">
        <f>15225</f>
        <v>15225</v>
      </c>
      <c r="T193" s="30">
        <f>1243</f>
        <v>1243</v>
      </c>
      <c r="U193" s="30" t="str">
        <f t="shared" ref="U193:U207" si="6">"－"</f>
        <v>－</v>
      </c>
      <c r="V193" s="30">
        <f>18545565</f>
        <v>18545565</v>
      </c>
      <c r="W193" s="30" t="str">
        <f t="shared" ref="W193:W207" si="7">"－"</f>
        <v>－</v>
      </c>
      <c r="X193" s="34">
        <f>16</f>
        <v>16</v>
      </c>
    </row>
    <row r="194" spans="1:24" ht="13.5" customHeight="1" x14ac:dyDescent="0.15">
      <c r="A194" s="25" t="s">
        <v>1013</v>
      </c>
      <c r="B194" s="25" t="s">
        <v>607</v>
      </c>
      <c r="C194" s="25" t="s">
        <v>608</v>
      </c>
      <c r="D194" s="25" t="s">
        <v>609</v>
      </c>
      <c r="E194" s="26" t="s">
        <v>45</v>
      </c>
      <c r="F194" s="27" t="s">
        <v>45</v>
      </c>
      <c r="G194" s="28" t="s">
        <v>45</v>
      </c>
      <c r="H194" s="29"/>
      <c r="I194" s="29" t="s">
        <v>567</v>
      </c>
      <c r="J194" s="30">
        <v>1</v>
      </c>
      <c r="K194" s="31">
        <f>17655</f>
        <v>17655</v>
      </c>
      <c r="L194" s="32" t="s">
        <v>995</v>
      </c>
      <c r="M194" s="31">
        <f>18380</f>
        <v>18380</v>
      </c>
      <c r="N194" s="32" t="s">
        <v>1003</v>
      </c>
      <c r="O194" s="31">
        <f>16020</f>
        <v>16020</v>
      </c>
      <c r="P194" s="32" t="s">
        <v>255</v>
      </c>
      <c r="Q194" s="31">
        <f>16960</f>
        <v>16960</v>
      </c>
      <c r="R194" s="32" t="s">
        <v>791</v>
      </c>
      <c r="S194" s="33">
        <f>17085.68</f>
        <v>17085.68</v>
      </c>
      <c r="T194" s="30">
        <f>34168</f>
        <v>34168</v>
      </c>
      <c r="U194" s="30" t="str">
        <f t="shared" si="6"/>
        <v>－</v>
      </c>
      <c r="V194" s="30">
        <f>581279950</f>
        <v>581279950</v>
      </c>
      <c r="W194" s="30" t="str">
        <f t="shared" si="7"/>
        <v>－</v>
      </c>
      <c r="X194" s="34">
        <f>22</f>
        <v>22</v>
      </c>
    </row>
    <row r="195" spans="1:24" ht="13.5" customHeight="1" x14ac:dyDescent="0.15">
      <c r="A195" s="25" t="s">
        <v>1013</v>
      </c>
      <c r="B195" s="25" t="s">
        <v>610</v>
      </c>
      <c r="C195" s="25" t="s">
        <v>611</v>
      </c>
      <c r="D195" s="25" t="s">
        <v>612</v>
      </c>
      <c r="E195" s="26" t="s">
        <v>45</v>
      </c>
      <c r="F195" s="27" t="s">
        <v>45</v>
      </c>
      <c r="G195" s="28" t="s">
        <v>45</v>
      </c>
      <c r="H195" s="29"/>
      <c r="I195" s="29" t="s">
        <v>567</v>
      </c>
      <c r="J195" s="30">
        <v>1</v>
      </c>
      <c r="K195" s="31">
        <f>4440</f>
        <v>4440</v>
      </c>
      <c r="L195" s="32" t="s">
        <v>995</v>
      </c>
      <c r="M195" s="31">
        <f>4470</f>
        <v>4470</v>
      </c>
      <c r="N195" s="32" t="s">
        <v>56</v>
      </c>
      <c r="O195" s="31">
        <f>4250</f>
        <v>4250</v>
      </c>
      <c r="P195" s="32" t="s">
        <v>78</v>
      </c>
      <c r="Q195" s="31">
        <f>4320</f>
        <v>4320</v>
      </c>
      <c r="R195" s="32" t="s">
        <v>791</v>
      </c>
      <c r="S195" s="33">
        <f>4334.09</f>
        <v>4334.09</v>
      </c>
      <c r="T195" s="30">
        <f>8046</f>
        <v>8046</v>
      </c>
      <c r="U195" s="30" t="str">
        <f t="shared" si="6"/>
        <v>－</v>
      </c>
      <c r="V195" s="30">
        <f>34913505</f>
        <v>34913505</v>
      </c>
      <c r="W195" s="30" t="str">
        <f t="shared" si="7"/>
        <v>－</v>
      </c>
      <c r="X195" s="34">
        <f>22</f>
        <v>22</v>
      </c>
    </row>
    <row r="196" spans="1:24" ht="13.5" customHeight="1" x14ac:dyDescent="0.15">
      <c r="A196" s="25" t="s">
        <v>1013</v>
      </c>
      <c r="B196" s="25" t="s">
        <v>613</v>
      </c>
      <c r="C196" s="25" t="s">
        <v>614</v>
      </c>
      <c r="D196" s="25" t="s">
        <v>615</v>
      </c>
      <c r="E196" s="26" t="s">
        <v>45</v>
      </c>
      <c r="F196" s="27" t="s">
        <v>45</v>
      </c>
      <c r="G196" s="28" t="s">
        <v>45</v>
      </c>
      <c r="H196" s="29"/>
      <c r="I196" s="29" t="s">
        <v>567</v>
      </c>
      <c r="J196" s="30">
        <v>1</v>
      </c>
      <c r="K196" s="31">
        <f>17180</f>
        <v>17180</v>
      </c>
      <c r="L196" s="32" t="s">
        <v>995</v>
      </c>
      <c r="M196" s="31">
        <f>17935</f>
        <v>17935</v>
      </c>
      <c r="N196" s="32" t="s">
        <v>1004</v>
      </c>
      <c r="O196" s="31">
        <f>15380</f>
        <v>15380</v>
      </c>
      <c r="P196" s="32" t="s">
        <v>876</v>
      </c>
      <c r="Q196" s="31">
        <f>16480</f>
        <v>16480</v>
      </c>
      <c r="R196" s="32" t="s">
        <v>791</v>
      </c>
      <c r="S196" s="33">
        <f>16395.28</f>
        <v>16395.28</v>
      </c>
      <c r="T196" s="30">
        <f>2115</f>
        <v>2115</v>
      </c>
      <c r="U196" s="30" t="str">
        <f t="shared" si="6"/>
        <v>－</v>
      </c>
      <c r="V196" s="30">
        <f>36482230</f>
        <v>36482230</v>
      </c>
      <c r="W196" s="30" t="str">
        <f t="shared" si="7"/>
        <v>－</v>
      </c>
      <c r="X196" s="34">
        <f>18</f>
        <v>18</v>
      </c>
    </row>
    <row r="197" spans="1:24" ht="13.5" customHeight="1" x14ac:dyDescent="0.15">
      <c r="A197" s="25" t="s">
        <v>1013</v>
      </c>
      <c r="B197" s="25" t="s">
        <v>616</v>
      </c>
      <c r="C197" s="25" t="s">
        <v>617</v>
      </c>
      <c r="D197" s="25" t="s">
        <v>618</v>
      </c>
      <c r="E197" s="26" t="s">
        <v>45</v>
      </c>
      <c r="F197" s="27" t="s">
        <v>45</v>
      </c>
      <c r="G197" s="28" t="s">
        <v>45</v>
      </c>
      <c r="H197" s="29"/>
      <c r="I197" s="29" t="s">
        <v>567</v>
      </c>
      <c r="J197" s="30">
        <v>1</v>
      </c>
      <c r="K197" s="31">
        <f>13830</f>
        <v>13830</v>
      </c>
      <c r="L197" s="32" t="s">
        <v>996</v>
      </c>
      <c r="M197" s="31">
        <f>14240</f>
        <v>14240</v>
      </c>
      <c r="N197" s="32" t="s">
        <v>875</v>
      </c>
      <c r="O197" s="31">
        <f>13280</f>
        <v>13280</v>
      </c>
      <c r="P197" s="32" t="s">
        <v>876</v>
      </c>
      <c r="Q197" s="31">
        <f>13960</f>
        <v>13960</v>
      </c>
      <c r="R197" s="32" t="s">
        <v>791</v>
      </c>
      <c r="S197" s="33">
        <f>13704.58</f>
        <v>13704.58</v>
      </c>
      <c r="T197" s="30">
        <f>402</f>
        <v>402</v>
      </c>
      <c r="U197" s="30" t="str">
        <f t="shared" si="6"/>
        <v>－</v>
      </c>
      <c r="V197" s="30">
        <f>5472810</f>
        <v>5472810</v>
      </c>
      <c r="W197" s="30" t="str">
        <f t="shared" si="7"/>
        <v>－</v>
      </c>
      <c r="X197" s="34">
        <f>12</f>
        <v>12</v>
      </c>
    </row>
    <row r="198" spans="1:24" ht="13.5" customHeight="1" x14ac:dyDescent="0.15">
      <c r="A198" s="25" t="s">
        <v>1013</v>
      </c>
      <c r="B198" s="25" t="s">
        <v>619</v>
      </c>
      <c r="C198" s="25" t="s">
        <v>620</v>
      </c>
      <c r="D198" s="25" t="s">
        <v>621</v>
      </c>
      <c r="E198" s="26" t="s">
        <v>45</v>
      </c>
      <c r="F198" s="27" t="s">
        <v>45</v>
      </c>
      <c r="G198" s="28" t="s">
        <v>45</v>
      </c>
      <c r="H198" s="29"/>
      <c r="I198" s="29" t="s">
        <v>567</v>
      </c>
      <c r="J198" s="30">
        <v>1</v>
      </c>
      <c r="K198" s="31">
        <f>19920</f>
        <v>19920</v>
      </c>
      <c r="L198" s="32" t="s">
        <v>995</v>
      </c>
      <c r="M198" s="31">
        <f>20720</f>
        <v>20720</v>
      </c>
      <c r="N198" s="32" t="s">
        <v>1004</v>
      </c>
      <c r="O198" s="31">
        <f>18105</f>
        <v>18105</v>
      </c>
      <c r="P198" s="32" t="s">
        <v>793</v>
      </c>
      <c r="Q198" s="31">
        <f>19175</f>
        <v>19175</v>
      </c>
      <c r="R198" s="32" t="s">
        <v>791</v>
      </c>
      <c r="S198" s="33">
        <f>19326.67</f>
        <v>19326.669999999998</v>
      </c>
      <c r="T198" s="30">
        <f>913</f>
        <v>913</v>
      </c>
      <c r="U198" s="30" t="str">
        <f t="shared" si="6"/>
        <v>－</v>
      </c>
      <c r="V198" s="30">
        <f>18134760</f>
        <v>18134760</v>
      </c>
      <c r="W198" s="30" t="str">
        <f t="shared" si="7"/>
        <v>－</v>
      </c>
      <c r="X198" s="34">
        <f>15</f>
        <v>15</v>
      </c>
    </row>
    <row r="199" spans="1:24" ht="13.5" customHeight="1" x14ac:dyDescent="0.15">
      <c r="A199" s="25" t="s">
        <v>1013</v>
      </c>
      <c r="B199" s="25" t="s">
        <v>622</v>
      </c>
      <c r="C199" s="25" t="s">
        <v>623</v>
      </c>
      <c r="D199" s="25" t="s">
        <v>624</v>
      </c>
      <c r="E199" s="26" t="s">
        <v>45</v>
      </c>
      <c r="F199" s="27" t="s">
        <v>45</v>
      </c>
      <c r="G199" s="28" t="s">
        <v>45</v>
      </c>
      <c r="H199" s="29"/>
      <c r="I199" s="29" t="s">
        <v>567</v>
      </c>
      <c r="J199" s="30">
        <v>1</v>
      </c>
      <c r="K199" s="31">
        <f>16345</f>
        <v>16345</v>
      </c>
      <c r="L199" s="32" t="s">
        <v>996</v>
      </c>
      <c r="M199" s="31">
        <f>16355</f>
        <v>16355</v>
      </c>
      <c r="N199" s="32" t="s">
        <v>1004</v>
      </c>
      <c r="O199" s="31">
        <f>15145</f>
        <v>15145</v>
      </c>
      <c r="P199" s="32" t="s">
        <v>1017</v>
      </c>
      <c r="Q199" s="31">
        <f>15145</f>
        <v>15145</v>
      </c>
      <c r="R199" s="32" t="s">
        <v>1017</v>
      </c>
      <c r="S199" s="33">
        <f>15885.71</f>
        <v>15885.71</v>
      </c>
      <c r="T199" s="30">
        <f>71</f>
        <v>71</v>
      </c>
      <c r="U199" s="30" t="str">
        <f t="shared" si="6"/>
        <v>－</v>
      </c>
      <c r="V199" s="30">
        <f>1127045</f>
        <v>1127045</v>
      </c>
      <c r="W199" s="30" t="str">
        <f t="shared" si="7"/>
        <v>－</v>
      </c>
      <c r="X199" s="34">
        <f>7</f>
        <v>7</v>
      </c>
    </row>
    <row r="200" spans="1:24" ht="13.5" customHeight="1" x14ac:dyDescent="0.15">
      <c r="A200" s="25" t="s">
        <v>1013</v>
      </c>
      <c r="B200" s="25" t="s">
        <v>625</v>
      </c>
      <c r="C200" s="25" t="s">
        <v>626</v>
      </c>
      <c r="D200" s="25" t="s">
        <v>627</v>
      </c>
      <c r="E200" s="26" t="s">
        <v>45</v>
      </c>
      <c r="F200" s="27" t="s">
        <v>45</v>
      </c>
      <c r="G200" s="28" t="s">
        <v>45</v>
      </c>
      <c r="H200" s="29"/>
      <c r="I200" s="29" t="s">
        <v>567</v>
      </c>
      <c r="J200" s="30">
        <v>1</v>
      </c>
      <c r="K200" s="31">
        <f>13525</f>
        <v>13525</v>
      </c>
      <c r="L200" s="32" t="s">
        <v>995</v>
      </c>
      <c r="M200" s="31">
        <f>14095</f>
        <v>14095</v>
      </c>
      <c r="N200" s="32" t="s">
        <v>1004</v>
      </c>
      <c r="O200" s="31">
        <f>13105</f>
        <v>13105</v>
      </c>
      <c r="P200" s="32" t="s">
        <v>80</v>
      </c>
      <c r="Q200" s="31">
        <f>13630</f>
        <v>13630</v>
      </c>
      <c r="R200" s="32" t="s">
        <v>893</v>
      </c>
      <c r="S200" s="33">
        <f>13527.33</f>
        <v>13527.33</v>
      </c>
      <c r="T200" s="30">
        <f>1486</f>
        <v>1486</v>
      </c>
      <c r="U200" s="30" t="str">
        <f t="shared" si="6"/>
        <v>－</v>
      </c>
      <c r="V200" s="30">
        <f>20082815</f>
        <v>20082815</v>
      </c>
      <c r="W200" s="30" t="str">
        <f t="shared" si="7"/>
        <v>－</v>
      </c>
      <c r="X200" s="34">
        <f>15</f>
        <v>15</v>
      </c>
    </row>
    <row r="201" spans="1:24" ht="13.5" customHeight="1" x14ac:dyDescent="0.15">
      <c r="A201" s="25" t="s">
        <v>1013</v>
      </c>
      <c r="B201" s="25" t="s">
        <v>628</v>
      </c>
      <c r="C201" s="25" t="s">
        <v>629</v>
      </c>
      <c r="D201" s="25" t="s">
        <v>630</v>
      </c>
      <c r="E201" s="26" t="s">
        <v>45</v>
      </c>
      <c r="F201" s="27" t="s">
        <v>45</v>
      </c>
      <c r="G201" s="28" t="s">
        <v>45</v>
      </c>
      <c r="H201" s="29"/>
      <c r="I201" s="29" t="s">
        <v>567</v>
      </c>
      <c r="J201" s="30">
        <v>1</v>
      </c>
      <c r="K201" s="31">
        <f>16510</f>
        <v>16510</v>
      </c>
      <c r="L201" s="32" t="s">
        <v>996</v>
      </c>
      <c r="M201" s="31">
        <f>16805</f>
        <v>16805</v>
      </c>
      <c r="N201" s="32" t="s">
        <v>1000</v>
      </c>
      <c r="O201" s="31">
        <f>15340</f>
        <v>15340</v>
      </c>
      <c r="P201" s="32" t="s">
        <v>80</v>
      </c>
      <c r="Q201" s="31">
        <f>16140</f>
        <v>16140</v>
      </c>
      <c r="R201" s="32" t="s">
        <v>893</v>
      </c>
      <c r="S201" s="33">
        <f>15962.08</f>
        <v>15962.08</v>
      </c>
      <c r="T201" s="30">
        <f>96</f>
        <v>96</v>
      </c>
      <c r="U201" s="30" t="str">
        <f t="shared" si="6"/>
        <v>－</v>
      </c>
      <c r="V201" s="30">
        <f>1521345</f>
        <v>1521345</v>
      </c>
      <c r="W201" s="30" t="str">
        <f t="shared" si="7"/>
        <v>－</v>
      </c>
      <c r="X201" s="34">
        <f>12</f>
        <v>12</v>
      </c>
    </row>
    <row r="202" spans="1:24" ht="13.5" customHeight="1" x14ac:dyDescent="0.15">
      <c r="A202" s="25" t="s">
        <v>1013</v>
      </c>
      <c r="B202" s="25" t="s">
        <v>631</v>
      </c>
      <c r="C202" s="25" t="s">
        <v>632</v>
      </c>
      <c r="D202" s="25" t="s">
        <v>633</v>
      </c>
      <c r="E202" s="26" t="s">
        <v>45</v>
      </c>
      <c r="F202" s="27" t="s">
        <v>45</v>
      </c>
      <c r="G202" s="28" t="s">
        <v>45</v>
      </c>
      <c r="H202" s="29"/>
      <c r="I202" s="29" t="s">
        <v>567</v>
      </c>
      <c r="J202" s="30">
        <v>1</v>
      </c>
      <c r="K202" s="31">
        <f>13345</f>
        <v>13345</v>
      </c>
      <c r="L202" s="32" t="s">
        <v>1005</v>
      </c>
      <c r="M202" s="31">
        <f>13665</f>
        <v>13665</v>
      </c>
      <c r="N202" s="32" t="s">
        <v>997</v>
      </c>
      <c r="O202" s="31">
        <f>13340</f>
        <v>13340</v>
      </c>
      <c r="P202" s="32" t="s">
        <v>876</v>
      </c>
      <c r="Q202" s="31">
        <f>13520</f>
        <v>13520</v>
      </c>
      <c r="R202" s="32" t="s">
        <v>997</v>
      </c>
      <c r="S202" s="33">
        <f>13523.57</f>
        <v>13523.57</v>
      </c>
      <c r="T202" s="30">
        <f>110</f>
        <v>110</v>
      </c>
      <c r="U202" s="30" t="str">
        <f t="shared" si="6"/>
        <v>－</v>
      </c>
      <c r="V202" s="30">
        <f>1477540</f>
        <v>1477540</v>
      </c>
      <c r="W202" s="30" t="str">
        <f t="shared" si="7"/>
        <v>－</v>
      </c>
      <c r="X202" s="34">
        <f>7</f>
        <v>7</v>
      </c>
    </row>
    <row r="203" spans="1:24" ht="13.5" customHeight="1" x14ac:dyDescent="0.15">
      <c r="A203" s="25" t="s">
        <v>1013</v>
      </c>
      <c r="B203" s="25" t="s">
        <v>634</v>
      </c>
      <c r="C203" s="25" t="s">
        <v>635</v>
      </c>
      <c r="D203" s="25" t="s">
        <v>636</v>
      </c>
      <c r="E203" s="26" t="s">
        <v>45</v>
      </c>
      <c r="F203" s="27" t="s">
        <v>45</v>
      </c>
      <c r="G203" s="28" t="s">
        <v>45</v>
      </c>
      <c r="H203" s="29"/>
      <c r="I203" s="29" t="s">
        <v>567</v>
      </c>
      <c r="J203" s="30">
        <v>1</v>
      </c>
      <c r="K203" s="31">
        <f>9195</f>
        <v>9195</v>
      </c>
      <c r="L203" s="32" t="s">
        <v>995</v>
      </c>
      <c r="M203" s="31">
        <f>9503</f>
        <v>9503</v>
      </c>
      <c r="N203" s="32" t="s">
        <v>791</v>
      </c>
      <c r="O203" s="31">
        <f>9195</f>
        <v>9195</v>
      </c>
      <c r="P203" s="32" t="s">
        <v>995</v>
      </c>
      <c r="Q203" s="31">
        <f>9503</f>
        <v>9503</v>
      </c>
      <c r="R203" s="32" t="s">
        <v>791</v>
      </c>
      <c r="S203" s="33">
        <f>9326.27</f>
        <v>9326.27</v>
      </c>
      <c r="T203" s="30">
        <f>4003</f>
        <v>4003</v>
      </c>
      <c r="U203" s="30" t="str">
        <f t="shared" si="6"/>
        <v>－</v>
      </c>
      <c r="V203" s="30">
        <f>37335035</f>
        <v>37335035</v>
      </c>
      <c r="W203" s="30" t="str">
        <f t="shared" si="7"/>
        <v>－</v>
      </c>
      <c r="X203" s="34">
        <f>15</f>
        <v>15</v>
      </c>
    </row>
    <row r="204" spans="1:24" ht="13.5" customHeight="1" x14ac:dyDescent="0.15">
      <c r="A204" s="25" t="s">
        <v>1013</v>
      </c>
      <c r="B204" s="25" t="s">
        <v>637</v>
      </c>
      <c r="C204" s="25" t="s">
        <v>638</v>
      </c>
      <c r="D204" s="25" t="s">
        <v>639</v>
      </c>
      <c r="E204" s="26" t="s">
        <v>45</v>
      </c>
      <c r="F204" s="27" t="s">
        <v>45</v>
      </c>
      <c r="G204" s="28" t="s">
        <v>45</v>
      </c>
      <c r="H204" s="29"/>
      <c r="I204" s="29" t="s">
        <v>567</v>
      </c>
      <c r="J204" s="30">
        <v>1</v>
      </c>
      <c r="K204" s="31">
        <f>10050</f>
        <v>10050</v>
      </c>
      <c r="L204" s="32" t="s">
        <v>995</v>
      </c>
      <c r="M204" s="31">
        <f>10500</f>
        <v>10500</v>
      </c>
      <c r="N204" s="32" t="s">
        <v>791</v>
      </c>
      <c r="O204" s="31">
        <f>9903</f>
        <v>9903</v>
      </c>
      <c r="P204" s="32" t="s">
        <v>876</v>
      </c>
      <c r="Q204" s="31">
        <f>10500</f>
        <v>10500</v>
      </c>
      <c r="R204" s="32" t="s">
        <v>791</v>
      </c>
      <c r="S204" s="33">
        <f>10221.95</f>
        <v>10221.950000000001</v>
      </c>
      <c r="T204" s="30">
        <f>37518</f>
        <v>37518</v>
      </c>
      <c r="U204" s="30" t="str">
        <f t="shared" si="6"/>
        <v>－</v>
      </c>
      <c r="V204" s="30">
        <f>384899875</f>
        <v>384899875</v>
      </c>
      <c r="W204" s="30" t="str">
        <f t="shared" si="7"/>
        <v>－</v>
      </c>
      <c r="X204" s="34">
        <f>20</f>
        <v>20</v>
      </c>
    </row>
    <row r="205" spans="1:24" ht="13.5" customHeight="1" x14ac:dyDescent="0.15">
      <c r="A205" s="25" t="s">
        <v>1013</v>
      </c>
      <c r="B205" s="25" t="s">
        <v>640</v>
      </c>
      <c r="C205" s="25" t="s">
        <v>641</v>
      </c>
      <c r="D205" s="25" t="s">
        <v>642</v>
      </c>
      <c r="E205" s="26" t="s">
        <v>45</v>
      </c>
      <c r="F205" s="27" t="s">
        <v>45</v>
      </c>
      <c r="G205" s="28" t="s">
        <v>45</v>
      </c>
      <c r="H205" s="29"/>
      <c r="I205" s="29" t="s">
        <v>567</v>
      </c>
      <c r="J205" s="30">
        <v>1</v>
      </c>
      <c r="K205" s="31">
        <f>10100</f>
        <v>10100</v>
      </c>
      <c r="L205" s="32" t="s">
        <v>995</v>
      </c>
      <c r="M205" s="31">
        <f>10400</f>
        <v>10400</v>
      </c>
      <c r="N205" s="32" t="s">
        <v>78</v>
      </c>
      <c r="O205" s="31">
        <f>9967</f>
        <v>9967</v>
      </c>
      <c r="P205" s="32" t="s">
        <v>876</v>
      </c>
      <c r="Q205" s="31">
        <f>10355</f>
        <v>10355</v>
      </c>
      <c r="R205" s="32" t="s">
        <v>791</v>
      </c>
      <c r="S205" s="33">
        <f>10225.5</f>
        <v>10225.5</v>
      </c>
      <c r="T205" s="30">
        <f>14480</f>
        <v>14480</v>
      </c>
      <c r="U205" s="30" t="str">
        <f t="shared" si="6"/>
        <v>－</v>
      </c>
      <c r="V205" s="30">
        <f>149747085</f>
        <v>149747085</v>
      </c>
      <c r="W205" s="30" t="str">
        <f t="shared" si="7"/>
        <v>－</v>
      </c>
      <c r="X205" s="34">
        <f>14</f>
        <v>14</v>
      </c>
    </row>
    <row r="206" spans="1:24" ht="13.5" customHeight="1" x14ac:dyDescent="0.15">
      <c r="A206" s="25" t="s">
        <v>1013</v>
      </c>
      <c r="B206" s="25" t="s">
        <v>899</v>
      </c>
      <c r="C206" s="25" t="s">
        <v>900</v>
      </c>
      <c r="D206" s="25" t="s">
        <v>901</v>
      </c>
      <c r="E206" s="26" t="s">
        <v>45</v>
      </c>
      <c r="F206" s="27" t="s">
        <v>45</v>
      </c>
      <c r="G206" s="28" t="s">
        <v>45</v>
      </c>
      <c r="H206" s="29"/>
      <c r="I206" s="29" t="s">
        <v>567</v>
      </c>
      <c r="J206" s="30">
        <v>1</v>
      </c>
      <c r="K206" s="31" t="str">
        <f>"－"</f>
        <v>－</v>
      </c>
      <c r="L206" s="32"/>
      <c r="M206" s="31" t="str">
        <f>"－"</f>
        <v>－</v>
      </c>
      <c r="N206" s="32"/>
      <c r="O206" s="31" t="str">
        <f>"－"</f>
        <v>－</v>
      </c>
      <c r="P206" s="32"/>
      <c r="Q206" s="31" t="str">
        <f>"－"</f>
        <v>－</v>
      </c>
      <c r="R206" s="32"/>
      <c r="S206" s="33" t="str">
        <f>"－"</f>
        <v>－</v>
      </c>
      <c r="T206" s="30" t="str">
        <f>"－"</f>
        <v>－</v>
      </c>
      <c r="U206" s="30" t="str">
        <f t="shared" si="6"/>
        <v>－</v>
      </c>
      <c r="V206" s="30" t="str">
        <f>"－"</f>
        <v>－</v>
      </c>
      <c r="W206" s="30" t="str">
        <f t="shared" si="7"/>
        <v>－</v>
      </c>
      <c r="X206" s="34" t="str">
        <f>"－"</f>
        <v>－</v>
      </c>
    </row>
    <row r="207" spans="1:24" ht="13.5" customHeight="1" x14ac:dyDescent="0.15">
      <c r="A207" s="25" t="s">
        <v>1013</v>
      </c>
      <c r="B207" s="25" t="s">
        <v>986</v>
      </c>
      <c r="C207" s="25" t="s">
        <v>987</v>
      </c>
      <c r="D207" s="25" t="s">
        <v>988</v>
      </c>
      <c r="E207" s="26" t="s">
        <v>45</v>
      </c>
      <c r="F207" s="27" t="s">
        <v>45</v>
      </c>
      <c r="G207" s="28" t="s">
        <v>45</v>
      </c>
      <c r="H207" s="29"/>
      <c r="I207" s="29" t="s">
        <v>46</v>
      </c>
      <c r="J207" s="30">
        <v>10</v>
      </c>
      <c r="K207" s="31">
        <f>1930</f>
        <v>1930</v>
      </c>
      <c r="L207" s="32" t="s">
        <v>995</v>
      </c>
      <c r="M207" s="31">
        <f>1978</f>
        <v>1978</v>
      </c>
      <c r="N207" s="32" t="s">
        <v>1003</v>
      </c>
      <c r="O207" s="31">
        <f>1816</f>
        <v>1816</v>
      </c>
      <c r="P207" s="32" t="s">
        <v>793</v>
      </c>
      <c r="Q207" s="31">
        <f>1898.5</f>
        <v>1898.5</v>
      </c>
      <c r="R207" s="32" t="s">
        <v>791</v>
      </c>
      <c r="S207" s="33">
        <f>1890.11</f>
        <v>1890.11</v>
      </c>
      <c r="T207" s="30">
        <f>98740</f>
        <v>98740</v>
      </c>
      <c r="U207" s="30" t="str">
        <f t="shared" si="6"/>
        <v>－</v>
      </c>
      <c r="V207" s="30">
        <f>182957365</f>
        <v>182957365</v>
      </c>
      <c r="W207" s="30" t="str">
        <f t="shared" si="7"/>
        <v>－</v>
      </c>
      <c r="X207" s="34">
        <f>22</f>
        <v>22</v>
      </c>
    </row>
    <row r="208" spans="1:24" ht="13.5" customHeight="1" x14ac:dyDescent="0.15">
      <c r="A208" s="25" t="s">
        <v>1013</v>
      </c>
      <c r="B208" s="25" t="s">
        <v>990</v>
      </c>
      <c r="C208" s="25" t="s">
        <v>991</v>
      </c>
      <c r="D208" s="25" t="s">
        <v>992</v>
      </c>
      <c r="E208" s="26" t="s">
        <v>45</v>
      </c>
      <c r="F208" s="27" t="s">
        <v>45</v>
      </c>
      <c r="G208" s="28" t="s">
        <v>45</v>
      </c>
      <c r="H208" s="29"/>
      <c r="I208" s="29" t="s">
        <v>46</v>
      </c>
      <c r="J208" s="30">
        <v>1</v>
      </c>
      <c r="K208" s="31">
        <f>1006</f>
        <v>1006</v>
      </c>
      <c r="L208" s="32" t="s">
        <v>995</v>
      </c>
      <c r="M208" s="31">
        <f>1018</f>
        <v>1018</v>
      </c>
      <c r="N208" s="32" t="s">
        <v>78</v>
      </c>
      <c r="O208" s="31">
        <f>918</f>
        <v>918</v>
      </c>
      <c r="P208" s="32" t="s">
        <v>793</v>
      </c>
      <c r="Q208" s="31">
        <f>974</f>
        <v>974</v>
      </c>
      <c r="R208" s="32" t="s">
        <v>791</v>
      </c>
      <c r="S208" s="33">
        <f>973.45</f>
        <v>973.45</v>
      </c>
      <c r="T208" s="30">
        <f>2620558</f>
        <v>2620558</v>
      </c>
      <c r="U208" s="30">
        <f>50447</f>
        <v>50447</v>
      </c>
      <c r="V208" s="30">
        <f>2523723206</f>
        <v>2523723206</v>
      </c>
      <c r="W208" s="30">
        <f>48243646</f>
        <v>48243646</v>
      </c>
      <c r="X208" s="34">
        <f>22</f>
        <v>22</v>
      </c>
    </row>
    <row r="209" spans="1:24" ht="13.5" customHeight="1" x14ac:dyDescent="0.15">
      <c r="A209" s="25" t="s">
        <v>1013</v>
      </c>
      <c r="B209" s="25" t="s">
        <v>1006</v>
      </c>
      <c r="C209" s="25" t="s">
        <v>1007</v>
      </c>
      <c r="D209" s="25" t="s">
        <v>1008</v>
      </c>
      <c r="E209" s="26" t="s">
        <v>45</v>
      </c>
      <c r="F209" s="27" t="s">
        <v>45</v>
      </c>
      <c r="G209" s="28" t="s">
        <v>45</v>
      </c>
      <c r="H209" s="29"/>
      <c r="I209" s="29" t="s">
        <v>46</v>
      </c>
      <c r="J209" s="30">
        <v>1</v>
      </c>
      <c r="K209" s="31">
        <f>48170</f>
        <v>48170</v>
      </c>
      <c r="L209" s="32" t="s">
        <v>995</v>
      </c>
      <c r="M209" s="31">
        <f>50540</f>
        <v>50540</v>
      </c>
      <c r="N209" s="32" t="s">
        <v>1003</v>
      </c>
      <c r="O209" s="31">
        <f>45560</f>
        <v>45560</v>
      </c>
      <c r="P209" s="32" t="s">
        <v>1005</v>
      </c>
      <c r="Q209" s="31">
        <f>50120</f>
        <v>50120</v>
      </c>
      <c r="R209" s="32" t="s">
        <v>791</v>
      </c>
      <c r="S209" s="33">
        <f>48216.82</f>
        <v>48216.82</v>
      </c>
      <c r="T209" s="30">
        <f>112233</f>
        <v>112233</v>
      </c>
      <c r="U209" s="30" t="str">
        <f>"－"</f>
        <v>－</v>
      </c>
      <c r="V209" s="30">
        <f>5341012500</f>
        <v>5341012500</v>
      </c>
      <c r="W209" s="30" t="str">
        <f>"－"</f>
        <v>－</v>
      </c>
      <c r="X209" s="34">
        <f>22</f>
        <v>22</v>
      </c>
    </row>
    <row r="210" spans="1:24" ht="13.5" customHeight="1" x14ac:dyDescent="0.15">
      <c r="A210" s="25" t="s">
        <v>1013</v>
      </c>
      <c r="B210" s="25" t="s">
        <v>1010</v>
      </c>
      <c r="C210" s="25" t="s">
        <v>1011</v>
      </c>
      <c r="D210" s="25" t="s">
        <v>1012</v>
      </c>
      <c r="E210" s="26" t="s">
        <v>45</v>
      </c>
      <c r="F210" s="27" t="s">
        <v>45</v>
      </c>
      <c r="G210" s="28" t="s">
        <v>45</v>
      </c>
      <c r="H210" s="29"/>
      <c r="I210" s="29" t="s">
        <v>46</v>
      </c>
      <c r="J210" s="30">
        <v>1</v>
      </c>
      <c r="K210" s="31">
        <f>9897</f>
        <v>9897</v>
      </c>
      <c r="L210" s="32" t="s">
        <v>995</v>
      </c>
      <c r="M210" s="31">
        <f>10130</f>
        <v>10130</v>
      </c>
      <c r="N210" s="32" t="s">
        <v>1005</v>
      </c>
      <c r="O210" s="31">
        <f>9595</f>
        <v>9595</v>
      </c>
      <c r="P210" s="32" t="s">
        <v>791</v>
      </c>
      <c r="Q210" s="31">
        <f>9611</f>
        <v>9611</v>
      </c>
      <c r="R210" s="32" t="s">
        <v>791</v>
      </c>
      <c r="S210" s="33">
        <f>9843.45</f>
        <v>9843.4500000000007</v>
      </c>
      <c r="T210" s="30">
        <f>707780</f>
        <v>707780</v>
      </c>
      <c r="U210" s="30">
        <f>598068</f>
        <v>598068</v>
      </c>
      <c r="V210" s="30">
        <f>7009657493</f>
        <v>7009657493</v>
      </c>
      <c r="W210" s="30">
        <f>5918281272</f>
        <v>5918281272</v>
      </c>
      <c r="X210" s="34">
        <f>22</f>
        <v>22</v>
      </c>
    </row>
    <row r="211" spans="1:24" ht="13.5" customHeight="1" x14ac:dyDescent="0.15">
      <c r="A211" s="25" t="s">
        <v>1013</v>
      </c>
      <c r="B211" s="25" t="s">
        <v>1018</v>
      </c>
      <c r="C211" s="25" t="s">
        <v>1019</v>
      </c>
      <c r="D211" s="25" t="s">
        <v>1020</v>
      </c>
      <c r="E211" s="26" t="s">
        <v>782</v>
      </c>
      <c r="F211" s="27" t="s">
        <v>783</v>
      </c>
      <c r="G211" s="28" t="s">
        <v>1021</v>
      </c>
      <c r="H211" s="29"/>
      <c r="I211" s="29" t="s">
        <v>46</v>
      </c>
      <c r="J211" s="30">
        <v>10</v>
      </c>
      <c r="K211" s="31">
        <f>10235</f>
        <v>10235</v>
      </c>
      <c r="L211" s="32" t="s">
        <v>792</v>
      </c>
      <c r="M211" s="31">
        <f>10720</f>
        <v>10720</v>
      </c>
      <c r="N211" s="32" t="s">
        <v>791</v>
      </c>
      <c r="O211" s="31">
        <f>10010</f>
        <v>10010</v>
      </c>
      <c r="P211" s="32" t="s">
        <v>80</v>
      </c>
      <c r="Q211" s="31">
        <f>10695</f>
        <v>10695</v>
      </c>
      <c r="R211" s="32" t="s">
        <v>791</v>
      </c>
      <c r="S211" s="33">
        <f>10322</f>
        <v>10322</v>
      </c>
      <c r="T211" s="30">
        <f>3330</f>
        <v>3330</v>
      </c>
      <c r="U211" s="30" t="str">
        <f>"－"</f>
        <v>－</v>
      </c>
      <c r="V211" s="30">
        <f>34220850</f>
        <v>34220850</v>
      </c>
      <c r="W211" s="30" t="str">
        <f>"－"</f>
        <v>－</v>
      </c>
      <c r="X211" s="34">
        <f>10</f>
        <v>10</v>
      </c>
    </row>
    <row r="212" spans="1:24" ht="13.5" customHeight="1" x14ac:dyDescent="0.15">
      <c r="A212" s="25" t="s">
        <v>1013</v>
      </c>
      <c r="B212" s="25" t="s">
        <v>1022</v>
      </c>
      <c r="C212" s="25" t="s">
        <v>1023</v>
      </c>
      <c r="D212" s="25" t="s">
        <v>1024</v>
      </c>
      <c r="E212" s="26" t="s">
        <v>782</v>
      </c>
      <c r="F212" s="27" t="s">
        <v>783</v>
      </c>
      <c r="G212" s="28" t="s">
        <v>1021</v>
      </c>
      <c r="H212" s="29"/>
      <c r="I212" s="29" t="s">
        <v>46</v>
      </c>
      <c r="J212" s="30">
        <v>10</v>
      </c>
      <c r="K212" s="31">
        <f>10030</f>
        <v>10030</v>
      </c>
      <c r="L212" s="32" t="s">
        <v>80</v>
      </c>
      <c r="M212" s="31">
        <f>10050</f>
        <v>10050</v>
      </c>
      <c r="N212" s="32" t="s">
        <v>80</v>
      </c>
      <c r="O212" s="31">
        <f>9635</f>
        <v>9635</v>
      </c>
      <c r="P212" s="32" t="s">
        <v>791</v>
      </c>
      <c r="Q212" s="31">
        <f>9635</f>
        <v>9635</v>
      </c>
      <c r="R212" s="32" t="s">
        <v>791</v>
      </c>
      <c r="S212" s="33">
        <f>9856.17</f>
        <v>9856.17</v>
      </c>
      <c r="T212" s="30">
        <f>31430</f>
        <v>31430</v>
      </c>
      <c r="U212" s="30">
        <f>30000</f>
        <v>30000</v>
      </c>
      <c r="V212" s="30">
        <f>310148738</f>
        <v>310148738</v>
      </c>
      <c r="W212" s="30">
        <f>296198868</f>
        <v>296198868</v>
      </c>
      <c r="X212" s="34">
        <f>6</f>
        <v>6</v>
      </c>
    </row>
    <row r="213" spans="1:24" ht="13.5" customHeight="1" x14ac:dyDescent="0.15">
      <c r="A213" s="25" t="s">
        <v>1013</v>
      </c>
      <c r="B213" s="25" t="s">
        <v>1025</v>
      </c>
      <c r="C213" s="25" t="s">
        <v>1026</v>
      </c>
      <c r="D213" s="25" t="s">
        <v>1027</v>
      </c>
      <c r="E213" s="26" t="s">
        <v>782</v>
      </c>
      <c r="F213" s="27" t="s">
        <v>783</v>
      </c>
      <c r="G213" s="28" t="s">
        <v>1028</v>
      </c>
      <c r="H213" s="29"/>
      <c r="I213" s="29" t="s">
        <v>46</v>
      </c>
      <c r="J213" s="30">
        <v>10</v>
      </c>
      <c r="K213" s="31">
        <f>500.9</f>
        <v>500.9</v>
      </c>
      <c r="L213" s="32" t="s">
        <v>875</v>
      </c>
      <c r="M213" s="31">
        <f>500.9</f>
        <v>500.9</v>
      </c>
      <c r="N213" s="32" t="s">
        <v>875</v>
      </c>
      <c r="O213" s="31">
        <f>465.8</f>
        <v>465.8</v>
      </c>
      <c r="P213" s="32" t="s">
        <v>793</v>
      </c>
      <c r="Q213" s="31">
        <f>485.5</f>
        <v>485.5</v>
      </c>
      <c r="R213" s="32" t="s">
        <v>791</v>
      </c>
      <c r="S213" s="33">
        <f>477.33</f>
        <v>477.33</v>
      </c>
      <c r="T213" s="30">
        <f>250870</f>
        <v>250870</v>
      </c>
      <c r="U213" s="30">
        <f>105000</f>
        <v>105000</v>
      </c>
      <c r="V213" s="30">
        <f>121483536</f>
        <v>121483536</v>
      </c>
      <c r="W213" s="30">
        <f>50950000</f>
        <v>50950000</v>
      </c>
      <c r="X213" s="34">
        <f>15</f>
        <v>15</v>
      </c>
    </row>
    <row r="214" spans="1:24" ht="13.5" customHeight="1" x14ac:dyDescent="0.15">
      <c r="A214" s="25" t="s">
        <v>1013</v>
      </c>
      <c r="B214" s="25" t="s">
        <v>1029</v>
      </c>
      <c r="C214" s="25" t="s">
        <v>1030</v>
      </c>
      <c r="D214" s="25" t="s">
        <v>1031</v>
      </c>
      <c r="E214" s="26" t="s">
        <v>782</v>
      </c>
      <c r="F214" s="27" t="s">
        <v>783</v>
      </c>
      <c r="G214" s="28" t="s">
        <v>1028</v>
      </c>
      <c r="H214" s="29"/>
      <c r="I214" s="29" t="s">
        <v>46</v>
      </c>
      <c r="J214" s="30">
        <v>10</v>
      </c>
      <c r="K214" s="31">
        <f>503.1</f>
        <v>503.1</v>
      </c>
      <c r="L214" s="32" t="s">
        <v>875</v>
      </c>
      <c r="M214" s="31">
        <f>503.1</f>
        <v>503.1</v>
      </c>
      <c r="N214" s="32" t="s">
        <v>875</v>
      </c>
      <c r="O214" s="31">
        <f>485.7</f>
        <v>485.7</v>
      </c>
      <c r="P214" s="32" t="s">
        <v>1005</v>
      </c>
      <c r="Q214" s="31">
        <f>500</f>
        <v>500</v>
      </c>
      <c r="R214" s="32" t="s">
        <v>791</v>
      </c>
      <c r="S214" s="33">
        <f>493.26</f>
        <v>493.26</v>
      </c>
      <c r="T214" s="30">
        <f>2230630</f>
        <v>2230630</v>
      </c>
      <c r="U214" s="30">
        <f>80000</f>
        <v>80000</v>
      </c>
      <c r="V214" s="30">
        <f>1101127367</f>
        <v>1101127367</v>
      </c>
      <c r="W214" s="30">
        <f>39200000</f>
        <v>39200000</v>
      </c>
      <c r="X214" s="34">
        <f>14</f>
        <v>14</v>
      </c>
    </row>
    <row r="215" spans="1:24" ht="13.5" customHeight="1" x14ac:dyDescent="0.15">
      <c r="A215" s="25" t="s">
        <v>1013</v>
      </c>
      <c r="B215" s="25" t="s">
        <v>643</v>
      </c>
      <c r="C215" s="25" t="s">
        <v>644</v>
      </c>
      <c r="D215" s="25" t="s">
        <v>645</v>
      </c>
      <c r="E215" s="26" t="s">
        <v>45</v>
      </c>
      <c r="F215" s="27" t="s">
        <v>45</v>
      </c>
      <c r="G215" s="28" t="s">
        <v>45</v>
      </c>
      <c r="H215" s="29"/>
      <c r="I215" s="29" t="s">
        <v>46</v>
      </c>
      <c r="J215" s="30">
        <v>10</v>
      </c>
      <c r="K215" s="31">
        <f>939.2</f>
        <v>939.2</v>
      </c>
      <c r="L215" s="32" t="s">
        <v>995</v>
      </c>
      <c r="M215" s="31">
        <f>959</f>
        <v>959</v>
      </c>
      <c r="N215" s="32" t="s">
        <v>996</v>
      </c>
      <c r="O215" s="31">
        <f>935</f>
        <v>935</v>
      </c>
      <c r="P215" s="32" t="s">
        <v>1000</v>
      </c>
      <c r="Q215" s="31">
        <f>952.7</f>
        <v>952.7</v>
      </c>
      <c r="R215" s="32" t="s">
        <v>791</v>
      </c>
      <c r="S215" s="33">
        <f>946.99</f>
        <v>946.99</v>
      </c>
      <c r="T215" s="30">
        <f>4507820</f>
        <v>4507820</v>
      </c>
      <c r="U215" s="30">
        <f>3064720</f>
        <v>3064720</v>
      </c>
      <c r="V215" s="30">
        <f>4270436318</f>
        <v>4270436318</v>
      </c>
      <c r="W215" s="30">
        <f>2901494251</f>
        <v>2901494251</v>
      </c>
      <c r="X215" s="34">
        <f>22</f>
        <v>22</v>
      </c>
    </row>
    <row r="216" spans="1:24" ht="13.5" customHeight="1" x14ac:dyDescent="0.15">
      <c r="A216" s="25" t="s">
        <v>1013</v>
      </c>
      <c r="B216" s="25" t="s">
        <v>646</v>
      </c>
      <c r="C216" s="25" t="s">
        <v>647</v>
      </c>
      <c r="D216" s="25" t="s">
        <v>648</v>
      </c>
      <c r="E216" s="26" t="s">
        <v>45</v>
      </c>
      <c r="F216" s="27" t="s">
        <v>45</v>
      </c>
      <c r="G216" s="28" t="s">
        <v>45</v>
      </c>
      <c r="H216" s="29"/>
      <c r="I216" s="29" t="s">
        <v>46</v>
      </c>
      <c r="J216" s="30">
        <v>10</v>
      </c>
      <c r="K216" s="31">
        <f>971</f>
        <v>971</v>
      </c>
      <c r="L216" s="32" t="s">
        <v>995</v>
      </c>
      <c r="M216" s="31">
        <f>976.8</f>
        <v>976.8</v>
      </c>
      <c r="N216" s="32" t="s">
        <v>999</v>
      </c>
      <c r="O216" s="31">
        <f>950.4</f>
        <v>950.4</v>
      </c>
      <c r="P216" s="32" t="s">
        <v>997</v>
      </c>
      <c r="Q216" s="31">
        <f>965.1</f>
        <v>965.1</v>
      </c>
      <c r="R216" s="32" t="s">
        <v>791</v>
      </c>
      <c r="S216" s="33">
        <f>961.49</f>
        <v>961.49</v>
      </c>
      <c r="T216" s="30">
        <f>7431290</f>
        <v>7431290</v>
      </c>
      <c r="U216" s="30">
        <f>6445450</f>
        <v>6445450</v>
      </c>
      <c r="V216" s="30">
        <f>7154392445</f>
        <v>7154392445</v>
      </c>
      <c r="W216" s="30">
        <f>6207809396</f>
        <v>6207809396</v>
      </c>
      <c r="X216" s="34">
        <f>22</f>
        <v>22</v>
      </c>
    </row>
    <row r="217" spans="1:24" ht="13.5" customHeight="1" x14ac:dyDescent="0.15">
      <c r="A217" s="25" t="s">
        <v>1013</v>
      </c>
      <c r="B217" s="25" t="s">
        <v>649</v>
      </c>
      <c r="C217" s="25" t="s">
        <v>650</v>
      </c>
      <c r="D217" s="25" t="s">
        <v>651</v>
      </c>
      <c r="E217" s="26" t="s">
        <v>45</v>
      </c>
      <c r="F217" s="27" t="s">
        <v>45</v>
      </c>
      <c r="G217" s="28" t="s">
        <v>45</v>
      </c>
      <c r="H217" s="29"/>
      <c r="I217" s="29" t="s">
        <v>46</v>
      </c>
      <c r="J217" s="30">
        <v>10</v>
      </c>
      <c r="K217" s="31">
        <f>830.9</f>
        <v>830.9</v>
      </c>
      <c r="L217" s="32" t="s">
        <v>995</v>
      </c>
      <c r="M217" s="31">
        <f>845</f>
        <v>845</v>
      </c>
      <c r="N217" s="32" t="s">
        <v>875</v>
      </c>
      <c r="O217" s="31">
        <f>813.1</f>
        <v>813.1</v>
      </c>
      <c r="P217" s="32" t="s">
        <v>1000</v>
      </c>
      <c r="Q217" s="31">
        <f>833.6</f>
        <v>833.6</v>
      </c>
      <c r="R217" s="32" t="s">
        <v>791</v>
      </c>
      <c r="S217" s="33">
        <f>832.05</f>
        <v>832.05</v>
      </c>
      <c r="T217" s="30">
        <f>8283720</f>
        <v>8283720</v>
      </c>
      <c r="U217" s="30">
        <f>7915970</f>
        <v>7915970</v>
      </c>
      <c r="V217" s="30">
        <f>6881146090</f>
        <v>6881146090</v>
      </c>
      <c r="W217" s="30">
        <f>6578286086</f>
        <v>6578286086</v>
      </c>
      <c r="X217" s="34">
        <f>22</f>
        <v>22</v>
      </c>
    </row>
    <row r="218" spans="1:24" ht="13.5" customHeight="1" x14ac:dyDescent="0.15">
      <c r="A218" s="25" t="s">
        <v>1013</v>
      </c>
      <c r="B218" s="25" t="s">
        <v>652</v>
      </c>
      <c r="C218" s="25" t="s">
        <v>653</v>
      </c>
      <c r="D218" s="25" t="s">
        <v>654</v>
      </c>
      <c r="E218" s="26" t="s">
        <v>45</v>
      </c>
      <c r="F218" s="27" t="s">
        <v>45</v>
      </c>
      <c r="G218" s="28" t="s">
        <v>45</v>
      </c>
      <c r="H218" s="29"/>
      <c r="I218" s="29" t="s">
        <v>46</v>
      </c>
      <c r="J218" s="30">
        <v>10</v>
      </c>
      <c r="K218" s="31">
        <f>1690</f>
        <v>1690</v>
      </c>
      <c r="L218" s="32" t="s">
        <v>995</v>
      </c>
      <c r="M218" s="31">
        <f>1712</f>
        <v>1712</v>
      </c>
      <c r="N218" s="32" t="s">
        <v>1003</v>
      </c>
      <c r="O218" s="31">
        <f>1586</f>
        <v>1586</v>
      </c>
      <c r="P218" s="32" t="s">
        <v>80</v>
      </c>
      <c r="Q218" s="31">
        <f>1687.5</f>
        <v>1687.5</v>
      </c>
      <c r="R218" s="32" t="s">
        <v>791</v>
      </c>
      <c r="S218" s="33">
        <f>1648.43</f>
        <v>1648.43</v>
      </c>
      <c r="T218" s="30">
        <f>2661920</f>
        <v>2661920</v>
      </c>
      <c r="U218" s="30">
        <f>2251830</f>
        <v>2251830</v>
      </c>
      <c r="V218" s="30">
        <f>4330156403</f>
        <v>4330156403</v>
      </c>
      <c r="W218" s="30">
        <f>3660542668</f>
        <v>3660542668</v>
      </c>
      <c r="X218" s="34">
        <f>22</f>
        <v>22</v>
      </c>
    </row>
    <row r="219" spans="1:24" ht="13.5" customHeight="1" x14ac:dyDescent="0.15">
      <c r="A219" s="25" t="s">
        <v>1013</v>
      </c>
      <c r="B219" s="25" t="s">
        <v>655</v>
      </c>
      <c r="C219" s="25" t="s">
        <v>656</v>
      </c>
      <c r="D219" s="25" t="s">
        <v>657</v>
      </c>
      <c r="E219" s="26" t="s">
        <v>45</v>
      </c>
      <c r="F219" s="27" t="s">
        <v>45</v>
      </c>
      <c r="G219" s="28" t="s">
        <v>45</v>
      </c>
      <c r="H219" s="29"/>
      <c r="I219" s="29" t="s">
        <v>46</v>
      </c>
      <c r="J219" s="30">
        <v>10</v>
      </c>
      <c r="K219" s="31">
        <f>1323</f>
        <v>1323</v>
      </c>
      <c r="L219" s="32" t="s">
        <v>995</v>
      </c>
      <c r="M219" s="31">
        <f>1366.5</f>
        <v>1366.5</v>
      </c>
      <c r="N219" s="32" t="s">
        <v>996</v>
      </c>
      <c r="O219" s="31">
        <f>1279.5</f>
        <v>1279.5</v>
      </c>
      <c r="P219" s="32" t="s">
        <v>1005</v>
      </c>
      <c r="Q219" s="31">
        <f>1333</f>
        <v>1333</v>
      </c>
      <c r="R219" s="32" t="s">
        <v>791</v>
      </c>
      <c r="S219" s="33">
        <f>1316.43</f>
        <v>1316.43</v>
      </c>
      <c r="T219" s="30">
        <f>3951920</f>
        <v>3951920</v>
      </c>
      <c r="U219" s="30">
        <f>3628780</f>
        <v>3628780</v>
      </c>
      <c r="V219" s="30">
        <f>5097654415</f>
        <v>5097654415</v>
      </c>
      <c r="W219" s="30">
        <f>4673066105</f>
        <v>4673066105</v>
      </c>
      <c r="X219" s="34">
        <f>22</f>
        <v>22</v>
      </c>
    </row>
    <row r="220" spans="1:24" ht="13.5" customHeight="1" x14ac:dyDescent="0.15">
      <c r="A220" s="25" t="s">
        <v>1013</v>
      </c>
      <c r="B220" s="25" t="s">
        <v>658</v>
      </c>
      <c r="C220" s="25" t="s">
        <v>659</v>
      </c>
      <c r="D220" s="25" t="s">
        <v>660</v>
      </c>
      <c r="E220" s="26" t="s">
        <v>45</v>
      </c>
      <c r="F220" s="27" t="s">
        <v>45</v>
      </c>
      <c r="G220" s="28" t="s">
        <v>45</v>
      </c>
      <c r="H220" s="29"/>
      <c r="I220" s="29" t="s">
        <v>46</v>
      </c>
      <c r="J220" s="30">
        <v>10</v>
      </c>
      <c r="K220" s="31">
        <f>1200</f>
        <v>1200</v>
      </c>
      <c r="L220" s="32" t="s">
        <v>995</v>
      </c>
      <c r="M220" s="31">
        <f>1245</f>
        <v>1245</v>
      </c>
      <c r="N220" s="32" t="s">
        <v>995</v>
      </c>
      <c r="O220" s="31">
        <f>1036.5</f>
        <v>1036.5</v>
      </c>
      <c r="P220" s="32" t="s">
        <v>793</v>
      </c>
      <c r="Q220" s="31">
        <f>1110.5</f>
        <v>1110.5</v>
      </c>
      <c r="R220" s="32" t="s">
        <v>791</v>
      </c>
      <c r="S220" s="33">
        <f>1132.8</f>
        <v>1132.8</v>
      </c>
      <c r="T220" s="30">
        <f>1529070</f>
        <v>1529070</v>
      </c>
      <c r="U220" s="30">
        <f>460070</f>
        <v>460070</v>
      </c>
      <c r="V220" s="30">
        <f>1690652653</f>
        <v>1690652653</v>
      </c>
      <c r="W220" s="30">
        <f>509195103</f>
        <v>509195103</v>
      </c>
      <c r="X220" s="34">
        <f>22</f>
        <v>22</v>
      </c>
    </row>
    <row r="221" spans="1:24" ht="13.5" customHeight="1" x14ac:dyDescent="0.15">
      <c r="A221" s="25" t="s">
        <v>1013</v>
      </c>
      <c r="B221" s="25" t="s">
        <v>661</v>
      </c>
      <c r="C221" s="25" t="s">
        <v>662</v>
      </c>
      <c r="D221" s="25" t="s">
        <v>663</v>
      </c>
      <c r="E221" s="26" t="s">
        <v>45</v>
      </c>
      <c r="F221" s="27" t="s">
        <v>45</v>
      </c>
      <c r="G221" s="28" t="s">
        <v>45</v>
      </c>
      <c r="H221" s="29"/>
      <c r="I221" s="29" t="s">
        <v>46</v>
      </c>
      <c r="J221" s="30">
        <v>10</v>
      </c>
      <c r="K221" s="31">
        <f>577.7</f>
        <v>577.70000000000005</v>
      </c>
      <c r="L221" s="32" t="s">
        <v>995</v>
      </c>
      <c r="M221" s="31">
        <f>603.3</f>
        <v>603.29999999999995</v>
      </c>
      <c r="N221" s="32" t="s">
        <v>1004</v>
      </c>
      <c r="O221" s="31">
        <f>562.4</f>
        <v>562.4</v>
      </c>
      <c r="P221" s="32" t="s">
        <v>876</v>
      </c>
      <c r="Q221" s="31">
        <f>581.2</f>
        <v>581.20000000000005</v>
      </c>
      <c r="R221" s="32" t="s">
        <v>791</v>
      </c>
      <c r="S221" s="33">
        <f>582.87</f>
        <v>582.87</v>
      </c>
      <c r="T221" s="30">
        <f>20375590</f>
        <v>20375590</v>
      </c>
      <c r="U221" s="30">
        <f>311470</f>
        <v>311470</v>
      </c>
      <c r="V221" s="30">
        <f>11864911995</f>
        <v>11864911995</v>
      </c>
      <c r="W221" s="30">
        <f>181528980</f>
        <v>181528980</v>
      </c>
      <c r="X221" s="34">
        <f>22</f>
        <v>22</v>
      </c>
    </row>
    <row r="222" spans="1:24" ht="13.5" customHeight="1" x14ac:dyDescent="0.15">
      <c r="A222" s="25" t="s">
        <v>1013</v>
      </c>
      <c r="B222" s="25" t="s">
        <v>664</v>
      </c>
      <c r="C222" s="25" t="s">
        <v>665</v>
      </c>
      <c r="D222" s="25" t="s">
        <v>666</v>
      </c>
      <c r="E222" s="26" t="s">
        <v>45</v>
      </c>
      <c r="F222" s="27" t="s">
        <v>45</v>
      </c>
      <c r="G222" s="28" t="s">
        <v>45</v>
      </c>
      <c r="H222" s="29"/>
      <c r="I222" s="29" t="s">
        <v>46</v>
      </c>
      <c r="J222" s="30">
        <v>10</v>
      </c>
      <c r="K222" s="31">
        <f>1104.5</f>
        <v>1104.5</v>
      </c>
      <c r="L222" s="32" t="s">
        <v>995</v>
      </c>
      <c r="M222" s="31">
        <f>1118</f>
        <v>1118</v>
      </c>
      <c r="N222" s="32" t="s">
        <v>1002</v>
      </c>
      <c r="O222" s="31">
        <f>1047</f>
        <v>1047</v>
      </c>
      <c r="P222" s="32" t="s">
        <v>80</v>
      </c>
      <c r="Q222" s="31">
        <f>1068</f>
        <v>1068</v>
      </c>
      <c r="R222" s="32" t="s">
        <v>791</v>
      </c>
      <c r="S222" s="33">
        <f>1073.91</f>
        <v>1073.9100000000001</v>
      </c>
      <c r="T222" s="30">
        <f>1025460</f>
        <v>1025460</v>
      </c>
      <c r="U222" s="30">
        <f>20060</f>
        <v>20060</v>
      </c>
      <c r="V222" s="30">
        <f>1104630955</f>
        <v>1104630955</v>
      </c>
      <c r="W222" s="30">
        <f>21275595</f>
        <v>21275595</v>
      </c>
      <c r="X222" s="34">
        <f>22</f>
        <v>22</v>
      </c>
    </row>
    <row r="223" spans="1:24" ht="13.5" customHeight="1" x14ac:dyDescent="0.15">
      <c r="A223" s="25" t="s">
        <v>1013</v>
      </c>
      <c r="B223" s="25" t="s">
        <v>667</v>
      </c>
      <c r="C223" s="25" t="s">
        <v>668</v>
      </c>
      <c r="D223" s="25" t="s">
        <v>669</v>
      </c>
      <c r="E223" s="26" t="s">
        <v>45</v>
      </c>
      <c r="F223" s="27" t="s">
        <v>45</v>
      </c>
      <c r="G223" s="28" t="s">
        <v>45</v>
      </c>
      <c r="H223" s="29"/>
      <c r="I223" s="29" t="s">
        <v>46</v>
      </c>
      <c r="J223" s="30">
        <v>1</v>
      </c>
      <c r="K223" s="31">
        <f>1082</f>
        <v>1082</v>
      </c>
      <c r="L223" s="32" t="s">
        <v>995</v>
      </c>
      <c r="M223" s="31">
        <f>1119</f>
        <v>1119</v>
      </c>
      <c r="N223" s="32" t="s">
        <v>1004</v>
      </c>
      <c r="O223" s="31">
        <f>1037</f>
        <v>1037</v>
      </c>
      <c r="P223" s="32" t="s">
        <v>876</v>
      </c>
      <c r="Q223" s="31">
        <f>1098</f>
        <v>1098</v>
      </c>
      <c r="R223" s="32" t="s">
        <v>791</v>
      </c>
      <c r="S223" s="33">
        <f>1079.55</f>
        <v>1079.55</v>
      </c>
      <c r="T223" s="30">
        <f>324753</f>
        <v>324753</v>
      </c>
      <c r="U223" s="30">
        <f>90000</f>
        <v>90000</v>
      </c>
      <c r="V223" s="30">
        <f>353455756</f>
        <v>353455756</v>
      </c>
      <c r="W223" s="30">
        <f>97955840</f>
        <v>97955840</v>
      </c>
      <c r="X223" s="34">
        <f>22</f>
        <v>22</v>
      </c>
    </row>
    <row r="224" spans="1:24" ht="13.5" customHeight="1" x14ac:dyDescent="0.15">
      <c r="A224" s="25" t="s">
        <v>1013</v>
      </c>
      <c r="B224" s="25" t="s">
        <v>670</v>
      </c>
      <c r="C224" s="25" t="s">
        <v>671</v>
      </c>
      <c r="D224" s="25" t="s">
        <v>672</v>
      </c>
      <c r="E224" s="26" t="s">
        <v>45</v>
      </c>
      <c r="F224" s="27" t="s">
        <v>45</v>
      </c>
      <c r="G224" s="28" t="s">
        <v>45</v>
      </c>
      <c r="H224" s="29"/>
      <c r="I224" s="29" t="s">
        <v>46</v>
      </c>
      <c r="J224" s="30">
        <v>10</v>
      </c>
      <c r="K224" s="31">
        <f>914.8</f>
        <v>914.8</v>
      </c>
      <c r="L224" s="32" t="s">
        <v>995</v>
      </c>
      <c r="M224" s="31">
        <f>915.2</f>
        <v>915.2</v>
      </c>
      <c r="N224" s="32" t="s">
        <v>995</v>
      </c>
      <c r="O224" s="31">
        <f>860</f>
        <v>860</v>
      </c>
      <c r="P224" s="32" t="s">
        <v>80</v>
      </c>
      <c r="Q224" s="31">
        <f>880</f>
        <v>880</v>
      </c>
      <c r="R224" s="32" t="s">
        <v>791</v>
      </c>
      <c r="S224" s="33">
        <f>882.05</f>
        <v>882.05</v>
      </c>
      <c r="T224" s="30">
        <f>317410</f>
        <v>317410</v>
      </c>
      <c r="U224" s="30">
        <f>104920</f>
        <v>104920</v>
      </c>
      <c r="V224" s="30">
        <f>279958086</f>
        <v>279958086</v>
      </c>
      <c r="W224" s="30">
        <f>92350584</f>
        <v>92350584</v>
      </c>
      <c r="X224" s="34">
        <f>22</f>
        <v>22</v>
      </c>
    </row>
    <row r="225" spans="1:24" ht="13.5" customHeight="1" x14ac:dyDescent="0.15">
      <c r="A225" s="25" t="s">
        <v>1013</v>
      </c>
      <c r="B225" s="25" t="s">
        <v>673</v>
      </c>
      <c r="C225" s="25" t="s">
        <v>674</v>
      </c>
      <c r="D225" s="25" t="s">
        <v>675</v>
      </c>
      <c r="E225" s="26" t="s">
        <v>45</v>
      </c>
      <c r="F225" s="27" t="s">
        <v>45</v>
      </c>
      <c r="G225" s="28" t="s">
        <v>45</v>
      </c>
      <c r="H225" s="29"/>
      <c r="I225" s="29" t="s">
        <v>46</v>
      </c>
      <c r="J225" s="30">
        <v>10</v>
      </c>
      <c r="K225" s="31">
        <f>1140.5</f>
        <v>1140.5</v>
      </c>
      <c r="L225" s="32" t="s">
        <v>995</v>
      </c>
      <c r="M225" s="31">
        <f>1180</f>
        <v>1180</v>
      </c>
      <c r="N225" s="32" t="s">
        <v>1003</v>
      </c>
      <c r="O225" s="31">
        <f>1073.5</f>
        <v>1073.5</v>
      </c>
      <c r="P225" s="32" t="s">
        <v>876</v>
      </c>
      <c r="Q225" s="31">
        <f>1142.5</f>
        <v>1142.5</v>
      </c>
      <c r="R225" s="32" t="s">
        <v>791</v>
      </c>
      <c r="S225" s="33">
        <f>1128.14</f>
        <v>1128.1400000000001</v>
      </c>
      <c r="T225" s="30">
        <f>105350</f>
        <v>105350</v>
      </c>
      <c r="U225" s="30">
        <f>20</f>
        <v>20</v>
      </c>
      <c r="V225" s="30">
        <f>117525030</f>
        <v>117525030</v>
      </c>
      <c r="W225" s="30">
        <f>23250</f>
        <v>23250</v>
      </c>
      <c r="X225" s="34">
        <f>22</f>
        <v>22</v>
      </c>
    </row>
    <row r="226" spans="1:24" ht="13.5" customHeight="1" x14ac:dyDescent="0.15">
      <c r="A226" s="25" t="s">
        <v>1013</v>
      </c>
      <c r="B226" s="25" t="s">
        <v>676</v>
      </c>
      <c r="C226" s="25" t="s">
        <v>677</v>
      </c>
      <c r="D226" s="25" t="s">
        <v>678</v>
      </c>
      <c r="E226" s="26" t="s">
        <v>45</v>
      </c>
      <c r="F226" s="27" t="s">
        <v>45</v>
      </c>
      <c r="G226" s="28" t="s">
        <v>45</v>
      </c>
      <c r="H226" s="29"/>
      <c r="I226" s="29" t="s">
        <v>46</v>
      </c>
      <c r="J226" s="30">
        <v>10</v>
      </c>
      <c r="K226" s="31">
        <f>1318</f>
        <v>1318</v>
      </c>
      <c r="L226" s="32" t="s">
        <v>995</v>
      </c>
      <c r="M226" s="31">
        <f>1350.5</f>
        <v>1350.5</v>
      </c>
      <c r="N226" s="32" t="s">
        <v>1003</v>
      </c>
      <c r="O226" s="31">
        <f>1284</f>
        <v>1284</v>
      </c>
      <c r="P226" s="32" t="s">
        <v>1005</v>
      </c>
      <c r="Q226" s="31">
        <f>1345</f>
        <v>1345</v>
      </c>
      <c r="R226" s="32" t="s">
        <v>791</v>
      </c>
      <c r="S226" s="33">
        <f>1319.73</f>
        <v>1319.73</v>
      </c>
      <c r="T226" s="30">
        <f>5793960</f>
        <v>5793960</v>
      </c>
      <c r="U226" s="30">
        <f>2162600</f>
        <v>2162600</v>
      </c>
      <c r="V226" s="30">
        <f>7644129775</f>
        <v>7644129775</v>
      </c>
      <c r="W226" s="30">
        <f>2866114380</f>
        <v>2866114380</v>
      </c>
      <c r="X226" s="34">
        <f>22</f>
        <v>22</v>
      </c>
    </row>
    <row r="227" spans="1:24" ht="13.5" customHeight="1" x14ac:dyDescent="0.15">
      <c r="A227" s="25" t="s">
        <v>1013</v>
      </c>
      <c r="B227" s="25" t="s">
        <v>679</v>
      </c>
      <c r="C227" s="25" t="s">
        <v>680</v>
      </c>
      <c r="D227" s="25" t="s">
        <v>681</v>
      </c>
      <c r="E227" s="26" t="s">
        <v>45</v>
      </c>
      <c r="F227" s="27" t="s">
        <v>45</v>
      </c>
      <c r="G227" s="28" t="s">
        <v>45</v>
      </c>
      <c r="H227" s="29"/>
      <c r="I227" s="29" t="s">
        <v>46</v>
      </c>
      <c r="J227" s="30">
        <v>1</v>
      </c>
      <c r="K227" s="31">
        <f>3810</f>
        <v>3810</v>
      </c>
      <c r="L227" s="32" t="s">
        <v>995</v>
      </c>
      <c r="M227" s="31">
        <f>3925</f>
        <v>3925</v>
      </c>
      <c r="N227" s="32" t="s">
        <v>78</v>
      </c>
      <c r="O227" s="31">
        <f>3660</f>
        <v>3660</v>
      </c>
      <c r="P227" s="32" t="s">
        <v>876</v>
      </c>
      <c r="Q227" s="31">
        <f>3875</f>
        <v>3875</v>
      </c>
      <c r="R227" s="32" t="s">
        <v>791</v>
      </c>
      <c r="S227" s="33">
        <f>3796.36</f>
        <v>3796.36</v>
      </c>
      <c r="T227" s="30">
        <f>50706</f>
        <v>50706</v>
      </c>
      <c r="U227" s="30">
        <f>2</f>
        <v>2</v>
      </c>
      <c r="V227" s="30">
        <f>190114185</f>
        <v>190114185</v>
      </c>
      <c r="W227" s="30">
        <f>7835</f>
        <v>7835</v>
      </c>
      <c r="X227" s="34">
        <f>22</f>
        <v>22</v>
      </c>
    </row>
    <row r="228" spans="1:24" ht="13.5" customHeight="1" x14ac:dyDescent="0.15">
      <c r="A228" s="25" t="s">
        <v>1013</v>
      </c>
      <c r="B228" s="25" t="s">
        <v>682</v>
      </c>
      <c r="C228" s="25" t="s">
        <v>683</v>
      </c>
      <c r="D228" s="25" t="s">
        <v>684</v>
      </c>
      <c r="E228" s="26" t="s">
        <v>45</v>
      </c>
      <c r="F228" s="27" t="s">
        <v>45</v>
      </c>
      <c r="G228" s="28" t="s">
        <v>45</v>
      </c>
      <c r="H228" s="29"/>
      <c r="I228" s="29" t="s">
        <v>46</v>
      </c>
      <c r="J228" s="30">
        <v>10</v>
      </c>
      <c r="K228" s="31">
        <f>1633</f>
        <v>1633</v>
      </c>
      <c r="L228" s="32" t="s">
        <v>999</v>
      </c>
      <c r="M228" s="31">
        <f>1687</f>
        <v>1687</v>
      </c>
      <c r="N228" s="32" t="s">
        <v>78</v>
      </c>
      <c r="O228" s="31">
        <f>1613</f>
        <v>1613</v>
      </c>
      <c r="P228" s="32" t="s">
        <v>255</v>
      </c>
      <c r="Q228" s="31">
        <f>1655</f>
        <v>1655</v>
      </c>
      <c r="R228" s="32" t="s">
        <v>893</v>
      </c>
      <c r="S228" s="33">
        <f>1650.27</f>
        <v>1650.27</v>
      </c>
      <c r="T228" s="30">
        <f>1920</f>
        <v>1920</v>
      </c>
      <c r="U228" s="30" t="str">
        <f>"－"</f>
        <v>－</v>
      </c>
      <c r="V228" s="30">
        <f>3156195</f>
        <v>3156195</v>
      </c>
      <c r="W228" s="30" t="str">
        <f>"－"</f>
        <v>－</v>
      </c>
      <c r="X228" s="34">
        <f>11</f>
        <v>11</v>
      </c>
    </row>
    <row r="229" spans="1:24" ht="13.5" customHeight="1" x14ac:dyDescent="0.15">
      <c r="A229" s="25" t="s">
        <v>1013</v>
      </c>
      <c r="B229" s="25" t="s">
        <v>685</v>
      </c>
      <c r="C229" s="25" t="s">
        <v>686</v>
      </c>
      <c r="D229" s="25" t="s">
        <v>687</v>
      </c>
      <c r="E229" s="26" t="s">
        <v>45</v>
      </c>
      <c r="F229" s="27" t="s">
        <v>45</v>
      </c>
      <c r="G229" s="28" t="s">
        <v>45</v>
      </c>
      <c r="H229" s="29"/>
      <c r="I229" s="29" t="s">
        <v>46</v>
      </c>
      <c r="J229" s="30">
        <v>10</v>
      </c>
      <c r="K229" s="31">
        <f>2026</f>
        <v>2026</v>
      </c>
      <c r="L229" s="32" t="s">
        <v>995</v>
      </c>
      <c r="M229" s="31">
        <f>2091.5</f>
        <v>2091.5</v>
      </c>
      <c r="N229" s="32" t="s">
        <v>893</v>
      </c>
      <c r="O229" s="31">
        <f>1962.5</f>
        <v>1962.5</v>
      </c>
      <c r="P229" s="32" t="s">
        <v>876</v>
      </c>
      <c r="Q229" s="31">
        <f>2057.5</f>
        <v>2057.5</v>
      </c>
      <c r="R229" s="32" t="s">
        <v>791</v>
      </c>
      <c r="S229" s="33">
        <f>2013.03</f>
        <v>2013.03</v>
      </c>
      <c r="T229" s="30">
        <f>506610</f>
        <v>506610</v>
      </c>
      <c r="U229" s="30">
        <f>200000</f>
        <v>200000</v>
      </c>
      <c r="V229" s="30">
        <f>1012169840</f>
        <v>1012169840</v>
      </c>
      <c r="W229" s="30">
        <f>397040000</f>
        <v>397040000</v>
      </c>
      <c r="X229" s="34">
        <f>17</f>
        <v>17</v>
      </c>
    </row>
    <row r="230" spans="1:24" ht="13.5" customHeight="1" x14ac:dyDescent="0.15">
      <c r="A230" s="25" t="s">
        <v>1013</v>
      </c>
      <c r="B230" s="25" t="s">
        <v>688</v>
      </c>
      <c r="C230" s="25" t="s">
        <v>689</v>
      </c>
      <c r="D230" s="25" t="s">
        <v>690</v>
      </c>
      <c r="E230" s="26" t="s">
        <v>45</v>
      </c>
      <c r="F230" s="27" t="s">
        <v>45</v>
      </c>
      <c r="G230" s="28" t="s">
        <v>45</v>
      </c>
      <c r="H230" s="29"/>
      <c r="I230" s="29" t="s">
        <v>46</v>
      </c>
      <c r="J230" s="30">
        <v>1</v>
      </c>
      <c r="K230" s="31">
        <f>27955</f>
        <v>27955</v>
      </c>
      <c r="L230" s="32" t="s">
        <v>996</v>
      </c>
      <c r="M230" s="31">
        <f>28615</f>
        <v>28615</v>
      </c>
      <c r="N230" s="32" t="s">
        <v>1003</v>
      </c>
      <c r="O230" s="31">
        <f>26910</f>
        <v>26910</v>
      </c>
      <c r="P230" s="32" t="s">
        <v>876</v>
      </c>
      <c r="Q230" s="31">
        <f>28545</f>
        <v>28545</v>
      </c>
      <c r="R230" s="32" t="s">
        <v>791</v>
      </c>
      <c r="S230" s="33">
        <f>27909.58</f>
        <v>27909.58</v>
      </c>
      <c r="T230" s="30">
        <f>13928</f>
        <v>13928</v>
      </c>
      <c r="U230" s="30">
        <f>7443</f>
        <v>7443</v>
      </c>
      <c r="V230" s="30">
        <f>391911318</f>
        <v>391911318</v>
      </c>
      <c r="W230" s="30">
        <f>212207373</f>
        <v>212207373</v>
      </c>
      <c r="X230" s="34">
        <f>12</f>
        <v>12</v>
      </c>
    </row>
    <row r="231" spans="1:24" ht="13.5" customHeight="1" x14ac:dyDescent="0.15">
      <c r="A231" s="25" t="s">
        <v>1013</v>
      </c>
      <c r="B231" s="25" t="s">
        <v>691</v>
      </c>
      <c r="C231" s="25" t="s">
        <v>692</v>
      </c>
      <c r="D231" s="25" t="s">
        <v>693</v>
      </c>
      <c r="E231" s="26" t="s">
        <v>45</v>
      </c>
      <c r="F231" s="27" t="s">
        <v>45</v>
      </c>
      <c r="G231" s="28" t="s">
        <v>45</v>
      </c>
      <c r="H231" s="29"/>
      <c r="I231" s="29" t="s">
        <v>46</v>
      </c>
      <c r="J231" s="30">
        <v>1</v>
      </c>
      <c r="K231" s="31">
        <f>18315</f>
        <v>18315</v>
      </c>
      <c r="L231" s="32" t="s">
        <v>996</v>
      </c>
      <c r="M231" s="31">
        <f>18870</f>
        <v>18870</v>
      </c>
      <c r="N231" s="32" t="s">
        <v>791</v>
      </c>
      <c r="O231" s="31">
        <f>17585</f>
        <v>17585</v>
      </c>
      <c r="P231" s="32" t="s">
        <v>876</v>
      </c>
      <c r="Q231" s="31">
        <f>18870</f>
        <v>18870</v>
      </c>
      <c r="R231" s="32" t="s">
        <v>791</v>
      </c>
      <c r="S231" s="33">
        <f>18112.73</f>
        <v>18112.73</v>
      </c>
      <c r="T231" s="30">
        <f>4827</f>
        <v>4827</v>
      </c>
      <c r="U231" s="30" t="str">
        <f>"－"</f>
        <v>－</v>
      </c>
      <c r="V231" s="30">
        <f>88603715</f>
        <v>88603715</v>
      </c>
      <c r="W231" s="30" t="str">
        <f>"－"</f>
        <v>－</v>
      </c>
      <c r="X231" s="34">
        <f>11</f>
        <v>11</v>
      </c>
    </row>
    <row r="232" spans="1:24" ht="13.5" customHeight="1" x14ac:dyDescent="0.15">
      <c r="A232" s="25" t="s">
        <v>1013</v>
      </c>
      <c r="B232" s="25" t="s">
        <v>694</v>
      </c>
      <c r="C232" s="25" t="s">
        <v>695</v>
      </c>
      <c r="D232" s="25" t="s">
        <v>696</v>
      </c>
      <c r="E232" s="26" t="s">
        <v>45</v>
      </c>
      <c r="F232" s="27" t="s">
        <v>45</v>
      </c>
      <c r="G232" s="28" t="s">
        <v>45</v>
      </c>
      <c r="H232" s="29"/>
      <c r="I232" s="29" t="s">
        <v>46</v>
      </c>
      <c r="J232" s="30">
        <v>10</v>
      </c>
      <c r="K232" s="31">
        <f>1093</f>
        <v>1093</v>
      </c>
      <c r="L232" s="32" t="s">
        <v>995</v>
      </c>
      <c r="M232" s="31">
        <f>1104</f>
        <v>1104</v>
      </c>
      <c r="N232" s="32" t="s">
        <v>1002</v>
      </c>
      <c r="O232" s="31">
        <f>1051.5</f>
        <v>1051.5</v>
      </c>
      <c r="P232" s="32" t="s">
        <v>80</v>
      </c>
      <c r="Q232" s="31">
        <f>1073</f>
        <v>1073</v>
      </c>
      <c r="R232" s="32" t="s">
        <v>791</v>
      </c>
      <c r="S232" s="33">
        <f>1081.94</f>
        <v>1081.94</v>
      </c>
      <c r="T232" s="30">
        <f>369670</f>
        <v>369670</v>
      </c>
      <c r="U232" s="30">
        <f>185000</f>
        <v>185000</v>
      </c>
      <c r="V232" s="30">
        <f>394822275</f>
        <v>394822275</v>
      </c>
      <c r="W232" s="30">
        <f>196007500</f>
        <v>196007500</v>
      </c>
      <c r="X232" s="34">
        <f>16</f>
        <v>16</v>
      </c>
    </row>
    <row r="233" spans="1:24" ht="13.5" customHeight="1" x14ac:dyDescent="0.15">
      <c r="A233" s="25" t="s">
        <v>1013</v>
      </c>
      <c r="B233" s="25" t="s">
        <v>697</v>
      </c>
      <c r="C233" s="25" t="s">
        <v>698</v>
      </c>
      <c r="D233" s="25" t="s">
        <v>699</v>
      </c>
      <c r="E233" s="26" t="s">
        <v>45</v>
      </c>
      <c r="F233" s="27" t="s">
        <v>45</v>
      </c>
      <c r="G233" s="28" t="s">
        <v>45</v>
      </c>
      <c r="H233" s="29"/>
      <c r="I233" s="29" t="s">
        <v>46</v>
      </c>
      <c r="J233" s="30">
        <v>10</v>
      </c>
      <c r="K233" s="31">
        <f>1105.5</f>
        <v>1105.5</v>
      </c>
      <c r="L233" s="32" t="s">
        <v>995</v>
      </c>
      <c r="M233" s="31">
        <f>1107</f>
        <v>1107</v>
      </c>
      <c r="N233" s="32" t="s">
        <v>1003</v>
      </c>
      <c r="O233" s="31">
        <f>1040</f>
        <v>1040</v>
      </c>
      <c r="P233" s="32" t="s">
        <v>80</v>
      </c>
      <c r="Q233" s="31">
        <f>1061</f>
        <v>1061</v>
      </c>
      <c r="R233" s="32" t="s">
        <v>791</v>
      </c>
      <c r="S233" s="33">
        <f>1070.07</f>
        <v>1070.07</v>
      </c>
      <c r="T233" s="30">
        <f>116430</f>
        <v>116430</v>
      </c>
      <c r="U233" s="30" t="str">
        <f>"－"</f>
        <v>－</v>
      </c>
      <c r="V233" s="30">
        <f>123863985</f>
        <v>123863985</v>
      </c>
      <c r="W233" s="30" t="str">
        <f>"－"</f>
        <v>－</v>
      </c>
      <c r="X233" s="34">
        <f>22</f>
        <v>22</v>
      </c>
    </row>
    <row r="234" spans="1:24" ht="13.5" customHeight="1" x14ac:dyDescent="0.15">
      <c r="A234" s="25" t="s">
        <v>1013</v>
      </c>
      <c r="B234" s="25" t="s">
        <v>700</v>
      </c>
      <c r="C234" s="25" t="s">
        <v>701</v>
      </c>
      <c r="D234" s="25" t="s">
        <v>702</v>
      </c>
      <c r="E234" s="26" t="s">
        <v>45</v>
      </c>
      <c r="F234" s="27" t="s">
        <v>45</v>
      </c>
      <c r="G234" s="28" t="s">
        <v>45</v>
      </c>
      <c r="H234" s="29"/>
      <c r="I234" s="29" t="s">
        <v>46</v>
      </c>
      <c r="J234" s="30">
        <v>1</v>
      </c>
      <c r="K234" s="31">
        <f>1248</f>
        <v>1248</v>
      </c>
      <c r="L234" s="32" t="s">
        <v>995</v>
      </c>
      <c r="M234" s="31">
        <f>1298</f>
        <v>1298</v>
      </c>
      <c r="N234" s="32" t="s">
        <v>875</v>
      </c>
      <c r="O234" s="31">
        <f>1166</f>
        <v>1166</v>
      </c>
      <c r="P234" s="32" t="s">
        <v>1005</v>
      </c>
      <c r="Q234" s="31">
        <f>1272</f>
        <v>1272</v>
      </c>
      <c r="R234" s="32" t="s">
        <v>791</v>
      </c>
      <c r="S234" s="33">
        <f>1249.5</f>
        <v>1249.5</v>
      </c>
      <c r="T234" s="30">
        <f>319646</f>
        <v>319646</v>
      </c>
      <c r="U234" s="30" t="str">
        <f>"－"</f>
        <v>－</v>
      </c>
      <c r="V234" s="30">
        <f>387318052</f>
        <v>387318052</v>
      </c>
      <c r="W234" s="30" t="str">
        <f>"－"</f>
        <v>－</v>
      </c>
      <c r="X234" s="34">
        <f>22</f>
        <v>22</v>
      </c>
    </row>
    <row r="235" spans="1:24" ht="13.5" customHeight="1" x14ac:dyDescent="0.15">
      <c r="A235" s="25" t="s">
        <v>1013</v>
      </c>
      <c r="B235" s="25" t="s">
        <v>703</v>
      </c>
      <c r="C235" s="25" t="s">
        <v>704</v>
      </c>
      <c r="D235" s="25" t="s">
        <v>705</v>
      </c>
      <c r="E235" s="26" t="s">
        <v>45</v>
      </c>
      <c r="F235" s="27" t="s">
        <v>45</v>
      </c>
      <c r="G235" s="28" t="s">
        <v>45</v>
      </c>
      <c r="H235" s="29"/>
      <c r="I235" s="29" t="s">
        <v>46</v>
      </c>
      <c r="J235" s="30">
        <v>1</v>
      </c>
      <c r="K235" s="31">
        <f>13695</f>
        <v>13695</v>
      </c>
      <c r="L235" s="32" t="s">
        <v>995</v>
      </c>
      <c r="M235" s="31">
        <f>13920</f>
        <v>13920</v>
      </c>
      <c r="N235" s="32" t="s">
        <v>78</v>
      </c>
      <c r="O235" s="31">
        <f>13020</f>
        <v>13020</v>
      </c>
      <c r="P235" s="32" t="s">
        <v>1005</v>
      </c>
      <c r="Q235" s="31">
        <f>13460</f>
        <v>13460</v>
      </c>
      <c r="R235" s="32" t="s">
        <v>791</v>
      </c>
      <c r="S235" s="33">
        <f>13386.84</f>
        <v>13386.84</v>
      </c>
      <c r="T235" s="30">
        <f>2956</f>
        <v>2956</v>
      </c>
      <c r="U235" s="30" t="str">
        <f>"－"</f>
        <v>－</v>
      </c>
      <c r="V235" s="30">
        <f>39343935</f>
        <v>39343935</v>
      </c>
      <c r="W235" s="30" t="str">
        <f>"－"</f>
        <v>－</v>
      </c>
      <c r="X235" s="34">
        <f>19</f>
        <v>19</v>
      </c>
    </row>
    <row r="236" spans="1:24" ht="13.5" customHeight="1" x14ac:dyDescent="0.15">
      <c r="A236" s="25" t="s">
        <v>1013</v>
      </c>
      <c r="B236" s="25" t="s">
        <v>706</v>
      </c>
      <c r="C236" s="25" t="s">
        <v>707</v>
      </c>
      <c r="D236" s="25" t="s">
        <v>708</v>
      </c>
      <c r="E236" s="26" t="s">
        <v>45</v>
      </c>
      <c r="F236" s="27" t="s">
        <v>45</v>
      </c>
      <c r="G236" s="28" t="s">
        <v>45</v>
      </c>
      <c r="H236" s="29"/>
      <c r="I236" s="29" t="s">
        <v>46</v>
      </c>
      <c r="J236" s="30">
        <v>1</v>
      </c>
      <c r="K236" s="31">
        <f>1980</f>
        <v>1980</v>
      </c>
      <c r="L236" s="32" t="s">
        <v>995</v>
      </c>
      <c r="M236" s="31">
        <f>1985</f>
        <v>1985</v>
      </c>
      <c r="N236" s="32" t="s">
        <v>995</v>
      </c>
      <c r="O236" s="31">
        <f>1884</f>
        <v>1884</v>
      </c>
      <c r="P236" s="32" t="s">
        <v>80</v>
      </c>
      <c r="Q236" s="31">
        <f>1925</f>
        <v>1925</v>
      </c>
      <c r="R236" s="32" t="s">
        <v>791</v>
      </c>
      <c r="S236" s="33">
        <f>1938.18</f>
        <v>1938.18</v>
      </c>
      <c r="T236" s="30">
        <f>808151</f>
        <v>808151</v>
      </c>
      <c r="U236" s="30">
        <f>777002</f>
        <v>777002</v>
      </c>
      <c r="V236" s="30">
        <f>1550080011</f>
        <v>1550080011</v>
      </c>
      <c r="W236" s="30">
        <f>1489935004</f>
        <v>1489935004</v>
      </c>
      <c r="X236" s="34">
        <f>22</f>
        <v>22</v>
      </c>
    </row>
    <row r="237" spans="1:24" ht="13.5" customHeight="1" x14ac:dyDescent="0.15">
      <c r="A237" s="25" t="s">
        <v>1013</v>
      </c>
      <c r="B237" s="25" t="s">
        <v>709</v>
      </c>
      <c r="C237" s="25" t="s">
        <v>710</v>
      </c>
      <c r="D237" s="25" t="s">
        <v>711</v>
      </c>
      <c r="E237" s="26" t="s">
        <v>45</v>
      </c>
      <c r="F237" s="27" t="s">
        <v>45</v>
      </c>
      <c r="G237" s="28" t="s">
        <v>45</v>
      </c>
      <c r="H237" s="29"/>
      <c r="I237" s="29" t="s">
        <v>46</v>
      </c>
      <c r="J237" s="30">
        <v>10</v>
      </c>
      <c r="K237" s="31">
        <f>1729</f>
        <v>1729</v>
      </c>
      <c r="L237" s="32" t="s">
        <v>999</v>
      </c>
      <c r="M237" s="31">
        <f>1729</f>
        <v>1729</v>
      </c>
      <c r="N237" s="32" t="s">
        <v>999</v>
      </c>
      <c r="O237" s="31">
        <f>1601.5</f>
        <v>1601.5</v>
      </c>
      <c r="P237" s="32" t="s">
        <v>997</v>
      </c>
      <c r="Q237" s="31">
        <f>1604.5</f>
        <v>1604.5</v>
      </c>
      <c r="R237" s="32" t="s">
        <v>1017</v>
      </c>
      <c r="S237" s="33">
        <f>1644.75</f>
        <v>1644.75</v>
      </c>
      <c r="T237" s="30">
        <f>850</f>
        <v>850</v>
      </c>
      <c r="U237" s="30" t="str">
        <f>"－"</f>
        <v>－</v>
      </c>
      <c r="V237" s="30">
        <f>1409435</f>
        <v>1409435</v>
      </c>
      <c r="W237" s="30" t="str">
        <f>"－"</f>
        <v>－</v>
      </c>
      <c r="X237" s="34">
        <f>14</f>
        <v>14</v>
      </c>
    </row>
    <row r="238" spans="1:24" ht="13.5" customHeight="1" x14ac:dyDescent="0.15">
      <c r="A238" s="25" t="s">
        <v>1013</v>
      </c>
      <c r="B238" s="25" t="s">
        <v>712</v>
      </c>
      <c r="C238" s="25" t="s">
        <v>795</v>
      </c>
      <c r="D238" s="25" t="s">
        <v>796</v>
      </c>
      <c r="E238" s="26" t="s">
        <v>45</v>
      </c>
      <c r="F238" s="27" t="s">
        <v>45</v>
      </c>
      <c r="G238" s="28" t="s">
        <v>45</v>
      </c>
      <c r="H238" s="29"/>
      <c r="I238" s="29" t="s">
        <v>46</v>
      </c>
      <c r="J238" s="30">
        <v>10</v>
      </c>
      <c r="K238" s="31">
        <f>843.3</f>
        <v>843.3</v>
      </c>
      <c r="L238" s="32" t="s">
        <v>995</v>
      </c>
      <c r="M238" s="31">
        <f>850.3</f>
        <v>850.3</v>
      </c>
      <c r="N238" s="32" t="s">
        <v>255</v>
      </c>
      <c r="O238" s="31">
        <f>830.1</f>
        <v>830.1</v>
      </c>
      <c r="P238" s="32" t="s">
        <v>1004</v>
      </c>
      <c r="Q238" s="31">
        <f>845</f>
        <v>845</v>
      </c>
      <c r="R238" s="32" t="s">
        <v>791</v>
      </c>
      <c r="S238" s="33">
        <f>840.3</f>
        <v>840.3</v>
      </c>
      <c r="T238" s="30">
        <f>380560</f>
        <v>380560</v>
      </c>
      <c r="U238" s="30">
        <f>172160</f>
        <v>172160</v>
      </c>
      <c r="V238" s="30">
        <f>319965224</f>
        <v>319965224</v>
      </c>
      <c r="W238" s="30">
        <f>144787883</f>
        <v>144787883</v>
      </c>
      <c r="X238" s="34">
        <f>22</f>
        <v>22</v>
      </c>
    </row>
    <row r="239" spans="1:24" ht="13.5" customHeight="1" x14ac:dyDescent="0.15">
      <c r="A239" s="25" t="s">
        <v>1013</v>
      </c>
      <c r="B239" s="25" t="s">
        <v>713</v>
      </c>
      <c r="C239" s="25" t="s">
        <v>714</v>
      </c>
      <c r="D239" s="25" t="s">
        <v>715</v>
      </c>
      <c r="E239" s="26" t="s">
        <v>45</v>
      </c>
      <c r="F239" s="27" t="s">
        <v>45</v>
      </c>
      <c r="G239" s="28" t="s">
        <v>45</v>
      </c>
      <c r="H239" s="29"/>
      <c r="I239" s="29" t="s">
        <v>46</v>
      </c>
      <c r="J239" s="30">
        <v>10</v>
      </c>
      <c r="K239" s="31">
        <f>1902.5</f>
        <v>1902.5</v>
      </c>
      <c r="L239" s="32" t="s">
        <v>995</v>
      </c>
      <c r="M239" s="31">
        <f>1902.5</f>
        <v>1902.5</v>
      </c>
      <c r="N239" s="32" t="s">
        <v>995</v>
      </c>
      <c r="O239" s="31">
        <f>1800</f>
        <v>1800</v>
      </c>
      <c r="P239" s="32" t="s">
        <v>80</v>
      </c>
      <c r="Q239" s="31">
        <f>1841</f>
        <v>1841</v>
      </c>
      <c r="R239" s="32" t="s">
        <v>791</v>
      </c>
      <c r="S239" s="33">
        <f>1849.32</f>
        <v>1849.32</v>
      </c>
      <c r="T239" s="30">
        <f>241640</f>
        <v>241640</v>
      </c>
      <c r="U239" s="30">
        <f>121000</f>
        <v>121000</v>
      </c>
      <c r="V239" s="30">
        <f>442366625</f>
        <v>442366625</v>
      </c>
      <c r="W239" s="30">
        <f>221919200</f>
        <v>221919200</v>
      </c>
      <c r="X239" s="34">
        <f>22</f>
        <v>22</v>
      </c>
    </row>
    <row r="240" spans="1:24" ht="13.5" customHeight="1" x14ac:dyDescent="0.15">
      <c r="A240" s="25" t="s">
        <v>1013</v>
      </c>
      <c r="B240" s="25" t="s">
        <v>716</v>
      </c>
      <c r="C240" s="25" t="s">
        <v>717</v>
      </c>
      <c r="D240" s="25" t="s">
        <v>718</v>
      </c>
      <c r="E240" s="26" t="s">
        <v>45</v>
      </c>
      <c r="F240" s="27" t="s">
        <v>45</v>
      </c>
      <c r="G240" s="28" t="s">
        <v>45</v>
      </c>
      <c r="H240" s="29"/>
      <c r="I240" s="29" t="s">
        <v>46</v>
      </c>
      <c r="J240" s="30">
        <v>10</v>
      </c>
      <c r="K240" s="31">
        <f>1899</f>
        <v>1899</v>
      </c>
      <c r="L240" s="32" t="s">
        <v>995</v>
      </c>
      <c r="M240" s="31">
        <f>1899</f>
        <v>1899</v>
      </c>
      <c r="N240" s="32" t="s">
        <v>995</v>
      </c>
      <c r="O240" s="31">
        <f>1797</f>
        <v>1797</v>
      </c>
      <c r="P240" s="32" t="s">
        <v>80</v>
      </c>
      <c r="Q240" s="31">
        <f>1839</f>
        <v>1839</v>
      </c>
      <c r="R240" s="32" t="s">
        <v>791</v>
      </c>
      <c r="S240" s="33">
        <f>1847.95</f>
        <v>1847.95</v>
      </c>
      <c r="T240" s="30">
        <f>446640</f>
        <v>446640</v>
      </c>
      <c r="U240" s="30">
        <f>40020</f>
        <v>40020</v>
      </c>
      <c r="V240" s="30">
        <f>824671795</f>
        <v>824671795</v>
      </c>
      <c r="W240" s="30">
        <f>72946255</f>
        <v>72946255</v>
      </c>
      <c r="X240" s="34">
        <f>22</f>
        <v>22</v>
      </c>
    </row>
    <row r="241" spans="1:24" ht="13.5" customHeight="1" x14ac:dyDescent="0.15">
      <c r="A241" s="25" t="s">
        <v>1013</v>
      </c>
      <c r="B241" s="25" t="s">
        <v>719</v>
      </c>
      <c r="C241" s="25" t="s">
        <v>720</v>
      </c>
      <c r="D241" s="25" t="s">
        <v>721</v>
      </c>
      <c r="E241" s="26" t="s">
        <v>45</v>
      </c>
      <c r="F241" s="27" t="s">
        <v>45</v>
      </c>
      <c r="G241" s="28" t="s">
        <v>45</v>
      </c>
      <c r="H241" s="29"/>
      <c r="I241" s="29" t="s">
        <v>46</v>
      </c>
      <c r="J241" s="30">
        <v>10</v>
      </c>
      <c r="K241" s="31">
        <f>2020</f>
        <v>2020</v>
      </c>
      <c r="L241" s="32" t="s">
        <v>999</v>
      </c>
      <c r="M241" s="31">
        <f>2089.5</f>
        <v>2089.5</v>
      </c>
      <c r="N241" s="32" t="s">
        <v>1004</v>
      </c>
      <c r="O241" s="31">
        <f>1929.5</f>
        <v>1929.5</v>
      </c>
      <c r="P241" s="32" t="s">
        <v>876</v>
      </c>
      <c r="Q241" s="31">
        <f>2046.5</f>
        <v>2046.5</v>
      </c>
      <c r="R241" s="32" t="s">
        <v>791</v>
      </c>
      <c r="S241" s="33">
        <f>2011.58</f>
        <v>2011.58</v>
      </c>
      <c r="T241" s="30">
        <f>275780</f>
        <v>275780</v>
      </c>
      <c r="U241" s="30">
        <f>103000</f>
        <v>103000</v>
      </c>
      <c r="V241" s="30">
        <f>546192345</f>
        <v>546192345</v>
      </c>
      <c r="W241" s="30">
        <f>200541000</f>
        <v>200541000</v>
      </c>
      <c r="X241" s="34">
        <f>20</f>
        <v>20</v>
      </c>
    </row>
    <row r="242" spans="1:24" ht="13.5" customHeight="1" x14ac:dyDescent="0.15">
      <c r="A242" s="25" t="s">
        <v>1013</v>
      </c>
      <c r="B242" s="25" t="s">
        <v>722</v>
      </c>
      <c r="C242" s="25" t="s">
        <v>723</v>
      </c>
      <c r="D242" s="25" t="s">
        <v>724</v>
      </c>
      <c r="E242" s="26" t="s">
        <v>45</v>
      </c>
      <c r="F242" s="27" t="s">
        <v>45</v>
      </c>
      <c r="G242" s="28" t="s">
        <v>45</v>
      </c>
      <c r="H242" s="29"/>
      <c r="I242" s="29" t="s">
        <v>46</v>
      </c>
      <c r="J242" s="30">
        <v>1</v>
      </c>
      <c r="K242" s="31">
        <f>15535</f>
        <v>15535</v>
      </c>
      <c r="L242" s="32" t="s">
        <v>995</v>
      </c>
      <c r="M242" s="31">
        <f>15890</f>
        <v>15890</v>
      </c>
      <c r="N242" s="32" t="s">
        <v>1003</v>
      </c>
      <c r="O242" s="31">
        <f>14790</f>
        <v>14790</v>
      </c>
      <c r="P242" s="32" t="s">
        <v>1005</v>
      </c>
      <c r="Q242" s="31">
        <f>15545</f>
        <v>15545</v>
      </c>
      <c r="R242" s="32" t="s">
        <v>791</v>
      </c>
      <c r="S242" s="33">
        <f>15310.23</f>
        <v>15310.23</v>
      </c>
      <c r="T242" s="30">
        <f>976776</f>
        <v>976776</v>
      </c>
      <c r="U242" s="30">
        <f>26417</f>
        <v>26417</v>
      </c>
      <c r="V242" s="30">
        <f>14853777396</f>
        <v>14853777396</v>
      </c>
      <c r="W242" s="30">
        <f>412807116</f>
        <v>412807116</v>
      </c>
      <c r="X242" s="34">
        <f>22</f>
        <v>22</v>
      </c>
    </row>
    <row r="243" spans="1:24" ht="13.5" customHeight="1" x14ac:dyDescent="0.15">
      <c r="A243" s="25" t="s">
        <v>1013</v>
      </c>
      <c r="B243" s="25" t="s">
        <v>725</v>
      </c>
      <c r="C243" s="25" t="s">
        <v>726</v>
      </c>
      <c r="D243" s="25" t="s">
        <v>727</v>
      </c>
      <c r="E243" s="26" t="s">
        <v>45</v>
      </c>
      <c r="F243" s="27" t="s">
        <v>45</v>
      </c>
      <c r="G243" s="28" t="s">
        <v>45</v>
      </c>
      <c r="H243" s="29"/>
      <c r="I243" s="29" t="s">
        <v>46</v>
      </c>
      <c r="J243" s="30">
        <v>1</v>
      </c>
      <c r="K243" s="31">
        <f>14070</f>
        <v>14070</v>
      </c>
      <c r="L243" s="32" t="s">
        <v>995</v>
      </c>
      <c r="M243" s="31">
        <f>14415</f>
        <v>14415</v>
      </c>
      <c r="N243" s="32" t="s">
        <v>1003</v>
      </c>
      <c r="O243" s="31">
        <f>13495</f>
        <v>13495</v>
      </c>
      <c r="P243" s="32" t="s">
        <v>894</v>
      </c>
      <c r="Q243" s="31">
        <f>14065</f>
        <v>14065</v>
      </c>
      <c r="R243" s="32" t="s">
        <v>791</v>
      </c>
      <c r="S243" s="33">
        <f>13939.55</f>
        <v>13939.55</v>
      </c>
      <c r="T243" s="30">
        <f>264169</f>
        <v>264169</v>
      </c>
      <c r="U243" s="30">
        <f>14074</f>
        <v>14074</v>
      </c>
      <c r="V243" s="30">
        <f>3669676402</f>
        <v>3669676402</v>
      </c>
      <c r="W243" s="30">
        <f>199624677</f>
        <v>199624677</v>
      </c>
      <c r="X243" s="34">
        <f>22</f>
        <v>22</v>
      </c>
    </row>
    <row r="244" spans="1:24" ht="13.5" customHeight="1" x14ac:dyDescent="0.15">
      <c r="A244" s="25" t="s">
        <v>1013</v>
      </c>
      <c r="B244" s="25" t="s">
        <v>728</v>
      </c>
      <c r="C244" s="25" t="s">
        <v>729</v>
      </c>
      <c r="D244" s="25" t="s">
        <v>730</v>
      </c>
      <c r="E244" s="26" t="s">
        <v>45</v>
      </c>
      <c r="F244" s="27" t="s">
        <v>45</v>
      </c>
      <c r="G244" s="28" t="s">
        <v>45</v>
      </c>
      <c r="H244" s="29"/>
      <c r="I244" s="29" t="s">
        <v>46</v>
      </c>
      <c r="J244" s="30">
        <v>1</v>
      </c>
      <c r="K244" s="31">
        <f>27005</f>
        <v>27005</v>
      </c>
      <c r="L244" s="32" t="s">
        <v>78</v>
      </c>
      <c r="M244" s="31">
        <f>27450</f>
        <v>27450</v>
      </c>
      <c r="N244" s="32" t="s">
        <v>1004</v>
      </c>
      <c r="O244" s="31">
        <f>25390</f>
        <v>25390</v>
      </c>
      <c r="P244" s="32" t="s">
        <v>876</v>
      </c>
      <c r="Q244" s="31">
        <f>26345</f>
        <v>26345</v>
      </c>
      <c r="R244" s="32" t="s">
        <v>1017</v>
      </c>
      <c r="S244" s="33">
        <f>26508.18</f>
        <v>26508.18</v>
      </c>
      <c r="T244" s="30">
        <f>27</f>
        <v>27</v>
      </c>
      <c r="U244" s="30" t="str">
        <f>"－"</f>
        <v>－</v>
      </c>
      <c r="V244" s="30">
        <f>721385</f>
        <v>721385</v>
      </c>
      <c r="W244" s="30" t="str">
        <f>"－"</f>
        <v>－</v>
      </c>
      <c r="X244" s="34">
        <f>11</f>
        <v>11</v>
      </c>
    </row>
    <row r="245" spans="1:24" ht="13.5" customHeight="1" x14ac:dyDescent="0.15">
      <c r="A245" s="25" t="s">
        <v>1013</v>
      </c>
      <c r="B245" s="25" t="s">
        <v>731</v>
      </c>
      <c r="C245" s="25" t="s">
        <v>732</v>
      </c>
      <c r="D245" s="25" t="s">
        <v>733</v>
      </c>
      <c r="E245" s="26" t="s">
        <v>45</v>
      </c>
      <c r="F245" s="27" t="s">
        <v>45</v>
      </c>
      <c r="G245" s="28" t="s">
        <v>45</v>
      </c>
      <c r="H245" s="29"/>
      <c r="I245" s="29" t="s">
        <v>46</v>
      </c>
      <c r="J245" s="30">
        <v>1</v>
      </c>
      <c r="K245" s="31">
        <f>2491</f>
        <v>2491</v>
      </c>
      <c r="L245" s="32" t="s">
        <v>995</v>
      </c>
      <c r="M245" s="31">
        <f>2572</f>
        <v>2572</v>
      </c>
      <c r="N245" s="32" t="s">
        <v>1005</v>
      </c>
      <c r="O245" s="31">
        <f>2484</f>
        <v>2484</v>
      </c>
      <c r="P245" s="32" t="s">
        <v>1004</v>
      </c>
      <c r="Q245" s="31">
        <f>2557</f>
        <v>2557</v>
      </c>
      <c r="R245" s="32" t="s">
        <v>791</v>
      </c>
      <c r="S245" s="33">
        <f>2527.59</f>
        <v>2527.59</v>
      </c>
      <c r="T245" s="30">
        <f>1097082</f>
        <v>1097082</v>
      </c>
      <c r="U245" s="30">
        <f>488633</f>
        <v>488633</v>
      </c>
      <c r="V245" s="30">
        <f>2781002884</f>
        <v>2781002884</v>
      </c>
      <c r="W245" s="30">
        <f>1245659832</f>
        <v>1245659832</v>
      </c>
      <c r="X245" s="34">
        <f>22</f>
        <v>22</v>
      </c>
    </row>
    <row r="246" spans="1:24" ht="13.5" customHeight="1" x14ac:dyDescent="0.15">
      <c r="A246" s="25" t="s">
        <v>1013</v>
      </c>
      <c r="B246" s="25" t="s">
        <v>734</v>
      </c>
      <c r="C246" s="25" t="s">
        <v>735</v>
      </c>
      <c r="D246" s="25" t="s">
        <v>736</v>
      </c>
      <c r="E246" s="26" t="s">
        <v>45</v>
      </c>
      <c r="F246" s="27" t="s">
        <v>45</v>
      </c>
      <c r="G246" s="28" t="s">
        <v>45</v>
      </c>
      <c r="H246" s="29"/>
      <c r="I246" s="29" t="s">
        <v>46</v>
      </c>
      <c r="J246" s="30">
        <v>10</v>
      </c>
      <c r="K246" s="31">
        <f>2700</f>
        <v>2700</v>
      </c>
      <c r="L246" s="32" t="s">
        <v>995</v>
      </c>
      <c r="M246" s="31">
        <f>2773</f>
        <v>2773</v>
      </c>
      <c r="N246" s="32" t="s">
        <v>1003</v>
      </c>
      <c r="O246" s="31">
        <f>2607</f>
        <v>2607</v>
      </c>
      <c r="P246" s="32" t="s">
        <v>1005</v>
      </c>
      <c r="Q246" s="31">
        <f>2712.5</f>
        <v>2712.5</v>
      </c>
      <c r="R246" s="32" t="s">
        <v>791</v>
      </c>
      <c r="S246" s="33">
        <f>2692.95</f>
        <v>2692.95</v>
      </c>
      <c r="T246" s="30">
        <f>3409320</f>
        <v>3409320</v>
      </c>
      <c r="U246" s="30">
        <f>2904240</f>
        <v>2904240</v>
      </c>
      <c r="V246" s="30">
        <f>9202596126</f>
        <v>9202596126</v>
      </c>
      <c r="W246" s="30">
        <f>7848992596</f>
        <v>7848992596</v>
      </c>
      <c r="X246" s="34">
        <f>22</f>
        <v>22</v>
      </c>
    </row>
    <row r="247" spans="1:24" ht="13.5" customHeight="1" x14ac:dyDescent="0.15">
      <c r="A247" s="25" t="s">
        <v>1013</v>
      </c>
      <c r="B247" s="25" t="s">
        <v>737</v>
      </c>
      <c r="C247" s="25" t="s">
        <v>738</v>
      </c>
      <c r="D247" s="25" t="s">
        <v>739</v>
      </c>
      <c r="E247" s="26" t="s">
        <v>45</v>
      </c>
      <c r="F247" s="27" t="s">
        <v>45</v>
      </c>
      <c r="G247" s="28" t="s">
        <v>45</v>
      </c>
      <c r="H247" s="29"/>
      <c r="I247" s="29" t="s">
        <v>46</v>
      </c>
      <c r="J247" s="30">
        <v>10</v>
      </c>
      <c r="K247" s="31">
        <f>246.6</f>
        <v>246.6</v>
      </c>
      <c r="L247" s="32" t="s">
        <v>995</v>
      </c>
      <c r="M247" s="31">
        <f>252.8</f>
        <v>252.8</v>
      </c>
      <c r="N247" s="32" t="s">
        <v>1003</v>
      </c>
      <c r="O247" s="31">
        <f>240</f>
        <v>240</v>
      </c>
      <c r="P247" s="32" t="s">
        <v>1005</v>
      </c>
      <c r="Q247" s="31">
        <f>251.6</f>
        <v>251.6</v>
      </c>
      <c r="R247" s="32" t="s">
        <v>791</v>
      </c>
      <c r="S247" s="33">
        <f>247.02</f>
        <v>247.02</v>
      </c>
      <c r="T247" s="30">
        <f>61584650</f>
        <v>61584650</v>
      </c>
      <c r="U247" s="30">
        <f>5121290</f>
        <v>5121290</v>
      </c>
      <c r="V247" s="30">
        <f>15151750796</f>
        <v>15151750796</v>
      </c>
      <c r="W247" s="30">
        <f>1248122123</f>
        <v>1248122123</v>
      </c>
      <c r="X247" s="34">
        <f>22</f>
        <v>22</v>
      </c>
    </row>
    <row r="248" spans="1:24" ht="13.5" customHeight="1" x14ac:dyDescent="0.15">
      <c r="A248" s="25" t="s">
        <v>1013</v>
      </c>
      <c r="B248" s="25" t="s">
        <v>740</v>
      </c>
      <c r="C248" s="25" t="s">
        <v>741</v>
      </c>
      <c r="D248" s="25" t="s">
        <v>742</v>
      </c>
      <c r="E248" s="26" t="s">
        <v>45</v>
      </c>
      <c r="F248" s="27" t="s">
        <v>45</v>
      </c>
      <c r="G248" s="28" t="s">
        <v>45</v>
      </c>
      <c r="H248" s="29"/>
      <c r="I248" s="29" t="s">
        <v>46</v>
      </c>
      <c r="J248" s="30">
        <v>1</v>
      </c>
      <c r="K248" s="31">
        <f>2232</f>
        <v>2232</v>
      </c>
      <c r="L248" s="32" t="s">
        <v>995</v>
      </c>
      <c r="M248" s="31">
        <f>2334</f>
        <v>2334</v>
      </c>
      <c r="N248" s="32" t="s">
        <v>1004</v>
      </c>
      <c r="O248" s="31">
        <f>2140</f>
        <v>2140</v>
      </c>
      <c r="P248" s="32" t="s">
        <v>80</v>
      </c>
      <c r="Q248" s="31">
        <f>2255</f>
        <v>2255</v>
      </c>
      <c r="R248" s="32" t="s">
        <v>791</v>
      </c>
      <c r="S248" s="33">
        <f>2241.68</f>
        <v>2241.6799999999998</v>
      </c>
      <c r="T248" s="30">
        <f>4994709</f>
        <v>4994709</v>
      </c>
      <c r="U248" s="30">
        <f>180000</f>
        <v>180000</v>
      </c>
      <c r="V248" s="30">
        <f>11208323404</f>
        <v>11208323404</v>
      </c>
      <c r="W248" s="30">
        <f>394164000</f>
        <v>394164000</v>
      </c>
      <c r="X248" s="34">
        <f>22</f>
        <v>22</v>
      </c>
    </row>
    <row r="249" spans="1:24" ht="13.5" customHeight="1" x14ac:dyDescent="0.15">
      <c r="A249" s="25" t="s">
        <v>1013</v>
      </c>
      <c r="B249" s="25" t="s">
        <v>743</v>
      </c>
      <c r="C249" s="25" t="s">
        <v>744</v>
      </c>
      <c r="D249" s="25" t="s">
        <v>745</v>
      </c>
      <c r="E249" s="26" t="s">
        <v>45</v>
      </c>
      <c r="F249" s="27" t="s">
        <v>45</v>
      </c>
      <c r="G249" s="28" t="s">
        <v>45</v>
      </c>
      <c r="H249" s="29"/>
      <c r="I249" s="29" t="s">
        <v>46</v>
      </c>
      <c r="J249" s="30">
        <v>1</v>
      </c>
      <c r="K249" s="31">
        <f>980</f>
        <v>980</v>
      </c>
      <c r="L249" s="32" t="s">
        <v>995</v>
      </c>
      <c r="M249" s="31">
        <f>996</f>
        <v>996</v>
      </c>
      <c r="N249" s="32" t="s">
        <v>1002</v>
      </c>
      <c r="O249" s="31">
        <f>950</f>
        <v>950</v>
      </c>
      <c r="P249" s="32" t="s">
        <v>997</v>
      </c>
      <c r="Q249" s="31">
        <f>958</f>
        <v>958</v>
      </c>
      <c r="R249" s="32" t="s">
        <v>791</v>
      </c>
      <c r="S249" s="33">
        <f>967.5</f>
        <v>967.5</v>
      </c>
      <c r="T249" s="30">
        <f>1514993</f>
        <v>1514993</v>
      </c>
      <c r="U249" s="30">
        <f>1202002</f>
        <v>1202002</v>
      </c>
      <c r="V249" s="30">
        <f>1454495216</f>
        <v>1454495216</v>
      </c>
      <c r="W249" s="30">
        <f>1153098592</f>
        <v>1153098592</v>
      </c>
      <c r="X249" s="34">
        <f>22</f>
        <v>22</v>
      </c>
    </row>
    <row r="250" spans="1:24" ht="13.5" customHeight="1" x14ac:dyDescent="0.15">
      <c r="A250" s="25" t="s">
        <v>1013</v>
      </c>
      <c r="B250" s="25" t="s">
        <v>746</v>
      </c>
      <c r="C250" s="25" t="s">
        <v>747</v>
      </c>
      <c r="D250" s="25" t="s">
        <v>748</v>
      </c>
      <c r="E250" s="26" t="s">
        <v>45</v>
      </c>
      <c r="F250" s="27" t="s">
        <v>45</v>
      </c>
      <c r="G250" s="28" t="s">
        <v>45</v>
      </c>
      <c r="H250" s="29"/>
      <c r="I250" s="29" t="s">
        <v>46</v>
      </c>
      <c r="J250" s="30">
        <v>10</v>
      </c>
      <c r="K250" s="31">
        <f>1044</f>
        <v>1044</v>
      </c>
      <c r="L250" s="32" t="s">
        <v>995</v>
      </c>
      <c r="M250" s="31">
        <f>1044</f>
        <v>1044</v>
      </c>
      <c r="N250" s="32" t="s">
        <v>995</v>
      </c>
      <c r="O250" s="31">
        <f>990.7</f>
        <v>990.7</v>
      </c>
      <c r="P250" s="32" t="s">
        <v>1001</v>
      </c>
      <c r="Q250" s="31">
        <f>1008</f>
        <v>1008</v>
      </c>
      <c r="R250" s="32" t="s">
        <v>791</v>
      </c>
      <c r="S250" s="33">
        <f>1017</f>
        <v>1017</v>
      </c>
      <c r="T250" s="30">
        <f>402940</f>
        <v>402940</v>
      </c>
      <c r="U250" s="30">
        <f>389690</f>
        <v>389690</v>
      </c>
      <c r="V250" s="30">
        <f>413157498</f>
        <v>413157498</v>
      </c>
      <c r="W250" s="30">
        <f>399746037</f>
        <v>399746037</v>
      </c>
      <c r="X250" s="34">
        <f>22</f>
        <v>22</v>
      </c>
    </row>
    <row r="251" spans="1:24" ht="13.5" customHeight="1" x14ac:dyDescent="0.15">
      <c r="A251" s="25" t="s">
        <v>1013</v>
      </c>
      <c r="B251" s="25" t="s">
        <v>749</v>
      </c>
      <c r="C251" s="25" t="s">
        <v>750</v>
      </c>
      <c r="D251" s="25" t="s">
        <v>751</v>
      </c>
      <c r="E251" s="26" t="s">
        <v>45</v>
      </c>
      <c r="F251" s="27" t="s">
        <v>45</v>
      </c>
      <c r="G251" s="28" t="s">
        <v>45</v>
      </c>
      <c r="H251" s="29"/>
      <c r="I251" s="29" t="s">
        <v>46</v>
      </c>
      <c r="J251" s="30">
        <v>10</v>
      </c>
      <c r="K251" s="31">
        <f>249.6</f>
        <v>249.6</v>
      </c>
      <c r="L251" s="32" t="s">
        <v>995</v>
      </c>
      <c r="M251" s="31">
        <f>257.5</f>
        <v>257.5</v>
      </c>
      <c r="N251" s="32" t="s">
        <v>1004</v>
      </c>
      <c r="O251" s="31">
        <f>245</f>
        <v>245</v>
      </c>
      <c r="P251" s="32" t="s">
        <v>876</v>
      </c>
      <c r="Q251" s="31">
        <f>252.5</f>
        <v>252.5</v>
      </c>
      <c r="R251" s="32" t="s">
        <v>791</v>
      </c>
      <c r="S251" s="33">
        <f>250.58</f>
        <v>250.58</v>
      </c>
      <c r="T251" s="30">
        <f>8530</f>
        <v>8530</v>
      </c>
      <c r="U251" s="30" t="str">
        <f>"－"</f>
        <v>－</v>
      </c>
      <c r="V251" s="30">
        <f>2151194</f>
        <v>2151194</v>
      </c>
      <c r="W251" s="30" t="str">
        <f>"－"</f>
        <v>－</v>
      </c>
      <c r="X251" s="34">
        <f>21</f>
        <v>21</v>
      </c>
    </row>
    <row r="252" spans="1:24" ht="13.5" customHeight="1" x14ac:dyDescent="0.15">
      <c r="A252" s="25" t="s">
        <v>1013</v>
      </c>
      <c r="B252" s="25" t="s">
        <v>752</v>
      </c>
      <c r="C252" s="25" t="s">
        <v>753</v>
      </c>
      <c r="D252" s="25" t="s">
        <v>754</v>
      </c>
      <c r="E252" s="26" t="s">
        <v>45</v>
      </c>
      <c r="F252" s="27" t="s">
        <v>45</v>
      </c>
      <c r="G252" s="28" t="s">
        <v>45</v>
      </c>
      <c r="H252" s="29"/>
      <c r="I252" s="29" t="s">
        <v>46</v>
      </c>
      <c r="J252" s="30">
        <v>10</v>
      </c>
      <c r="K252" s="31">
        <f>2812</f>
        <v>2812</v>
      </c>
      <c r="L252" s="32" t="s">
        <v>995</v>
      </c>
      <c r="M252" s="31">
        <f>2988</f>
        <v>2988</v>
      </c>
      <c r="N252" s="32" t="s">
        <v>791</v>
      </c>
      <c r="O252" s="31">
        <f>2733.5</f>
        <v>2733.5</v>
      </c>
      <c r="P252" s="32" t="s">
        <v>1005</v>
      </c>
      <c r="Q252" s="31">
        <f>2970</f>
        <v>2970</v>
      </c>
      <c r="R252" s="32" t="s">
        <v>791</v>
      </c>
      <c r="S252" s="33">
        <f>2853.05</f>
        <v>2853.05</v>
      </c>
      <c r="T252" s="30">
        <f>2111660</f>
        <v>2111660</v>
      </c>
      <c r="U252" s="30" t="str">
        <f>"－"</f>
        <v>－</v>
      </c>
      <c r="V252" s="30">
        <f>5993697630</f>
        <v>5993697630</v>
      </c>
      <c r="W252" s="30" t="str">
        <f>"－"</f>
        <v>－</v>
      </c>
      <c r="X252" s="34">
        <f>22</f>
        <v>22</v>
      </c>
    </row>
    <row r="253" spans="1:24" ht="13.5" customHeight="1" x14ac:dyDescent="0.15">
      <c r="A253" s="25" t="s">
        <v>1013</v>
      </c>
      <c r="B253" s="25" t="s">
        <v>755</v>
      </c>
      <c r="C253" s="25" t="s">
        <v>756</v>
      </c>
      <c r="D253" s="25" t="s">
        <v>757</v>
      </c>
      <c r="E253" s="26" t="s">
        <v>45</v>
      </c>
      <c r="F253" s="27" t="s">
        <v>45</v>
      </c>
      <c r="G253" s="28" t="s">
        <v>45</v>
      </c>
      <c r="H253" s="29"/>
      <c r="I253" s="29" t="s">
        <v>46</v>
      </c>
      <c r="J253" s="30">
        <v>10</v>
      </c>
      <c r="K253" s="31">
        <f>2056</f>
        <v>2056</v>
      </c>
      <c r="L253" s="32" t="s">
        <v>995</v>
      </c>
      <c r="M253" s="31">
        <f>2216.5</f>
        <v>2216.5</v>
      </c>
      <c r="N253" s="32" t="s">
        <v>791</v>
      </c>
      <c r="O253" s="31">
        <f>2028</f>
        <v>2028</v>
      </c>
      <c r="P253" s="32" t="s">
        <v>999</v>
      </c>
      <c r="Q253" s="31">
        <f>2210.5</f>
        <v>2210.5</v>
      </c>
      <c r="R253" s="32" t="s">
        <v>791</v>
      </c>
      <c r="S253" s="33">
        <f>2116.93</f>
        <v>2116.9299999999998</v>
      </c>
      <c r="T253" s="30">
        <f>2392280</f>
        <v>2392280</v>
      </c>
      <c r="U253" s="30">
        <f>80000</f>
        <v>80000</v>
      </c>
      <c r="V253" s="30">
        <f>5048022977</f>
        <v>5048022977</v>
      </c>
      <c r="W253" s="30">
        <f>165583747</f>
        <v>165583747</v>
      </c>
      <c r="X253" s="34">
        <f>22</f>
        <v>22</v>
      </c>
    </row>
    <row r="254" spans="1:24" ht="13.5" customHeight="1" x14ac:dyDescent="0.15">
      <c r="A254" s="25" t="s">
        <v>1013</v>
      </c>
      <c r="B254" s="25" t="s">
        <v>758</v>
      </c>
      <c r="C254" s="25" t="s">
        <v>759</v>
      </c>
      <c r="D254" s="25" t="s">
        <v>760</v>
      </c>
      <c r="E254" s="26" t="s">
        <v>45</v>
      </c>
      <c r="F254" s="27" t="s">
        <v>45</v>
      </c>
      <c r="G254" s="28" t="s">
        <v>45</v>
      </c>
      <c r="H254" s="29"/>
      <c r="I254" s="29" t="s">
        <v>46</v>
      </c>
      <c r="J254" s="30">
        <v>10</v>
      </c>
      <c r="K254" s="31">
        <f>301.9</f>
        <v>301.89999999999998</v>
      </c>
      <c r="L254" s="32" t="s">
        <v>995</v>
      </c>
      <c r="M254" s="31">
        <f>304.4</f>
        <v>304.39999999999998</v>
      </c>
      <c r="N254" s="32" t="s">
        <v>56</v>
      </c>
      <c r="O254" s="31">
        <f>293</f>
        <v>293</v>
      </c>
      <c r="P254" s="32" t="s">
        <v>793</v>
      </c>
      <c r="Q254" s="31">
        <f>298.2</f>
        <v>298.2</v>
      </c>
      <c r="R254" s="32" t="s">
        <v>791</v>
      </c>
      <c r="S254" s="33">
        <f>298.87</f>
        <v>298.87</v>
      </c>
      <c r="T254" s="30">
        <f>9771400</f>
        <v>9771400</v>
      </c>
      <c r="U254" s="30">
        <f>4713310</f>
        <v>4713310</v>
      </c>
      <c r="V254" s="30">
        <f>2902979868</f>
        <v>2902979868</v>
      </c>
      <c r="W254" s="30">
        <f>1390067942</f>
        <v>1390067942</v>
      </c>
      <c r="X254" s="34">
        <f>22</f>
        <v>22</v>
      </c>
    </row>
    <row r="255" spans="1:24" ht="13.5" customHeight="1" x14ac:dyDescent="0.15">
      <c r="A255" s="25" t="s">
        <v>1013</v>
      </c>
      <c r="B255" s="25" t="s">
        <v>761</v>
      </c>
      <c r="C255" s="25" t="s">
        <v>762</v>
      </c>
      <c r="D255" s="25" t="s">
        <v>763</v>
      </c>
      <c r="E255" s="26" t="s">
        <v>45</v>
      </c>
      <c r="F255" s="27" t="s">
        <v>45</v>
      </c>
      <c r="G255" s="28" t="s">
        <v>45</v>
      </c>
      <c r="H255" s="29"/>
      <c r="I255" s="29" t="s">
        <v>46</v>
      </c>
      <c r="J255" s="30">
        <v>1</v>
      </c>
      <c r="K255" s="31">
        <f>1454</f>
        <v>1454</v>
      </c>
      <c r="L255" s="32" t="s">
        <v>995</v>
      </c>
      <c r="M255" s="31">
        <f>1541</f>
        <v>1541</v>
      </c>
      <c r="N255" s="32" t="s">
        <v>876</v>
      </c>
      <c r="O255" s="31">
        <f>1432</f>
        <v>1432</v>
      </c>
      <c r="P255" s="32" t="s">
        <v>996</v>
      </c>
      <c r="Q255" s="31">
        <f>1503</f>
        <v>1503</v>
      </c>
      <c r="R255" s="32" t="s">
        <v>791</v>
      </c>
      <c r="S255" s="33">
        <f>1492.86</f>
        <v>1492.86</v>
      </c>
      <c r="T255" s="30">
        <f>11056102</f>
        <v>11056102</v>
      </c>
      <c r="U255" s="30">
        <f>280662</f>
        <v>280662</v>
      </c>
      <c r="V255" s="30">
        <f>16530546553</f>
        <v>16530546553</v>
      </c>
      <c r="W255" s="30">
        <f>409082622</f>
        <v>409082622</v>
      </c>
      <c r="X255" s="34">
        <f>22</f>
        <v>22</v>
      </c>
    </row>
    <row r="256" spans="1:24" ht="13.5" customHeight="1" x14ac:dyDescent="0.15">
      <c r="A256" s="25" t="s">
        <v>1013</v>
      </c>
      <c r="B256" s="25" t="s">
        <v>764</v>
      </c>
      <c r="C256" s="25" t="s">
        <v>765</v>
      </c>
      <c r="D256" s="25" t="s">
        <v>766</v>
      </c>
      <c r="E256" s="26" t="s">
        <v>45</v>
      </c>
      <c r="F256" s="27" t="s">
        <v>45</v>
      </c>
      <c r="G256" s="28" t="s">
        <v>45</v>
      </c>
      <c r="H256" s="29"/>
      <c r="I256" s="29" t="s">
        <v>46</v>
      </c>
      <c r="J256" s="30">
        <v>1</v>
      </c>
      <c r="K256" s="31">
        <f>1840</f>
        <v>1840</v>
      </c>
      <c r="L256" s="32" t="s">
        <v>995</v>
      </c>
      <c r="M256" s="31">
        <f>1840</f>
        <v>1840</v>
      </c>
      <c r="N256" s="32" t="s">
        <v>995</v>
      </c>
      <c r="O256" s="31">
        <f>1800</f>
        <v>1800</v>
      </c>
      <c r="P256" s="32" t="s">
        <v>996</v>
      </c>
      <c r="Q256" s="31">
        <f>1831</f>
        <v>1831</v>
      </c>
      <c r="R256" s="32" t="s">
        <v>791</v>
      </c>
      <c r="S256" s="33">
        <f>1818.82</f>
        <v>1818.82</v>
      </c>
      <c r="T256" s="30">
        <f>41575</f>
        <v>41575</v>
      </c>
      <c r="U256" s="30">
        <f>3</f>
        <v>3</v>
      </c>
      <c r="V256" s="30">
        <f>75435491</f>
        <v>75435491</v>
      </c>
      <c r="W256" s="30">
        <f>5486</f>
        <v>5486</v>
      </c>
      <c r="X256" s="34">
        <f>22</f>
        <v>22</v>
      </c>
    </row>
    <row r="257" spans="1:24" ht="13.5" customHeight="1" x14ac:dyDescent="0.15">
      <c r="A257" s="25" t="s">
        <v>1013</v>
      </c>
      <c r="B257" s="25" t="s">
        <v>767</v>
      </c>
      <c r="C257" s="25" t="s">
        <v>768</v>
      </c>
      <c r="D257" s="25" t="s">
        <v>769</v>
      </c>
      <c r="E257" s="26" t="s">
        <v>45</v>
      </c>
      <c r="F257" s="27" t="s">
        <v>45</v>
      </c>
      <c r="G257" s="28" t="s">
        <v>45</v>
      </c>
      <c r="H257" s="29"/>
      <c r="I257" s="29" t="s">
        <v>46</v>
      </c>
      <c r="J257" s="30">
        <v>1</v>
      </c>
      <c r="K257" s="31">
        <f>2152</f>
        <v>2152</v>
      </c>
      <c r="L257" s="32" t="s">
        <v>995</v>
      </c>
      <c r="M257" s="31">
        <f>2184</f>
        <v>2184</v>
      </c>
      <c r="N257" s="32" t="s">
        <v>793</v>
      </c>
      <c r="O257" s="31">
        <f>2110</f>
        <v>2110</v>
      </c>
      <c r="P257" s="32" t="s">
        <v>1004</v>
      </c>
      <c r="Q257" s="31">
        <f>2132</f>
        <v>2132</v>
      </c>
      <c r="R257" s="32" t="s">
        <v>791</v>
      </c>
      <c r="S257" s="33">
        <f>2127.09</f>
        <v>2127.09</v>
      </c>
      <c r="T257" s="30">
        <f>14181</f>
        <v>14181</v>
      </c>
      <c r="U257" s="30" t="str">
        <f>"－"</f>
        <v>－</v>
      </c>
      <c r="V257" s="30">
        <f>30279696</f>
        <v>30279696</v>
      </c>
      <c r="W257" s="30" t="str">
        <f>"－"</f>
        <v>－</v>
      </c>
      <c r="X257" s="34">
        <f>22</f>
        <v>22</v>
      </c>
    </row>
    <row r="258" spans="1:24" ht="13.5" customHeight="1" x14ac:dyDescent="0.15">
      <c r="A258" s="25" t="s">
        <v>1013</v>
      </c>
      <c r="B258" s="25" t="s">
        <v>770</v>
      </c>
      <c r="C258" s="25" t="s">
        <v>771</v>
      </c>
      <c r="D258" s="25" t="s">
        <v>772</v>
      </c>
      <c r="E258" s="26" t="s">
        <v>45</v>
      </c>
      <c r="F258" s="27" t="s">
        <v>45</v>
      </c>
      <c r="G258" s="28" t="s">
        <v>45</v>
      </c>
      <c r="H258" s="29"/>
      <c r="I258" s="29" t="s">
        <v>46</v>
      </c>
      <c r="J258" s="30">
        <v>1</v>
      </c>
      <c r="K258" s="31">
        <f>2751</f>
        <v>2751</v>
      </c>
      <c r="L258" s="32" t="s">
        <v>995</v>
      </c>
      <c r="M258" s="31">
        <f>2884</f>
        <v>2884</v>
      </c>
      <c r="N258" s="32" t="s">
        <v>1004</v>
      </c>
      <c r="O258" s="31">
        <f>2674</f>
        <v>2674</v>
      </c>
      <c r="P258" s="32" t="s">
        <v>876</v>
      </c>
      <c r="Q258" s="31">
        <f>2844</f>
        <v>2844</v>
      </c>
      <c r="R258" s="32" t="s">
        <v>791</v>
      </c>
      <c r="S258" s="33">
        <f>2782.82</f>
        <v>2782.82</v>
      </c>
      <c r="T258" s="30">
        <f>2041094</f>
        <v>2041094</v>
      </c>
      <c r="U258" s="30">
        <f>1600000</f>
        <v>1600000</v>
      </c>
      <c r="V258" s="30">
        <f>5671454668</f>
        <v>5671454668</v>
      </c>
      <c r="W258" s="30">
        <f>4442450000</f>
        <v>4442450000</v>
      </c>
      <c r="X258" s="34">
        <f>22</f>
        <v>22</v>
      </c>
    </row>
    <row r="259" spans="1:24" ht="13.5" customHeight="1" x14ac:dyDescent="0.15">
      <c r="A259" s="25" t="s">
        <v>1013</v>
      </c>
      <c r="B259" s="25" t="s">
        <v>773</v>
      </c>
      <c r="C259" s="25" t="s">
        <v>774</v>
      </c>
      <c r="D259" s="25" t="s">
        <v>775</v>
      </c>
      <c r="E259" s="26" t="s">
        <v>45</v>
      </c>
      <c r="F259" s="27" t="s">
        <v>45</v>
      </c>
      <c r="G259" s="28" t="s">
        <v>45</v>
      </c>
      <c r="H259" s="29"/>
      <c r="I259" s="29" t="s">
        <v>46</v>
      </c>
      <c r="J259" s="30">
        <v>1</v>
      </c>
      <c r="K259" s="31">
        <f>1994</f>
        <v>1994</v>
      </c>
      <c r="L259" s="32" t="s">
        <v>995</v>
      </c>
      <c r="M259" s="31">
        <f>2075</f>
        <v>2075</v>
      </c>
      <c r="N259" s="32" t="s">
        <v>1004</v>
      </c>
      <c r="O259" s="31">
        <f>1915</f>
        <v>1915</v>
      </c>
      <c r="P259" s="32" t="s">
        <v>876</v>
      </c>
      <c r="Q259" s="31">
        <f>2034</f>
        <v>2034</v>
      </c>
      <c r="R259" s="32" t="s">
        <v>791</v>
      </c>
      <c r="S259" s="33">
        <f>1995.18</f>
        <v>1995.18</v>
      </c>
      <c r="T259" s="30">
        <f>1760145</f>
        <v>1760145</v>
      </c>
      <c r="U259" s="30">
        <f>1495800</f>
        <v>1495800</v>
      </c>
      <c r="V259" s="30">
        <f>3473346877</f>
        <v>3473346877</v>
      </c>
      <c r="W259" s="30">
        <f>2947013193</f>
        <v>2947013193</v>
      </c>
      <c r="X259" s="34">
        <f>22</f>
        <v>22</v>
      </c>
    </row>
    <row r="260" spans="1:24" ht="13.5" customHeight="1" x14ac:dyDescent="0.15">
      <c r="A260" s="25" t="s">
        <v>1013</v>
      </c>
      <c r="B260" s="25" t="s">
        <v>776</v>
      </c>
      <c r="C260" s="25" t="s">
        <v>777</v>
      </c>
      <c r="D260" s="25" t="s">
        <v>778</v>
      </c>
      <c r="E260" s="26" t="s">
        <v>45</v>
      </c>
      <c r="F260" s="27" t="s">
        <v>45</v>
      </c>
      <c r="G260" s="28" t="s">
        <v>45</v>
      </c>
      <c r="H260" s="29"/>
      <c r="I260" s="29" t="s">
        <v>46</v>
      </c>
      <c r="J260" s="30">
        <v>1</v>
      </c>
      <c r="K260" s="31">
        <f>1813</f>
        <v>1813</v>
      </c>
      <c r="L260" s="32" t="s">
        <v>995</v>
      </c>
      <c r="M260" s="31">
        <f>1871</f>
        <v>1871</v>
      </c>
      <c r="N260" s="32" t="s">
        <v>1004</v>
      </c>
      <c r="O260" s="31">
        <f>1756</f>
        <v>1756</v>
      </c>
      <c r="P260" s="32" t="s">
        <v>876</v>
      </c>
      <c r="Q260" s="31">
        <f>1865</f>
        <v>1865</v>
      </c>
      <c r="R260" s="32" t="s">
        <v>791</v>
      </c>
      <c r="S260" s="33">
        <f>1830.18</f>
        <v>1830.18</v>
      </c>
      <c r="T260" s="30">
        <f>26216</f>
        <v>26216</v>
      </c>
      <c r="U260" s="30" t="str">
        <f>"－"</f>
        <v>－</v>
      </c>
      <c r="V260" s="30">
        <f>48382005</f>
        <v>48382005</v>
      </c>
      <c r="W260" s="30" t="str">
        <f>"－"</f>
        <v>－</v>
      </c>
      <c r="X260" s="34">
        <f>22</f>
        <v>22</v>
      </c>
    </row>
    <row r="261" spans="1:24" ht="13.5" customHeight="1" x14ac:dyDescent="0.15">
      <c r="A261" s="25" t="s">
        <v>1013</v>
      </c>
      <c r="B261" s="25" t="s">
        <v>779</v>
      </c>
      <c r="C261" s="25" t="s">
        <v>780</v>
      </c>
      <c r="D261" s="25" t="s">
        <v>781</v>
      </c>
      <c r="E261" s="26" t="s">
        <v>45</v>
      </c>
      <c r="F261" s="27" t="s">
        <v>45</v>
      </c>
      <c r="G261" s="28" t="s">
        <v>45</v>
      </c>
      <c r="H261" s="29"/>
      <c r="I261" s="29" t="s">
        <v>46</v>
      </c>
      <c r="J261" s="30">
        <v>1</v>
      </c>
      <c r="K261" s="31">
        <f>1389</f>
        <v>1389</v>
      </c>
      <c r="L261" s="32" t="s">
        <v>995</v>
      </c>
      <c r="M261" s="31">
        <f>1400</f>
        <v>1400</v>
      </c>
      <c r="N261" s="32" t="s">
        <v>1003</v>
      </c>
      <c r="O261" s="31">
        <f>1290</f>
        <v>1290</v>
      </c>
      <c r="P261" s="32" t="s">
        <v>876</v>
      </c>
      <c r="Q261" s="31">
        <f>1342</f>
        <v>1342</v>
      </c>
      <c r="R261" s="32" t="s">
        <v>791</v>
      </c>
      <c r="S261" s="33">
        <f>1356.77</f>
        <v>1356.77</v>
      </c>
      <c r="T261" s="30">
        <f>39393</f>
        <v>39393</v>
      </c>
      <c r="U261" s="30" t="str">
        <f>"－"</f>
        <v>－</v>
      </c>
      <c r="V261" s="30">
        <f>53197479</f>
        <v>53197479</v>
      </c>
      <c r="W261" s="30" t="str">
        <f>"－"</f>
        <v>－</v>
      </c>
      <c r="X261" s="34">
        <f>22</f>
        <v>22</v>
      </c>
    </row>
    <row r="262" spans="1:24" ht="13.5" customHeight="1" x14ac:dyDescent="0.15">
      <c r="A262" s="25" t="s">
        <v>1013</v>
      </c>
      <c r="B262" s="25" t="s">
        <v>797</v>
      </c>
      <c r="C262" s="25" t="s">
        <v>798</v>
      </c>
      <c r="D262" s="25" t="s">
        <v>799</v>
      </c>
      <c r="E262" s="26" t="s">
        <v>45</v>
      </c>
      <c r="F262" s="27" t="s">
        <v>45</v>
      </c>
      <c r="G262" s="28" t="s">
        <v>45</v>
      </c>
      <c r="H262" s="29"/>
      <c r="I262" s="29" t="s">
        <v>46</v>
      </c>
      <c r="J262" s="30">
        <v>1</v>
      </c>
      <c r="K262" s="31">
        <f>1968</f>
        <v>1968</v>
      </c>
      <c r="L262" s="32" t="s">
        <v>995</v>
      </c>
      <c r="M262" s="31">
        <f>2109</f>
        <v>2109</v>
      </c>
      <c r="N262" s="32" t="s">
        <v>791</v>
      </c>
      <c r="O262" s="31">
        <f>1942</f>
        <v>1942</v>
      </c>
      <c r="P262" s="32" t="s">
        <v>1005</v>
      </c>
      <c r="Q262" s="31">
        <f>2109</f>
        <v>2109</v>
      </c>
      <c r="R262" s="32" t="s">
        <v>791</v>
      </c>
      <c r="S262" s="33">
        <f>2014.95</f>
        <v>2014.95</v>
      </c>
      <c r="T262" s="30">
        <f>13207</f>
        <v>13207</v>
      </c>
      <c r="U262" s="30" t="str">
        <f>"－"</f>
        <v>－</v>
      </c>
      <c r="V262" s="30">
        <f>26434947</f>
        <v>26434947</v>
      </c>
      <c r="W262" s="30" t="str">
        <f>"－"</f>
        <v>－</v>
      </c>
      <c r="X262" s="34">
        <f>22</f>
        <v>22</v>
      </c>
    </row>
    <row r="263" spans="1:24" ht="13.5" customHeight="1" x14ac:dyDescent="0.15">
      <c r="A263" s="25" t="s">
        <v>1013</v>
      </c>
      <c r="B263" s="25" t="s">
        <v>800</v>
      </c>
      <c r="C263" s="25" t="s">
        <v>801</v>
      </c>
      <c r="D263" s="25" t="s">
        <v>802</v>
      </c>
      <c r="E263" s="26" t="s">
        <v>45</v>
      </c>
      <c r="F263" s="27" t="s">
        <v>45</v>
      </c>
      <c r="G263" s="28" t="s">
        <v>45</v>
      </c>
      <c r="H263" s="29"/>
      <c r="I263" s="29" t="s">
        <v>46</v>
      </c>
      <c r="J263" s="30">
        <v>1</v>
      </c>
      <c r="K263" s="31">
        <f>2499</f>
        <v>2499</v>
      </c>
      <c r="L263" s="32" t="s">
        <v>995</v>
      </c>
      <c r="M263" s="31">
        <f>2591</f>
        <v>2591</v>
      </c>
      <c r="N263" s="32" t="s">
        <v>996</v>
      </c>
      <c r="O263" s="31">
        <f>2337</f>
        <v>2337</v>
      </c>
      <c r="P263" s="32" t="s">
        <v>80</v>
      </c>
      <c r="Q263" s="31">
        <f>2495</f>
        <v>2495</v>
      </c>
      <c r="R263" s="32" t="s">
        <v>791</v>
      </c>
      <c r="S263" s="33">
        <f>2454.38</f>
        <v>2454.38</v>
      </c>
      <c r="T263" s="30">
        <f>2497</f>
        <v>2497</v>
      </c>
      <c r="U263" s="30" t="str">
        <f>"－"</f>
        <v>－</v>
      </c>
      <c r="V263" s="30">
        <f>6186211</f>
        <v>6186211</v>
      </c>
      <c r="W263" s="30" t="str">
        <f>"－"</f>
        <v>－</v>
      </c>
      <c r="X263" s="34">
        <f>21</f>
        <v>21</v>
      </c>
    </row>
    <row r="264" spans="1:24" ht="13.5" customHeight="1" x14ac:dyDescent="0.15">
      <c r="A264" s="25" t="s">
        <v>1013</v>
      </c>
      <c r="B264" s="25" t="s">
        <v>803</v>
      </c>
      <c r="C264" s="25" t="s">
        <v>804</v>
      </c>
      <c r="D264" s="25" t="s">
        <v>805</v>
      </c>
      <c r="E264" s="26" t="s">
        <v>45</v>
      </c>
      <c r="F264" s="27" t="s">
        <v>45</v>
      </c>
      <c r="G264" s="28" t="s">
        <v>45</v>
      </c>
      <c r="H264" s="29"/>
      <c r="I264" s="29" t="s">
        <v>46</v>
      </c>
      <c r="J264" s="30">
        <v>1</v>
      </c>
      <c r="K264" s="31">
        <f>9791</f>
        <v>9791</v>
      </c>
      <c r="L264" s="32" t="s">
        <v>995</v>
      </c>
      <c r="M264" s="31">
        <f>10035</f>
        <v>10035</v>
      </c>
      <c r="N264" s="32" t="s">
        <v>1003</v>
      </c>
      <c r="O264" s="31">
        <f>9540</f>
        <v>9540</v>
      </c>
      <c r="P264" s="32" t="s">
        <v>1005</v>
      </c>
      <c r="Q264" s="31">
        <f>10005</f>
        <v>10005</v>
      </c>
      <c r="R264" s="32" t="s">
        <v>791</v>
      </c>
      <c r="S264" s="33">
        <f>9807.82</f>
        <v>9807.82</v>
      </c>
      <c r="T264" s="30">
        <f>486198</f>
        <v>486198</v>
      </c>
      <c r="U264" s="30">
        <f>119899</f>
        <v>119899</v>
      </c>
      <c r="V264" s="30">
        <f>4738478149</f>
        <v>4738478149</v>
      </c>
      <c r="W264" s="30">
        <f>1171603909</f>
        <v>1171603909</v>
      </c>
      <c r="X264" s="34">
        <f>22</f>
        <v>22</v>
      </c>
    </row>
    <row r="265" spans="1:24" ht="13.5" customHeight="1" x14ac:dyDescent="0.15">
      <c r="A265" s="25" t="s">
        <v>1013</v>
      </c>
      <c r="B265" s="25" t="s">
        <v>806</v>
      </c>
      <c r="C265" s="25" t="s">
        <v>807</v>
      </c>
      <c r="D265" s="25" t="s">
        <v>808</v>
      </c>
      <c r="E265" s="26" t="s">
        <v>45</v>
      </c>
      <c r="F265" s="27" t="s">
        <v>45</v>
      </c>
      <c r="G265" s="28" t="s">
        <v>45</v>
      </c>
      <c r="H265" s="29"/>
      <c r="I265" s="29" t="s">
        <v>46</v>
      </c>
      <c r="J265" s="30">
        <v>1</v>
      </c>
      <c r="K265" s="31">
        <f>11760</f>
        <v>11760</v>
      </c>
      <c r="L265" s="32" t="s">
        <v>995</v>
      </c>
      <c r="M265" s="31">
        <f>12500</f>
        <v>12500</v>
      </c>
      <c r="N265" s="32" t="s">
        <v>791</v>
      </c>
      <c r="O265" s="31">
        <f>11425</f>
        <v>11425</v>
      </c>
      <c r="P265" s="32" t="s">
        <v>1005</v>
      </c>
      <c r="Q265" s="31">
        <f>12425</f>
        <v>12425</v>
      </c>
      <c r="R265" s="32" t="s">
        <v>791</v>
      </c>
      <c r="S265" s="33">
        <f>11935.45</f>
        <v>11935.45</v>
      </c>
      <c r="T265" s="30">
        <f>636318</f>
        <v>636318</v>
      </c>
      <c r="U265" s="30" t="str">
        <f>"－"</f>
        <v>－</v>
      </c>
      <c r="V265" s="30">
        <f>7582757570</f>
        <v>7582757570</v>
      </c>
      <c r="W265" s="30" t="str">
        <f>"－"</f>
        <v>－</v>
      </c>
      <c r="X265" s="34">
        <f>22</f>
        <v>22</v>
      </c>
    </row>
    <row r="266" spans="1:24" ht="13.5" customHeight="1" x14ac:dyDescent="0.15">
      <c r="A266" s="25" t="s">
        <v>1013</v>
      </c>
      <c r="B266" s="25" t="s">
        <v>809</v>
      </c>
      <c r="C266" s="25" t="s">
        <v>810</v>
      </c>
      <c r="D266" s="25" t="s">
        <v>811</v>
      </c>
      <c r="E266" s="26" t="s">
        <v>45</v>
      </c>
      <c r="F266" s="27" t="s">
        <v>45</v>
      </c>
      <c r="G266" s="28" t="s">
        <v>45</v>
      </c>
      <c r="H266" s="29"/>
      <c r="I266" s="29" t="s">
        <v>46</v>
      </c>
      <c r="J266" s="30">
        <v>1</v>
      </c>
      <c r="K266" s="31">
        <f>8614</f>
        <v>8614</v>
      </c>
      <c r="L266" s="32" t="s">
        <v>995</v>
      </c>
      <c r="M266" s="31">
        <f>9296</f>
        <v>9296</v>
      </c>
      <c r="N266" s="32" t="s">
        <v>791</v>
      </c>
      <c r="O266" s="31">
        <f>8498</f>
        <v>8498</v>
      </c>
      <c r="P266" s="32" t="s">
        <v>999</v>
      </c>
      <c r="Q266" s="31">
        <f>9273</f>
        <v>9273</v>
      </c>
      <c r="R266" s="32" t="s">
        <v>791</v>
      </c>
      <c r="S266" s="33">
        <f>8876.86</f>
        <v>8876.86</v>
      </c>
      <c r="T266" s="30">
        <f>634809</f>
        <v>634809</v>
      </c>
      <c r="U266" s="30">
        <f>77100</f>
        <v>77100</v>
      </c>
      <c r="V266" s="30">
        <f>5639927489</f>
        <v>5639927489</v>
      </c>
      <c r="W266" s="30">
        <f>699533320</f>
        <v>699533320</v>
      </c>
      <c r="X266" s="34">
        <f>22</f>
        <v>22</v>
      </c>
    </row>
    <row r="267" spans="1:24" ht="13.5" customHeight="1" x14ac:dyDescent="0.15">
      <c r="A267" s="25" t="s">
        <v>1013</v>
      </c>
      <c r="B267" s="25" t="s">
        <v>812</v>
      </c>
      <c r="C267" s="25" t="s">
        <v>813</v>
      </c>
      <c r="D267" s="25" t="s">
        <v>814</v>
      </c>
      <c r="E267" s="26" t="s">
        <v>45</v>
      </c>
      <c r="F267" s="27" t="s">
        <v>45</v>
      </c>
      <c r="G267" s="28" t="s">
        <v>45</v>
      </c>
      <c r="H267" s="29"/>
      <c r="I267" s="29" t="s">
        <v>46</v>
      </c>
      <c r="J267" s="30">
        <v>10</v>
      </c>
      <c r="K267" s="31">
        <f>2504.5</f>
        <v>2504.5</v>
      </c>
      <c r="L267" s="32" t="s">
        <v>995</v>
      </c>
      <c r="M267" s="31">
        <f>2560</f>
        <v>2560</v>
      </c>
      <c r="N267" s="32" t="s">
        <v>1003</v>
      </c>
      <c r="O267" s="31">
        <f>2366</f>
        <v>2366</v>
      </c>
      <c r="P267" s="32" t="s">
        <v>793</v>
      </c>
      <c r="Q267" s="31">
        <f>2484.5</f>
        <v>2484.5</v>
      </c>
      <c r="R267" s="32" t="s">
        <v>791</v>
      </c>
      <c r="S267" s="33">
        <f>2453.55</f>
        <v>2453.5500000000002</v>
      </c>
      <c r="T267" s="30">
        <f>819100</f>
        <v>819100</v>
      </c>
      <c r="U267" s="30" t="str">
        <f>"－"</f>
        <v>－</v>
      </c>
      <c r="V267" s="30">
        <f>1997162230</f>
        <v>1997162230</v>
      </c>
      <c r="W267" s="30" t="str">
        <f>"－"</f>
        <v>－</v>
      </c>
      <c r="X267" s="34">
        <f>22</f>
        <v>22</v>
      </c>
    </row>
    <row r="268" spans="1:24" ht="13.5" customHeight="1" x14ac:dyDescent="0.15">
      <c r="A268" s="25" t="s">
        <v>1013</v>
      </c>
      <c r="B268" s="25" t="s">
        <v>815</v>
      </c>
      <c r="C268" s="25" t="s">
        <v>816</v>
      </c>
      <c r="D268" s="25" t="s">
        <v>817</v>
      </c>
      <c r="E268" s="26" t="s">
        <v>45</v>
      </c>
      <c r="F268" s="27" t="s">
        <v>45</v>
      </c>
      <c r="G268" s="28" t="s">
        <v>45</v>
      </c>
      <c r="H268" s="29"/>
      <c r="I268" s="29" t="s">
        <v>46</v>
      </c>
      <c r="J268" s="30">
        <v>10</v>
      </c>
      <c r="K268" s="31">
        <f>1930.5</f>
        <v>1930.5</v>
      </c>
      <c r="L268" s="32" t="s">
        <v>995</v>
      </c>
      <c r="M268" s="31">
        <f>1978.5</f>
        <v>1978.5</v>
      </c>
      <c r="N268" s="32" t="s">
        <v>1003</v>
      </c>
      <c r="O268" s="31">
        <f>1867</f>
        <v>1867</v>
      </c>
      <c r="P268" s="32" t="s">
        <v>1005</v>
      </c>
      <c r="Q268" s="31">
        <f>1956.5</f>
        <v>1956.5</v>
      </c>
      <c r="R268" s="32" t="s">
        <v>791</v>
      </c>
      <c r="S268" s="33">
        <f>1923.89</f>
        <v>1923.89</v>
      </c>
      <c r="T268" s="30">
        <f>2735290</f>
        <v>2735290</v>
      </c>
      <c r="U268" s="30">
        <f>907990</f>
        <v>907990</v>
      </c>
      <c r="V268" s="30">
        <f>5241792319</f>
        <v>5241792319</v>
      </c>
      <c r="W268" s="30">
        <f>1751001169</f>
        <v>1751001169</v>
      </c>
      <c r="X268" s="34">
        <f>22</f>
        <v>22</v>
      </c>
    </row>
    <row r="269" spans="1:24" ht="13.5" customHeight="1" x14ac:dyDescent="0.15">
      <c r="A269" s="25" t="s">
        <v>1013</v>
      </c>
      <c r="B269" s="25" t="s">
        <v>818</v>
      </c>
      <c r="C269" s="25" t="s">
        <v>819</v>
      </c>
      <c r="D269" s="25" t="s">
        <v>820</v>
      </c>
      <c r="E269" s="26" t="s">
        <v>45</v>
      </c>
      <c r="F269" s="27" t="s">
        <v>45</v>
      </c>
      <c r="G269" s="28" t="s">
        <v>45</v>
      </c>
      <c r="H269" s="29"/>
      <c r="I269" s="29" t="s">
        <v>46</v>
      </c>
      <c r="J269" s="30">
        <v>10</v>
      </c>
      <c r="K269" s="31">
        <f>2573</f>
        <v>2573</v>
      </c>
      <c r="L269" s="32" t="s">
        <v>995</v>
      </c>
      <c r="M269" s="31">
        <f>2641</f>
        <v>2641</v>
      </c>
      <c r="N269" s="32" t="s">
        <v>1003</v>
      </c>
      <c r="O269" s="31">
        <f>2435</f>
        <v>2435</v>
      </c>
      <c r="P269" s="32" t="s">
        <v>1005</v>
      </c>
      <c r="Q269" s="31">
        <f>2570.5</f>
        <v>2570.5</v>
      </c>
      <c r="R269" s="32" t="s">
        <v>791</v>
      </c>
      <c r="S269" s="33">
        <f>2528.86</f>
        <v>2528.86</v>
      </c>
      <c r="T269" s="30">
        <f>81000</f>
        <v>81000</v>
      </c>
      <c r="U269" s="30">
        <f>30000</f>
        <v>30000</v>
      </c>
      <c r="V269" s="30">
        <f>203294485</f>
        <v>203294485</v>
      </c>
      <c r="W269" s="30">
        <f>75315000</f>
        <v>75315000</v>
      </c>
      <c r="X269" s="34">
        <f>22</f>
        <v>22</v>
      </c>
    </row>
    <row r="270" spans="1:24" ht="13.5" customHeight="1" x14ac:dyDescent="0.15">
      <c r="A270" s="25" t="s">
        <v>1013</v>
      </c>
      <c r="B270" s="25" t="s">
        <v>821</v>
      </c>
      <c r="C270" s="25" t="s">
        <v>822</v>
      </c>
      <c r="D270" s="25" t="s">
        <v>823</v>
      </c>
      <c r="E270" s="26" t="s">
        <v>45</v>
      </c>
      <c r="F270" s="27" t="s">
        <v>45</v>
      </c>
      <c r="G270" s="28" t="s">
        <v>45</v>
      </c>
      <c r="H270" s="29"/>
      <c r="I270" s="29" t="s">
        <v>46</v>
      </c>
      <c r="J270" s="30">
        <v>1</v>
      </c>
      <c r="K270" s="31">
        <f>2500</f>
        <v>2500</v>
      </c>
      <c r="L270" s="32" t="s">
        <v>995</v>
      </c>
      <c r="M270" s="31">
        <f>2606</f>
        <v>2606</v>
      </c>
      <c r="N270" s="32" t="s">
        <v>1004</v>
      </c>
      <c r="O270" s="31">
        <f>2385</f>
        <v>2385</v>
      </c>
      <c r="P270" s="32" t="s">
        <v>894</v>
      </c>
      <c r="Q270" s="31">
        <f>2474</f>
        <v>2474</v>
      </c>
      <c r="R270" s="32" t="s">
        <v>791</v>
      </c>
      <c r="S270" s="33">
        <f>2497.77</f>
        <v>2497.77</v>
      </c>
      <c r="T270" s="30">
        <f>14374</f>
        <v>14374</v>
      </c>
      <c r="U270" s="30" t="str">
        <f>"－"</f>
        <v>－</v>
      </c>
      <c r="V270" s="30">
        <f>35265003</f>
        <v>35265003</v>
      </c>
      <c r="W270" s="30" t="str">
        <f>"－"</f>
        <v>－</v>
      </c>
      <c r="X270" s="34">
        <f>22</f>
        <v>22</v>
      </c>
    </row>
    <row r="271" spans="1:24" ht="13.5" customHeight="1" x14ac:dyDescent="0.15">
      <c r="A271" s="25" t="s">
        <v>1013</v>
      </c>
      <c r="B271" s="25" t="s">
        <v>824</v>
      </c>
      <c r="C271" s="25" t="s">
        <v>825</v>
      </c>
      <c r="D271" s="25" t="s">
        <v>826</v>
      </c>
      <c r="E271" s="26" t="s">
        <v>45</v>
      </c>
      <c r="F271" s="27" t="s">
        <v>45</v>
      </c>
      <c r="G271" s="28" t="s">
        <v>45</v>
      </c>
      <c r="H271" s="29"/>
      <c r="I271" s="29" t="s">
        <v>46</v>
      </c>
      <c r="J271" s="30">
        <v>1</v>
      </c>
      <c r="K271" s="31">
        <f>1592</f>
        <v>1592</v>
      </c>
      <c r="L271" s="32" t="s">
        <v>995</v>
      </c>
      <c r="M271" s="31">
        <f>1650</f>
        <v>1650</v>
      </c>
      <c r="N271" s="32" t="s">
        <v>1004</v>
      </c>
      <c r="O271" s="31">
        <f>1536</f>
        <v>1536</v>
      </c>
      <c r="P271" s="32" t="s">
        <v>876</v>
      </c>
      <c r="Q271" s="31">
        <f>1607</f>
        <v>1607</v>
      </c>
      <c r="R271" s="32" t="s">
        <v>791</v>
      </c>
      <c r="S271" s="33">
        <f>1584.95</f>
        <v>1584.95</v>
      </c>
      <c r="T271" s="30">
        <f>7983</f>
        <v>7983</v>
      </c>
      <c r="U271" s="30" t="str">
        <f>"－"</f>
        <v>－</v>
      </c>
      <c r="V271" s="30">
        <f>12834767</f>
        <v>12834767</v>
      </c>
      <c r="W271" s="30" t="str">
        <f>"－"</f>
        <v>－</v>
      </c>
      <c r="X271" s="34">
        <f>22</f>
        <v>22</v>
      </c>
    </row>
    <row r="272" spans="1:24" ht="13.5" customHeight="1" x14ac:dyDescent="0.15">
      <c r="A272" s="25" t="s">
        <v>1013</v>
      </c>
      <c r="B272" s="25" t="s">
        <v>827</v>
      </c>
      <c r="C272" s="25" t="s">
        <v>828</v>
      </c>
      <c r="D272" s="25" t="s">
        <v>829</v>
      </c>
      <c r="E272" s="26" t="s">
        <v>45</v>
      </c>
      <c r="F272" s="27" t="s">
        <v>45</v>
      </c>
      <c r="G272" s="28" t="s">
        <v>45</v>
      </c>
      <c r="H272" s="29"/>
      <c r="I272" s="29" t="s">
        <v>46</v>
      </c>
      <c r="J272" s="30">
        <v>1</v>
      </c>
      <c r="K272" s="31">
        <f>1982</f>
        <v>1982</v>
      </c>
      <c r="L272" s="32" t="s">
        <v>995</v>
      </c>
      <c r="M272" s="31">
        <f>2079</f>
        <v>2079</v>
      </c>
      <c r="N272" s="32" t="s">
        <v>1004</v>
      </c>
      <c r="O272" s="31">
        <f>1924</f>
        <v>1924</v>
      </c>
      <c r="P272" s="32" t="s">
        <v>876</v>
      </c>
      <c r="Q272" s="31">
        <f>2037</f>
        <v>2037</v>
      </c>
      <c r="R272" s="32" t="s">
        <v>791</v>
      </c>
      <c r="S272" s="33">
        <f>2007</f>
        <v>2007</v>
      </c>
      <c r="T272" s="30">
        <f>31484</f>
        <v>31484</v>
      </c>
      <c r="U272" s="30" t="str">
        <f>"－"</f>
        <v>－</v>
      </c>
      <c r="V272" s="30">
        <f>63270084</f>
        <v>63270084</v>
      </c>
      <c r="W272" s="30" t="str">
        <f>"－"</f>
        <v>－</v>
      </c>
      <c r="X272" s="34">
        <f>22</f>
        <v>22</v>
      </c>
    </row>
    <row r="273" spans="1:24" ht="13.5" customHeight="1" x14ac:dyDescent="0.15">
      <c r="A273" s="25" t="s">
        <v>1013</v>
      </c>
      <c r="B273" s="25" t="s">
        <v>830</v>
      </c>
      <c r="C273" s="25" t="s">
        <v>831</v>
      </c>
      <c r="D273" s="25" t="s">
        <v>832</v>
      </c>
      <c r="E273" s="26" t="s">
        <v>45</v>
      </c>
      <c r="F273" s="27" t="s">
        <v>45</v>
      </c>
      <c r="G273" s="28" t="s">
        <v>45</v>
      </c>
      <c r="H273" s="29"/>
      <c r="I273" s="29" t="s">
        <v>46</v>
      </c>
      <c r="J273" s="30">
        <v>1</v>
      </c>
      <c r="K273" s="31">
        <f>1494</f>
        <v>1494</v>
      </c>
      <c r="L273" s="32" t="s">
        <v>995</v>
      </c>
      <c r="M273" s="31">
        <f>1545</f>
        <v>1545</v>
      </c>
      <c r="N273" s="32" t="s">
        <v>1004</v>
      </c>
      <c r="O273" s="31">
        <f>1470</f>
        <v>1470</v>
      </c>
      <c r="P273" s="32" t="s">
        <v>876</v>
      </c>
      <c r="Q273" s="31">
        <f>1538</f>
        <v>1538</v>
      </c>
      <c r="R273" s="32" t="s">
        <v>791</v>
      </c>
      <c r="S273" s="33">
        <f>1509.09</f>
        <v>1509.09</v>
      </c>
      <c r="T273" s="30">
        <f>12490</f>
        <v>12490</v>
      </c>
      <c r="U273" s="30" t="str">
        <f>"－"</f>
        <v>－</v>
      </c>
      <c r="V273" s="30">
        <f>18770287</f>
        <v>18770287</v>
      </c>
      <c r="W273" s="30" t="str">
        <f>"－"</f>
        <v>－</v>
      </c>
      <c r="X273" s="34">
        <f>22</f>
        <v>22</v>
      </c>
    </row>
    <row r="274" spans="1:24" ht="13.5" customHeight="1" x14ac:dyDescent="0.15">
      <c r="A274" s="25" t="s">
        <v>1013</v>
      </c>
      <c r="B274" s="25" t="s">
        <v>833</v>
      </c>
      <c r="C274" s="25" t="s">
        <v>834</v>
      </c>
      <c r="D274" s="25" t="s">
        <v>835</v>
      </c>
      <c r="E274" s="26" t="s">
        <v>45</v>
      </c>
      <c r="F274" s="27" t="s">
        <v>45</v>
      </c>
      <c r="G274" s="28" t="s">
        <v>45</v>
      </c>
      <c r="H274" s="29"/>
      <c r="I274" s="29" t="s">
        <v>46</v>
      </c>
      <c r="J274" s="30">
        <v>1</v>
      </c>
      <c r="K274" s="31">
        <f>2546</f>
        <v>2546</v>
      </c>
      <c r="L274" s="32" t="s">
        <v>995</v>
      </c>
      <c r="M274" s="31">
        <f>2660</f>
        <v>2660</v>
      </c>
      <c r="N274" s="32" t="s">
        <v>791</v>
      </c>
      <c r="O274" s="31">
        <f>2487</f>
        <v>2487</v>
      </c>
      <c r="P274" s="32" t="s">
        <v>876</v>
      </c>
      <c r="Q274" s="31">
        <f>2648</f>
        <v>2648</v>
      </c>
      <c r="R274" s="32" t="s">
        <v>791</v>
      </c>
      <c r="S274" s="33">
        <f>2586.36</f>
        <v>2586.36</v>
      </c>
      <c r="T274" s="30">
        <f>8362</f>
        <v>8362</v>
      </c>
      <c r="U274" s="30" t="str">
        <f>"－"</f>
        <v>－</v>
      </c>
      <c r="V274" s="30">
        <f>21674351</f>
        <v>21674351</v>
      </c>
      <c r="W274" s="30" t="str">
        <f>"－"</f>
        <v>－</v>
      </c>
      <c r="X274" s="34">
        <f>22</f>
        <v>22</v>
      </c>
    </row>
    <row r="275" spans="1:24" ht="13.5" customHeight="1" x14ac:dyDescent="0.15">
      <c r="A275" s="25" t="s">
        <v>1013</v>
      </c>
      <c r="B275" s="25" t="s">
        <v>836</v>
      </c>
      <c r="C275" s="25" t="s">
        <v>837</v>
      </c>
      <c r="D275" s="25" t="s">
        <v>838</v>
      </c>
      <c r="E275" s="26" t="s">
        <v>45</v>
      </c>
      <c r="F275" s="27" t="s">
        <v>45</v>
      </c>
      <c r="G275" s="28" t="s">
        <v>45</v>
      </c>
      <c r="H275" s="29"/>
      <c r="I275" s="29" t="s">
        <v>46</v>
      </c>
      <c r="J275" s="30">
        <v>1</v>
      </c>
      <c r="K275" s="31">
        <f>2008</f>
        <v>2008</v>
      </c>
      <c r="L275" s="32" t="s">
        <v>995</v>
      </c>
      <c r="M275" s="31">
        <f>2111</f>
        <v>2111</v>
      </c>
      <c r="N275" s="32" t="s">
        <v>1004</v>
      </c>
      <c r="O275" s="31">
        <f>1948</f>
        <v>1948</v>
      </c>
      <c r="P275" s="32" t="s">
        <v>876</v>
      </c>
      <c r="Q275" s="31">
        <f>2097</f>
        <v>2097</v>
      </c>
      <c r="R275" s="32" t="s">
        <v>791</v>
      </c>
      <c r="S275" s="33">
        <f>2032.86</f>
        <v>2032.86</v>
      </c>
      <c r="T275" s="30">
        <f>332855</f>
        <v>332855</v>
      </c>
      <c r="U275" s="30">
        <f>58407</f>
        <v>58407</v>
      </c>
      <c r="V275" s="30">
        <f>688833964</f>
        <v>688833964</v>
      </c>
      <c r="W275" s="30">
        <f>120732782</f>
        <v>120732782</v>
      </c>
      <c r="X275" s="34">
        <f>22</f>
        <v>22</v>
      </c>
    </row>
    <row r="276" spans="1:24" ht="13.5" customHeight="1" x14ac:dyDescent="0.15">
      <c r="A276" s="25" t="s">
        <v>1013</v>
      </c>
      <c r="B276" s="25" t="s">
        <v>839</v>
      </c>
      <c r="C276" s="25" t="s">
        <v>840</v>
      </c>
      <c r="D276" s="25" t="s">
        <v>841</v>
      </c>
      <c r="E276" s="26" t="s">
        <v>45</v>
      </c>
      <c r="F276" s="27" t="s">
        <v>45</v>
      </c>
      <c r="G276" s="28" t="s">
        <v>45</v>
      </c>
      <c r="H276" s="29"/>
      <c r="I276" s="29" t="s">
        <v>46</v>
      </c>
      <c r="J276" s="30">
        <v>1</v>
      </c>
      <c r="K276" s="31">
        <f>26740</f>
        <v>26740</v>
      </c>
      <c r="L276" s="32" t="s">
        <v>78</v>
      </c>
      <c r="M276" s="31">
        <f>27155</f>
        <v>27155</v>
      </c>
      <c r="N276" s="32" t="s">
        <v>1004</v>
      </c>
      <c r="O276" s="31">
        <f>25210</f>
        <v>25210</v>
      </c>
      <c r="P276" s="32" t="s">
        <v>876</v>
      </c>
      <c r="Q276" s="31">
        <f>26550</f>
        <v>26550</v>
      </c>
      <c r="R276" s="32" t="s">
        <v>791</v>
      </c>
      <c r="S276" s="33">
        <f>26108.75</f>
        <v>26108.75</v>
      </c>
      <c r="T276" s="30">
        <f>18</f>
        <v>18</v>
      </c>
      <c r="U276" s="30" t="str">
        <f>"－"</f>
        <v>－</v>
      </c>
      <c r="V276" s="30">
        <f>470175</f>
        <v>470175</v>
      </c>
      <c r="W276" s="30" t="str">
        <f>"－"</f>
        <v>－</v>
      </c>
      <c r="X276" s="34">
        <f>12</f>
        <v>12</v>
      </c>
    </row>
    <row r="277" spans="1:24" ht="13.5" customHeight="1" x14ac:dyDescent="0.15">
      <c r="A277" s="25" t="s">
        <v>1013</v>
      </c>
      <c r="B277" s="25" t="s">
        <v>842</v>
      </c>
      <c r="C277" s="25" t="s">
        <v>843</v>
      </c>
      <c r="D277" s="25" t="s">
        <v>844</v>
      </c>
      <c r="E277" s="26" t="s">
        <v>45</v>
      </c>
      <c r="F277" s="27" t="s">
        <v>45</v>
      </c>
      <c r="G277" s="28" t="s">
        <v>45</v>
      </c>
      <c r="H277" s="29"/>
      <c r="I277" s="29" t="s">
        <v>46</v>
      </c>
      <c r="J277" s="30">
        <v>1</v>
      </c>
      <c r="K277" s="31">
        <f>2019</f>
        <v>2019</v>
      </c>
      <c r="L277" s="32" t="s">
        <v>995</v>
      </c>
      <c r="M277" s="31">
        <f>2108</f>
        <v>2108</v>
      </c>
      <c r="N277" s="32" t="s">
        <v>1004</v>
      </c>
      <c r="O277" s="31">
        <f>1950</f>
        <v>1950</v>
      </c>
      <c r="P277" s="32" t="s">
        <v>876</v>
      </c>
      <c r="Q277" s="31">
        <f>2070</f>
        <v>2070</v>
      </c>
      <c r="R277" s="32" t="s">
        <v>791</v>
      </c>
      <c r="S277" s="33">
        <f>2029.11</f>
        <v>2029.11</v>
      </c>
      <c r="T277" s="30">
        <f>17245</f>
        <v>17245</v>
      </c>
      <c r="U277" s="30" t="str">
        <f>"－"</f>
        <v>－</v>
      </c>
      <c r="V277" s="30">
        <f>35067227</f>
        <v>35067227</v>
      </c>
      <c r="W277" s="30" t="str">
        <f>"－"</f>
        <v>－</v>
      </c>
      <c r="X277" s="34">
        <f>18</f>
        <v>18</v>
      </c>
    </row>
    <row r="278" spans="1:24" ht="13.5" customHeight="1" x14ac:dyDescent="0.15">
      <c r="A278" s="25" t="s">
        <v>1013</v>
      </c>
      <c r="B278" s="25" t="s">
        <v>845</v>
      </c>
      <c r="C278" s="25" t="s">
        <v>846</v>
      </c>
      <c r="D278" s="25" t="s">
        <v>847</v>
      </c>
      <c r="E278" s="26" t="s">
        <v>45</v>
      </c>
      <c r="F278" s="27" t="s">
        <v>45</v>
      </c>
      <c r="G278" s="28" t="s">
        <v>45</v>
      </c>
      <c r="H278" s="29"/>
      <c r="I278" s="29" t="s">
        <v>46</v>
      </c>
      <c r="J278" s="30">
        <v>1</v>
      </c>
      <c r="K278" s="31">
        <f>2378</f>
        <v>2378</v>
      </c>
      <c r="L278" s="32" t="s">
        <v>995</v>
      </c>
      <c r="M278" s="31">
        <f>2570</f>
        <v>2570</v>
      </c>
      <c r="N278" s="32" t="s">
        <v>791</v>
      </c>
      <c r="O278" s="31">
        <f>2367</f>
        <v>2367</v>
      </c>
      <c r="P278" s="32" t="s">
        <v>995</v>
      </c>
      <c r="Q278" s="31">
        <f>2567</f>
        <v>2567</v>
      </c>
      <c r="R278" s="32" t="s">
        <v>791</v>
      </c>
      <c r="S278" s="33">
        <f>2453.95</f>
        <v>2453.9499999999998</v>
      </c>
      <c r="T278" s="30">
        <f>369455</f>
        <v>369455</v>
      </c>
      <c r="U278" s="30" t="str">
        <f>"－"</f>
        <v>－</v>
      </c>
      <c r="V278" s="30">
        <f>913861859</f>
        <v>913861859</v>
      </c>
      <c r="W278" s="30" t="str">
        <f>"－"</f>
        <v>－</v>
      </c>
      <c r="X278" s="34">
        <f>22</f>
        <v>22</v>
      </c>
    </row>
    <row r="279" spans="1:24" ht="13.5" customHeight="1" x14ac:dyDescent="0.15">
      <c r="A279" s="25" t="s">
        <v>1013</v>
      </c>
      <c r="B279" s="25" t="s">
        <v>848</v>
      </c>
      <c r="C279" s="25" t="s">
        <v>849</v>
      </c>
      <c r="D279" s="25" t="s">
        <v>850</v>
      </c>
      <c r="E279" s="26" t="s">
        <v>45</v>
      </c>
      <c r="F279" s="27" t="s">
        <v>45</v>
      </c>
      <c r="G279" s="28" t="s">
        <v>45</v>
      </c>
      <c r="H279" s="29"/>
      <c r="I279" s="29" t="s">
        <v>46</v>
      </c>
      <c r="J279" s="30">
        <v>1</v>
      </c>
      <c r="K279" s="31">
        <f>1751</f>
        <v>1751</v>
      </c>
      <c r="L279" s="32" t="s">
        <v>995</v>
      </c>
      <c r="M279" s="31">
        <f>1839</f>
        <v>1839</v>
      </c>
      <c r="N279" s="32" t="s">
        <v>791</v>
      </c>
      <c r="O279" s="31">
        <f>1705</f>
        <v>1705</v>
      </c>
      <c r="P279" s="32" t="s">
        <v>876</v>
      </c>
      <c r="Q279" s="31">
        <f>1816</f>
        <v>1816</v>
      </c>
      <c r="R279" s="32" t="s">
        <v>791</v>
      </c>
      <c r="S279" s="33">
        <f>1775.05</f>
        <v>1775.05</v>
      </c>
      <c r="T279" s="30">
        <f>8842</f>
        <v>8842</v>
      </c>
      <c r="U279" s="30" t="str">
        <f>"－"</f>
        <v>－</v>
      </c>
      <c r="V279" s="30">
        <f>15703140</f>
        <v>15703140</v>
      </c>
      <c r="W279" s="30" t="str">
        <f>"－"</f>
        <v>－</v>
      </c>
      <c r="X279" s="34">
        <f>22</f>
        <v>22</v>
      </c>
    </row>
    <row r="280" spans="1:24" ht="13.5" customHeight="1" x14ac:dyDescent="0.15">
      <c r="A280" s="25" t="s">
        <v>1013</v>
      </c>
      <c r="B280" s="25" t="s">
        <v>851</v>
      </c>
      <c r="C280" s="25" t="s">
        <v>852</v>
      </c>
      <c r="D280" s="25" t="s">
        <v>853</v>
      </c>
      <c r="E280" s="26" t="s">
        <v>45</v>
      </c>
      <c r="F280" s="27" t="s">
        <v>45</v>
      </c>
      <c r="G280" s="28" t="s">
        <v>45</v>
      </c>
      <c r="H280" s="29"/>
      <c r="I280" s="29" t="s">
        <v>46</v>
      </c>
      <c r="J280" s="30">
        <v>1</v>
      </c>
      <c r="K280" s="31">
        <f>1497</f>
        <v>1497</v>
      </c>
      <c r="L280" s="32" t="s">
        <v>995</v>
      </c>
      <c r="M280" s="31">
        <f>1590</f>
        <v>1590</v>
      </c>
      <c r="N280" s="32" t="s">
        <v>1004</v>
      </c>
      <c r="O280" s="31">
        <f>1450</f>
        <v>1450</v>
      </c>
      <c r="P280" s="32" t="s">
        <v>80</v>
      </c>
      <c r="Q280" s="31">
        <f>1551</f>
        <v>1551</v>
      </c>
      <c r="R280" s="32" t="s">
        <v>791</v>
      </c>
      <c r="S280" s="33">
        <f>1518.55</f>
        <v>1518.55</v>
      </c>
      <c r="T280" s="30">
        <f>7279</f>
        <v>7279</v>
      </c>
      <c r="U280" s="30" t="str">
        <f>"－"</f>
        <v>－</v>
      </c>
      <c r="V280" s="30">
        <f>11189853</f>
        <v>11189853</v>
      </c>
      <c r="W280" s="30" t="str">
        <f>"－"</f>
        <v>－</v>
      </c>
      <c r="X280" s="34">
        <f>22</f>
        <v>22</v>
      </c>
    </row>
    <row r="281" spans="1:24" ht="13.5" customHeight="1" x14ac:dyDescent="0.15">
      <c r="A281" s="25" t="s">
        <v>1013</v>
      </c>
      <c r="B281" s="25" t="s">
        <v>854</v>
      </c>
      <c r="C281" s="25" t="s">
        <v>855</v>
      </c>
      <c r="D281" s="25" t="s">
        <v>856</v>
      </c>
      <c r="E281" s="26" t="s">
        <v>45</v>
      </c>
      <c r="F281" s="27" t="s">
        <v>45</v>
      </c>
      <c r="G281" s="28" t="s">
        <v>45</v>
      </c>
      <c r="H281" s="29"/>
      <c r="I281" s="29" t="s">
        <v>46</v>
      </c>
      <c r="J281" s="30">
        <v>10</v>
      </c>
      <c r="K281" s="31">
        <f>5070</f>
        <v>5070</v>
      </c>
      <c r="L281" s="32" t="s">
        <v>995</v>
      </c>
      <c r="M281" s="31">
        <f>5120</f>
        <v>5120</v>
      </c>
      <c r="N281" s="32" t="s">
        <v>876</v>
      </c>
      <c r="O281" s="31">
        <f>5009</f>
        <v>5009</v>
      </c>
      <c r="P281" s="32" t="s">
        <v>997</v>
      </c>
      <c r="Q281" s="31">
        <f>5092</f>
        <v>5092</v>
      </c>
      <c r="R281" s="32" t="s">
        <v>791</v>
      </c>
      <c r="S281" s="33">
        <f>5059.62</f>
        <v>5059.62</v>
      </c>
      <c r="T281" s="30">
        <f>241760</f>
        <v>241760</v>
      </c>
      <c r="U281" s="30">
        <f>20040</f>
        <v>20040</v>
      </c>
      <c r="V281" s="30">
        <f>1222704642</f>
        <v>1222704642</v>
      </c>
      <c r="W281" s="30">
        <f>101143472</f>
        <v>101143472</v>
      </c>
      <c r="X281" s="34">
        <f>21</f>
        <v>21</v>
      </c>
    </row>
    <row r="282" spans="1:24" ht="13.5" customHeight="1" x14ac:dyDescent="0.15">
      <c r="A282" s="25" t="s">
        <v>1013</v>
      </c>
      <c r="B282" s="25" t="s">
        <v>857</v>
      </c>
      <c r="C282" s="25" t="s">
        <v>858</v>
      </c>
      <c r="D282" s="25" t="s">
        <v>859</v>
      </c>
      <c r="E282" s="26" t="s">
        <v>45</v>
      </c>
      <c r="F282" s="27" t="s">
        <v>45</v>
      </c>
      <c r="G282" s="28" t="s">
        <v>45</v>
      </c>
      <c r="H282" s="29"/>
      <c r="I282" s="29" t="s">
        <v>46</v>
      </c>
      <c r="J282" s="30">
        <v>10</v>
      </c>
      <c r="K282" s="31">
        <f>4043</f>
        <v>4043</v>
      </c>
      <c r="L282" s="32" t="s">
        <v>995</v>
      </c>
      <c r="M282" s="31">
        <f>4200</f>
        <v>4200</v>
      </c>
      <c r="N282" s="32" t="s">
        <v>255</v>
      </c>
      <c r="O282" s="31">
        <f>3996</f>
        <v>3996</v>
      </c>
      <c r="P282" s="32" t="s">
        <v>996</v>
      </c>
      <c r="Q282" s="31">
        <f>4126</f>
        <v>4126</v>
      </c>
      <c r="R282" s="32" t="s">
        <v>893</v>
      </c>
      <c r="S282" s="33">
        <f>4091.35</f>
        <v>4091.35</v>
      </c>
      <c r="T282" s="30">
        <f>163260</f>
        <v>163260</v>
      </c>
      <c r="U282" s="30" t="str">
        <f>"－"</f>
        <v>－</v>
      </c>
      <c r="V282" s="30">
        <f>677169990</f>
        <v>677169990</v>
      </c>
      <c r="W282" s="30" t="str">
        <f>"－"</f>
        <v>－</v>
      </c>
      <c r="X282" s="34">
        <f>17</f>
        <v>17</v>
      </c>
    </row>
    <row r="283" spans="1:24" ht="13.5" customHeight="1" x14ac:dyDescent="0.15">
      <c r="A283" s="25" t="s">
        <v>1013</v>
      </c>
      <c r="B283" s="25" t="s">
        <v>860</v>
      </c>
      <c r="C283" s="25" t="s">
        <v>861</v>
      </c>
      <c r="D283" s="25" t="s">
        <v>862</v>
      </c>
      <c r="E283" s="26" t="s">
        <v>45</v>
      </c>
      <c r="F283" s="27" t="s">
        <v>45</v>
      </c>
      <c r="G283" s="28" t="s">
        <v>45</v>
      </c>
      <c r="H283" s="29"/>
      <c r="I283" s="29" t="s">
        <v>46</v>
      </c>
      <c r="J283" s="30">
        <v>10</v>
      </c>
      <c r="K283" s="31">
        <f>684.2</f>
        <v>684.2</v>
      </c>
      <c r="L283" s="32" t="s">
        <v>995</v>
      </c>
      <c r="M283" s="31">
        <f>705</f>
        <v>705</v>
      </c>
      <c r="N283" s="32" t="s">
        <v>56</v>
      </c>
      <c r="O283" s="31">
        <f>675.5</f>
        <v>675.5</v>
      </c>
      <c r="P283" s="32" t="s">
        <v>1004</v>
      </c>
      <c r="Q283" s="31">
        <f>693</f>
        <v>693</v>
      </c>
      <c r="R283" s="32" t="s">
        <v>791</v>
      </c>
      <c r="S283" s="33">
        <f>688.82</f>
        <v>688.82</v>
      </c>
      <c r="T283" s="30">
        <f>72000</f>
        <v>72000</v>
      </c>
      <c r="U283" s="30" t="str">
        <f>"－"</f>
        <v>－</v>
      </c>
      <c r="V283" s="30">
        <f>49760223</f>
        <v>49760223</v>
      </c>
      <c r="W283" s="30" t="str">
        <f>"－"</f>
        <v>－</v>
      </c>
      <c r="X283" s="34">
        <f>20</f>
        <v>20</v>
      </c>
    </row>
    <row r="284" spans="1:24" ht="13.5" customHeight="1" x14ac:dyDescent="0.15">
      <c r="A284" s="25" t="s">
        <v>1013</v>
      </c>
      <c r="B284" s="25" t="s">
        <v>863</v>
      </c>
      <c r="C284" s="25" t="s">
        <v>864</v>
      </c>
      <c r="D284" s="25" t="s">
        <v>865</v>
      </c>
      <c r="E284" s="26" t="s">
        <v>45</v>
      </c>
      <c r="F284" s="27" t="s">
        <v>45</v>
      </c>
      <c r="G284" s="28" t="s">
        <v>45</v>
      </c>
      <c r="H284" s="29"/>
      <c r="I284" s="29" t="s">
        <v>46</v>
      </c>
      <c r="J284" s="30">
        <v>1</v>
      </c>
      <c r="K284" s="31">
        <f>2127</f>
        <v>2127</v>
      </c>
      <c r="L284" s="32" t="s">
        <v>995</v>
      </c>
      <c r="M284" s="31">
        <f>2165</f>
        <v>2165</v>
      </c>
      <c r="N284" s="32" t="s">
        <v>1004</v>
      </c>
      <c r="O284" s="31">
        <f>2045</f>
        <v>2045</v>
      </c>
      <c r="P284" s="32" t="s">
        <v>876</v>
      </c>
      <c r="Q284" s="31">
        <f>2107</f>
        <v>2107</v>
      </c>
      <c r="R284" s="32" t="s">
        <v>791</v>
      </c>
      <c r="S284" s="33">
        <f>2118.25</f>
        <v>2118.25</v>
      </c>
      <c r="T284" s="30">
        <f>2142</f>
        <v>2142</v>
      </c>
      <c r="U284" s="30" t="str">
        <f>"－"</f>
        <v>－</v>
      </c>
      <c r="V284" s="30">
        <f>4567775</f>
        <v>4567775</v>
      </c>
      <c r="W284" s="30" t="str">
        <f>"－"</f>
        <v>－</v>
      </c>
      <c r="X284" s="34">
        <f>20</f>
        <v>20</v>
      </c>
    </row>
    <row r="285" spans="1:24" ht="13.5" customHeight="1" x14ac:dyDescent="0.15">
      <c r="A285" s="25" t="s">
        <v>1013</v>
      </c>
      <c r="B285" s="25" t="s">
        <v>866</v>
      </c>
      <c r="C285" s="25" t="s">
        <v>867</v>
      </c>
      <c r="D285" s="25" t="s">
        <v>868</v>
      </c>
      <c r="E285" s="26" t="s">
        <v>45</v>
      </c>
      <c r="F285" s="27" t="s">
        <v>45</v>
      </c>
      <c r="G285" s="28" t="s">
        <v>45</v>
      </c>
      <c r="H285" s="29"/>
      <c r="I285" s="29" t="s">
        <v>46</v>
      </c>
      <c r="J285" s="30">
        <v>1</v>
      </c>
      <c r="K285" s="31">
        <f>1926</f>
        <v>1926</v>
      </c>
      <c r="L285" s="32" t="s">
        <v>995</v>
      </c>
      <c r="M285" s="31">
        <f>1978</f>
        <v>1978</v>
      </c>
      <c r="N285" s="32" t="s">
        <v>1004</v>
      </c>
      <c r="O285" s="31">
        <f>1845</f>
        <v>1845</v>
      </c>
      <c r="P285" s="32" t="s">
        <v>876</v>
      </c>
      <c r="Q285" s="31">
        <f>1946</f>
        <v>1946</v>
      </c>
      <c r="R285" s="32" t="s">
        <v>791</v>
      </c>
      <c r="S285" s="33">
        <f>1923.9</f>
        <v>1923.9</v>
      </c>
      <c r="T285" s="30">
        <f>7673</f>
        <v>7673</v>
      </c>
      <c r="U285" s="30" t="str">
        <f>"－"</f>
        <v>－</v>
      </c>
      <c r="V285" s="30">
        <f>14634102</f>
        <v>14634102</v>
      </c>
      <c r="W285" s="30" t="str">
        <f>"－"</f>
        <v>－</v>
      </c>
      <c r="X285" s="34">
        <f>20</f>
        <v>20</v>
      </c>
    </row>
    <row r="286" spans="1:24" ht="13.5" customHeight="1" x14ac:dyDescent="0.15">
      <c r="A286" s="25" t="s">
        <v>1013</v>
      </c>
      <c r="B286" s="25" t="s">
        <v>869</v>
      </c>
      <c r="C286" s="25" t="s">
        <v>870</v>
      </c>
      <c r="D286" s="25" t="s">
        <v>871</v>
      </c>
      <c r="E286" s="26" t="s">
        <v>45</v>
      </c>
      <c r="F286" s="27" t="s">
        <v>45</v>
      </c>
      <c r="G286" s="28" t="s">
        <v>45</v>
      </c>
      <c r="H286" s="29"/>
      <c r="I286" s="29" t="s">
        <v>46</v>
      </c>
      <c r="J286" s="30">
        <v>1</v>
      </c>
      <c r="K286" s="31">
        <f>7551</f>
        <v>7551</v>
      </c>
      <c r="L286" s="32" t="s">
        <v>995</v>
      </c>
      <c r="M286" s="31">
        <f>7644</f>
        <v>7644</v>
      </c>
      <c r="N286" s="32" t="s">
        <v>876</v>
      </c>
      <c r="O286" s="31">
        <f>7470</f>
        <v>7470</v>
      </c>
      <c r="P286" s="32" t="s">
        <v>1017</v>
      </c>
      <c r="Q286" s="31">
        <f>7587</f>
        <v>7587</v>
      </c>
      <c r="R286" s="32" t="s">
        <v>791</v>
      </c>
      <c r="S286" s="33">
        <f>7549.41</f>
        <v>7549.41</v>
      </c>
      <c r="T286" s="30">
        <f>227864</f>
        <v>227864</v>
      </c>
      <c r="U286" s="30">
        <f>58120</f>
        <v>58120</v>
      </c>
      <c r="V286" s="30">
        <f>1724265174</f>
        <v>1724265174</v>
      </c>
      <c r="W286" s="30">
        <f>440645640</f>
        <v>440645640</v>
      </c>
      <c r="X286" s="34">
        <f>22</f>
        <v>22</v>
      </c>
    </row>
    <row r="287" spans="1:24" ht="13.5" customHeight="1" x14ac:dyDescent="0.15">
      <c r="A287" s="25" t="s">
        <v>1013</v>
      </c>
      <c r="B287" s="25" t="s">
        <v>872</v>
      </c>
      <c r="C287" s="25" t="s">
        <v>873</v>
      </c>
      <c r="D287" s="25" t="s">
        <v>874</v>
      </c>
      <c r="E287" s="26" t="s">
        <v>45</v>
      </c>
      <c r="F287" s="27" t="s">
        <v>45</v>
      </c>
      <c r="G287" s="28" t="s">
        <v>45</v>
      </c>
      <c r="H287" s="29"/>
      <c r="I287" s="29" t="s">
        <v>46</v>
      </c>
      <c r="J287" s="30">
        <v>1</v>
      </c>
      <c r="K287" s="31">
        <f>6005</f>
        <v>6005</v>
      </c>
      <c r="L287" s="32" t="s">
        <v>995</v>
      </c>
      <c r="M287" s="31">
        <f>6264</f>
        <v>6264</v>
      </c>
      <c r="N287" s="32" t="s">
        <v>255</v>
      </c>
      <c r="O287" s="31">
        <f>5934</f>
        <v>5934</v>
      </c>
      <c r="P287" s="32" t="s">
        <v>996</v>
      </c>
      <c r="Q287" s="31">
        <f>6168</f>
        <v>6168</v>
      </c>
      <c r="R287" s="32" t="s">
        <v>791</v>
      </c>
      <c r="S287" s="33">
        <f>6108.77</f>
        <v>6108.77</v>
      </c>
      <c r="T287" s="30">
        <f>187736</f>
        <v>187736</v>
      </c>
      <c r="U287" s="30">
        <f>80000</f>
        <v>80000</v>
      </c>
      <c r="V287" s="30">
        <f>1142872841</f>
        <v>1142872841</v>
      </c>
      <c r="W287" s="30">
        <f>481836000</f>
        <v>481836000</v>
      </c>
      <c r="X287" s="34">
        <f>22</f>
        <v>22</v>
      </c>
    </row>
    <row r="288" spans="1:24" ht="13.5" customHeight="1" x14ac:dyDescent="0.15">
      <c r="A288" s="25" t="s">
        <v>1013</v>
      </c>
      <c r="B288" s="25" t="s">
        <v>878</v>
      </c>
      <c r="C288" s="25" t="s">
        <v>879</v>
      </c>
      <c r="D288" s="25" t="s">
        <v>880</v>
      </c>
      <c r="E288" s="26" t="s">
        <v>45</v>
      </c>
      <c r="F288" s="27" t="s">
        <v>45</v>
      </c>
      <c r="G288" s="28" t="s">
        <v>45</v>
      </c>
      <c r="H288" s="29"/>
      <c r="I288" s="29" t="s">
        <v>46</v>
      </c>
      <c r="J288" s="30">
        <v>1</v>
      </c>
      <c r="K288" s="31">
        <f>15430</f>
        <v>15430</v>
      </c>
      <c r="L288" s="32" t="s">
        <v>995</v>
      </c>
      <c r="M288" s="31">
        <f>16275</f>
        <v>16275</v>
      </c>
      <c r="N288" s="32" t="s">
        <v>791</v>
      </c>
      <c r="O288" s="31">
        <f>14940</f>
        <v>14940</v>
      </c>
      <c r="P288" s="32" t="s">
        <v>1005</v>
      </c>
      <c r="Q288" s="31">
        <f>16190</f>
        <v>16190</v>
      </c>
      <c r="R288" s="32" t="s">
        <v>791</v>
      </c>
      <c r="S288" s="33">
        <f>15601.59</f>
        <v>15601.59</v>
      </c>
      <c r="T288" s="30">
        <f>602651</f>
        <v>602651</v>
      </c>
      <c r="U288" s="30">
        <f>205046</f>
        <v>205046</v>
      </c>
      <c r="V288" s="30">
        <f>9251657366</f>
        <v>9251657366</v>
      </c>
      <c r="W288" s="30">
        <f>3099724056</f>
        <v>3099724056</v>
      </c>
      <c r="X288" s="34">
        <f>22</f>
        <v>22</v>
      </c>
    </row>
    <row r="289" spans="1:24" ht="13.5" customHeight="1" x14ac:dyDescent="0.15">
      <c r="A289" s="25" t="s">
        <v>1013</v>
      </c>
      <c r="B289" s="25" t="s">
        <v>881</v>
      </c>
      <c r="C289" s="25" t="s">
        <v>882</v>
      </c>
      <c r="D289" s="25" t="s">
        <v>883</v>
      </c>
      <c r="E289" s="26" t="s">
        <v>45</v>
      </c>
      <c r="F289" s="27" t="s">
        <v>45</v>
      </c>
      <c r="G289" s="28" t="s">
        <v>45</v>
      </c>
      <c r="H289" s="29"/>
      <c r="I289" s="29" t="s">
        <v>46</v>
      </c>
      <c r="J289" s="30">
        <v>1</v>
      </c>
      <c r="K289" s="31">
        <f>8123</f>
        <v>8123</v>
      </c>
      <c r="L289" s="32" t="s">
        <v>995</v>
      </c>
      <c r="M289" s="31">
        <f>8750</f>
        <v>8750</v>
      </c>
      <c r="N289" s="32" t="s">
        <v>791</v>
      </c>
      <c r="O289" s="31">
        <f>8020</f>
        <v>8020</v>
      </c>
      <c r="P289" s="32" t="s">
        <v>999</v>
      </c>
      <c r="Q289" s="31">
        <f>8730</f>
        <v>8730</v>
      </c>
      <c r="R289" s="32" t="s">
        <v>791</v>
      </c>
      <c r="S289" s="33">
        <f>8360.77</f>
        <v>8360.77</v>
      </c>
      <c r="T289" s="30">
        <f>613913</f>
        <v>613913</v>
      </c>
      <c r="U289" s="30" t="str">
        <f>"－"</f>
        <v>－</v>
      </c>
      <c r="V289" s="30">
        <f>5119405778</f>
        <v>5119405778</v>
      </c>
      <c r="W289" s="30" t="str">
        <f>"－"</f>
        <v>－</v>
      </c>
      <c r="X289" s="34">
        <f>22</f>
        <v>22</v>
      </c>
    </row>
    <row r="290" spans="1:24" ht="13.5" customHeight="1" x14ac:dyDescent="0.15">
      <c r="A290" s="25" t="s">
        <v>1013</v>
      </c>
      <c r="B290" s="25" t="s">
        <v>884</v>
      </c>
      <c r="C290" s="25" t="s">
        <v>885</v>
      </c>
      <c r="D290" s="25" t="s">
        <v>886</v>
      </c>
      <c r="E290" s="26" t="s">
        <v>45</v>
      </c>
      <c r="F290" s="27" t="s">
        <v>45</v>
      </c>
      <c r="G290" s="28" t="s">
        <v>45</v>
      </c>
      <c r="H290" s="29"/>
      <c r="I290" s="29" t="s">
        <v>46</v>
      </c>
      <c r="J290" s="30">
        <v>1</v>
      </c>
      <c r="K290" s="31">
        <f>30370</f>
        <v>30370</v>
      </c>
      <c r="L290" s="32" t="s">
        <v>995</v>
      </c>
      <c r="M290" s="31">
        <f>30770</f>
        <v>30770</v>
      </c>
      <c r="N290" s="32" t="s">
        <v>999</v>
      </c>
      <c r="O290" s="31">
        <f>27910</f>
        <v>27910</v>
      </c>
      <c r="P290" s="32" t="s">
        <v>791</v>
      </c>
      <c r="Q290" s="31">
        <f>27975</f>
        <v>27975</v>
      </c>
      <c r="R290" s="32" t="s">
        <v>791</v>
      </c>
      <c r="S290" s="33">
        <f>29384.77</f>
        <v>29384.77</v>
      </c>
      <c r="T290" s="30">
        <f>567981</f>
        <v>567981</v>
      </c>
      <c r="U290" s="30">
        <f>149300</f>
        <v>149300</v>
      </c>
      <c r="V290" s="30">
        <f>16845268637</f>
        <v>16845268637</v>
      </c>
      <c r="W290" s="30">
        <f>4474932912</f>
        <v>4474932912</v>
      </c>
      <c r="X290" s="34">
        <f>22</f>
        <v>22</v>
      </c>
    </row>
    <row r="291" spans="1:24" ht="13.5" customHeight="1" x14ac:dyDescent="0.15">
      <c r="A291" s="25" t="s">
        <v>1013</v>
      </c>
      <c r="B291" s="25" t="s">
        <v>887</v>
      </c>
      <c r="C291" s="25" t="s">
        <v>888</v>
      </c>
      <c r="D291" s="25" t="s">
        <v>889</v>
      </c>
      <c r="E291" s="26" t="s">
        <v>45</v>
      </c>
      <c r="F291" s="27" t="s">
        <v>45</v>
      </c>
      <c r="G291" s="28" t="s">
        <v>45</v>
      </c>
      <c r="H291" s="29"/>
      <c r="I291" s="29" t="s">
        <v>46</v>
      </c>
      <c r="J291" s="30">
        <v>10</v>
      </c>
      <c r="K291" s="31">
        <f>4290</f>
        <v>4290</v>
      </c>
      <c r="L291" s="32" t="s">
        <v>996</v>
      </c>
      <c r="M291" s="31">
        <f>4599</f>
        <v>4599</v>
      </c>
      <c r="N291" s="32" t="s">
        <v>255</v>
      </c>
      <c r="O291" s="31">
        <f>4290</f>
        <v>4290</v>
      </c>
      <c r="P291" s="32" t="s">
        <v>996</v>
      </c>
      <c r="Q291" s="31">
        <f>4538</f>
        <v>4538</v>
      </c>
      <c r="R291" s="32" t="s">
        <v>791</v>
      </c>
      <c r="S291" s="33">
        <f>4499.33</f>
        <v>4499.33</v>
      </c>
      <c r="T291" s="30">
        <f>350</f>
        <v>350</v>
      </c>
      <c r="U291" s="30" t="str">
        <f>"－"</f>
        <v>－</v>
      </c>
      <c r="V291" s="30">
        <f>1588800</f>
        <v>1588800</v>
      </c>
      <c r="W291" s="30" t="str">
        <f>"－"</f>
        <v>－</v>
      </c>
      <c r="X291" s="34">
        <f>9</f>
        <v>9</v>
      </c>
    </row>
    <row r="292" spans="1:24" ht="13.5" customHeight="1" x14ac:dyDescent="0.15">
      <c r="A292" s="25" t="s">
        <v>1013</v>
      </c>
      <c r="B292" s="25" t="s">
        <v>890</v>
      </c>
      <c r="C292" s="25" t="s">
        <v>891</v>
      </c>
      <c r="D292" s="25" t="s">
        <v>892</v>
      </c>
      <c r="E292" s="26" t="s">
        <v>45</v>
      </c>
      <c r="F292" s="27" t="s">
        <v>45</v>
      </c>
      <c r="G292" s="28" t="s">
        <v>45</v>
      </c>
      <c r="H292" s="29"/>
      <c r="I292" s="29" t="s">
        <v>46</v>
      </c>
      <c r="J292" s="30">
        <v>10</v>
      </c>
      <c r="K292" s="31">
        <f>4911</f>
        <v>4911</v>
      </c>
      <c r="L292" s="32" t="s">
        <v>995</v>
      </c>
      <c r="M292" s="31">
        <f>5008</f>
        <v>5008</v>
      </c>
      <c r="N292" s="32" t="s">
        <v>791</v>
      </c>
      <c r="O292" s="31">
        <f>4894</f>
        <v>4894</v>
      </c>
      <c r="P292" s="32" t="s">
        <v>875</v>
      </c>
      <c r="Q292" s="31">
        <f>5008</f>
        <v>5008</v>
      </c>
      <c r="R292" s="32" t="s">
        <v>791</v>
      </c>
      <c r="S292" s="33">
        <f>4935.06</f>
        <v>4935.0600000000004</v>
      </c>
      <c r="T292" s="30">
        <f>8220</f>
        <v>8220</v>
      </c>
      <c r="U292" s="30" t="str">
        <f>"－"</f>
        <v>－</v>
      </c>
      <c r="V292" s="30">
        <f>40429570</f>
        <v>40429570</v>
      </c>
      <c r="W292" s="30" t="str">
        <f>"－"</f>
        <v>－</v>
      </c>
      <c r="X292" s="34">
        <f>17</f>
        <v>17</v>
      </c>
    </row>
    <row r="293" spans="1:24" ht="13.5" customHeight="1" x14ac:dyDescent="0.15">
      <c r="A293" s="25" t="s">
        <v>1013</v>
      </c>
      <c r="B293" s="25" t="s">
        <v>902</v>
      </c>
      <c r="C293" s="25" t="s">
        <v>903</v>
      </c>
      <c r="D293" s="25" t="s">
        <v>904</v>
      </c>
      <c r="E293" s="26" t="s">
        <v>45</v>
      </c>
      <c r="F293" s="27" t="s">
        <v>45</v>
      </c>
      <c r="G293" s="28" t="s">
        <v>45</v>
      </c>
      <c r="H293" s="29"/>
      <c r="I293" s="29" t="s">
        <v>46</v>
      </c>
      <c r="J293" s="30">
        <v>10</v>
      </c>
      <c r="K293" s="31">
        <f>1694.5</f>
        <v>1694.5</v>
      </c>
      <c r="L293" s="32" t="s">
        <v>995</v>
      </c>
      <c r="M293" s="31">
        <f>1827.5</f>
        <v>1827.5</v>
      </c>
      <c r="N293" s="32" t="s">
        <v>791</v>
      </c>
      <c r="O293" s="31">
        <f>1671</f>
        <v>1671</v>
      </c>
      <c r="P293" s="32" t="s">
        <v>999</v>
      </c>
      <c r="Q293" s="31">
        <f>1824</f>
        <v>1824</v>
      </c>
      <c r="R293" s="32" t="s">
        <v>791</v>
      </c>
      <c r="S293" s="33">
        <f>1745.61</f>
        <v>1745.61</v>
      </c>
      <c r="T293" s="30">
        <f>1945060</f>
        <v>1945060</v>
      </c>
      <c r="U293" s="30" t="str">
        <f>"－"</f>
        <v>－</v>
      </c>
      <c r="V293" s="30">
        <f>3389656740</f>
        <v>3389656740</v>
      </c>
      <c r="W293" s="30" t="str">
        <f>"－"</f>
        <v>－</v>
      </c>
      <c r="X293" s="34">
        <f>22</f>
        <v>22</v>
      </c>
    </row>
    <row r="294" spans="1:24" ht="13.5" customHeight="1" x14ac:dyDescent="0.15">
      <c r="A294" s="25" t="s">
        <v>1013</v>
      </c>
      <c r="B294" s="25" t="s">
        <v>905</v>
      </c>
      <c r="C294" s="25" t="s">
        <v>906</v>
      </c>
      <c r="D294" s="25" t="s">
        <v>907</v>
      </c>
      <c r="E294" s="26" t="s">
        <v>45</v>
      </c>
      <c r="F294" s="27" t="s">
        <v>45</v>
      </c>
      <c r="G294" s="28" t="s">
        <v>45</v>
      </c>
      <c r="H294" s="29"/>
      <c r="I294" s="29" t="s">
        <v>46</v>
      </c>
      <c r="J294" s="30">
        <v>10</v>
      </c>
      <c r="K294" s="31">
        <f>1858.5</f>
        <v>1858.5</v>
      </c>
      <c r="L294" s="32" t="s">
        <v>995</v>
      </c>
      <c r="M294" s="31">
        <f>1907.5</f>
        <v>1907.5</v>
      </c>
      <c r="N294" s="32" t="s">
        <v>1003</v>
      </c>
      <c r="O294" s="31">
        <f>1810.5</f>
        <v>1810.5</v>
      </c>
      <c r="P294" s="32" t="s">
        <v>80</v>
      </c>
      <c r="Q294" s="31">
        <f>1868</f>
        <v>1868</v>
      </c>
      <c r="R294" s="32" t="s">
        <v>791</v>
      </c>
      <c r="S294" s="33">
        <f>1851.2</f>
        <v>1851.2</v>
      </c>
      <c r="T294" s="30">
        <f>4287260</f>
        <v>4287260</v>
      </c>
      <c r="U294" s="30">
        <f>2634270</f>
        <v>2634270</v>
      </c>
      <c r="V294" s="30">
        <f>7978259484</f>
        <v>7978259484</v>
      </c>
      <c r="W294" s="30">
        <f>4937174274</f>
        <v>4937174274</v>
      </c>
      <c r="X294" s="34">
        <f>22</f>
        <v>22</v>
      </c>
    </row>
    <row r="295" spans="1:24" ht="13.5" customHeight="1" x14ac:dyDescent="0.15">
      <c r="A295" s="25" t="s">
        <v>1013</v>
      </c>
      <c r="B295" s="25" t="s">
        <v>908</v>
      </c>
      <c r="C295" s="25" t="s">
        <v>909</v>
      </c>
      <c r="D295" s="25" t="s">
        <v>910</v>
      </c>
      <c r="E295" s="26" t="s">
        <v>45</v>
      </c>
      <c r="F295" s="27" t="s">
        <v>45</v>
      </c>
      <c r="G295" s="28" t="s">
        <v>45</v>
      </c>
      <c r="H295" s="29"/>
      <c r="I295" s="29" t="s">
        <v>46</v>
      </c>
      <c r="J295" s="30">
        <v>1</v>
      </c>
      <c r="K295" s="31">
        <f>1565</f>
        <v>1565</v>
      </c>
      <c r="L295" s="32" t="s">
        <v>995</v>
      </c>
      <c r="M295" s="31">
        <f>1620</f>
        <v>1620</v>
      </c>
      <c r="N295" s="32" t="s">
        <v>1004</v>
      </c>
      <c r="O295" s="31">
        <f>1515</f>
        <v>1515</v>
      </c>
      <c r="P295" s="32" t="s">
        <v>80</v>
      </c>
      <c r="Q295" s="31">
        <f>1585</f>
        <v>1585</v>
      </c>
      <c r="R295" s="32" t="s">
        <v>791</v>
      </c>
      <c r="S295" s="33">
        <f>1563.41</f>
        <v>1563.41</v>
      </c>
      <c r="T295" s="30">
        <f>4484</f>
        <v>4484</v>
      </c>
      <c r="U295" s="30" t="str">
        <f>"－"</f>
        <v>－</v>
      </c>
      <c r="V295" s="30">
        <f>7139311</f>
        <v>7139311</v>
      </c>
      <c r="W295" s="30" t="str">
        <f>"－"</f>
        <v>－</v>
      </c>
      <c r="X295" s="34">
        <f>22</f>
        <v>22</v>
      </c>
    </row>
    <row r="296" spans="1:24" ht="13.5" customHeight="1" x14ac:dyDescent="0.15">
      <c r="A296" s="25" t="s">
        <v>1013</v>
      </c>
      <c r="B296" s="25" t="s">
        <v>911</v>
      </c>
      <c r="C296" s="25" t="s">
        <v>912</v>
      </c>
      <c r="D296" s="25" t="s">
        <v>913</v>
      </c>
      <c r="E296" s="26" t="s">
        <v>45</v>
      </c>
      <c r="F296" s="27" t="s">
        <v>45</v>
      </c>
      <c r="G296" s="28" t="s">
        <v>45</v>
      </c>
      <c r="H296" s="29"/>
      <c r="I296" s="29" t="s">
        <v>46</v>
      </c>
      <c r="J296" s="30">
        <v>1</v>
      </c>
      <c r="K296" s="31">
        <f>1555</f>
        <v>1555</v>
      </c>
      <c r="L296" s="32" t="s">
        <v>995</v>
      </c>
      <c r="M296" s="31">
        <f>1621</f>
        <v>1621</v>
      </c>
      <c r="N296" s="32" t="s">
        <v>1004</v>
      </c>
      <c r="O296" s="31">
        <f>1497</f>
        <v>1497</v>
      </c>
      <c r="P296" s="32" t="s">
        <v>876</v>
      </c>
      <c r="Q296" s="31">
        <f>1577</f>
        <v>1577</v>
      </c>
      <c r="R296" s="32" t="s">
        <v>791</v>
      </c>
      <c r="S296" s="33">
        <f>1560.65</f>
        <v>1560.65</v>
      </c>
      <c r="T296" s="30">
        <f>11983</f>
        <v>11983</v>
      </c>
      <c r="U296" s="30" t="str">
        <f>"－"</f>
        <v>－</v>
      </c>
      <c r="V296" s="30">
        <f>19036593</f>
        <v>19036593</v>
      </c>
      <c r="W296" s="30" t="str">
        <f>"－"</f>
        <v>－</v>
      </c>
      <c r="X296" s="34">
        <f>20</f>
        <v>20</v>
      </c>
    </row>
    <row r="297" spans="1:24" ht="13.5" customHeight="1" x14ac:dyDescent="0.15">
      <c r="A297" s="25" t="s">
        <v>1013</v>
      </c>
      <c r="B297" s="25" t="s">
        <v>914</v>
      </c>
      <c r="C297" s="25" t="s">
        <v>915</v>
      </c>
      <c r="D297" s="25" t="s">
        <v>916</v>
      </c>
      <c r="E297" s="26" t="s">
        <v>45</v>
      </c>
      <c r="F297" s="27" t="s">
        <v>45</v>
      </c>
      <c r="G297" s="28" t="s">
        <v>45</v>
      </c>
      <c r="H297" s="29"/>
      <c r="I297" s="29" t="s">
        <v>46</v>
      </c>
      <c r="J297" s="30">
        <v>1</v>
      </c>
      <c r="K297" s="31">
        <f>3250</f>
        <v>3250</v>
      </c>
      <c r="L297" s="32" t="s">
        <v>995</v>
      </c>
      <c r="M297" s="31">
        <f>3370</f>
        <v>3370</v>
      </c>
      <c r="N297" s="32" t="s">
        <v>1004</v>
      </c>
      <c r="O297" s="31">
        <f>3200</f>
        <v>3200</v>
      </c>
      <c r="P297" s="32" t="s">
        <v>876</v>
      </c>
      <c r="Q297" s="31">
        <f>3345</f>
        <v>3345</v>
      </c>
      <c r="R297" s="32" t="s">
        <v>791</v>
      </c>
      <c r="S297" s="33">
        <f>3288.86</f>
        <v>3288.86</v>
      </c>
      <c r="T297" s="30">
        <f>190747</f>
        <v>190747</v>
      </c>
      <c r="U297" s="30">
        <f>31800</f>
        <v>31800</v>
      </c>
      <c r="V297" s="30">
        <f>631334575</f>
        <v>631334575</v>
      </c>
      <c r="W297" s="30">
        <f>105791720</f>
        <v>105791720</v>
      </c>
      <c r="X297" s="34">
        <f>22</f>
        <v>22</v>
      </c>
    </row>
    <row r="298" spans="1:24" ht="13.5" customHeight="1" x14ac:dyDescent="0.15">
      <c r="A298" s="25" t="s">
        <v>1013</v>
      </c>
      <c r="B298" s="25" t="s">
        <v>917</v>
      </c>
      <c r="C298" s="25" t="s">
        <v>918</v>
      </c>
      <c r="D298" s="25" t="s">
        <v>919</v>
      </c>
      <c r="E298" s="26" t="s">
        <v>45</v>
      </c>
      <c r="F298" s="27" t="s">
        <v>45</v>
      </c>
      <c r="G298" s="28" t="s">
        <v>45</v>
      </c>
      <c r="H298" s="29"/>
      <c r="I298" s="29" t="s">
        <v>46</v>
      </c>
      <c r="J298" s="30">
        <v>10</v>
      </c>
      <c r="K298" s="31">
        <f>2007</f>
        <v>2007</v>
      </c>
      <c r="L298" s="32" t="s">
        <v>78</v>
      </c>
      <c r="M298" s="31">
        <f>2017.5</f>
        <v>2017.5</v>
      </c>
      <c r="N298" s="32" t="s">
        <v>875</v>
      </c>
      <c r="O298" s="31">
        <f>1937</f>
        <v>1937</v>
      </c>
      <c r="P298" s="32" t="s">
        <v>1005</v>
      </c>
      <c r="Q298" s="31">
        <f>1937</f>
        <v>1937</v>
      </c>
      <c r="R298" s="32" t="s">
        <v>1005</v>
      </c>
      <c r="S298" s="33">
        <f>2000.1</f>
        <v>2000.1</v>
      </c>
      <c r="T298" s="30">
        <f>570</f>
        <v>570</v>
      </c>
      <c r="U298" s="30" t="str">
        <f>"－"</f>
        <v>－</v>
      </c>
      <c r="V298" s="30">
        <f>1144985</f>
        <v>1144985</v>
      </c>
      <c r="W298" s="30" t="str">
        <f>"－"</f>
        <v>－</v>
      </c>
      <c r="X298" s="34">
        <f>5</f>
        <v>5</v>
      </c>
    </row>
    <row r="299" spans="1:24" ht="13.5" customHeight="1" x14ac:dyDescent="0.15">
      <c r="A299" s="25" t="s">
        <v>1013</v>
      </c>
      <c r="B299" s="25" t="s">
        <v>928</v>
      </c>
      <c r="C299" s="25" t="s">
        <v>929</v>
      </c>
      <c r="D299" s="25" t="s">
        <v>930</v>
      </c>
      <c r="E299" s="26" t="s">
        <v>45</v>
      </c>
      <c r="F299" s="27" t="s">
        <v>45</v>
      </c>
      <c r="G299" s="28" t="s">
        <v>45</v>
      </c>
      <c r="H299" s="29"/>
      <c r="I299" s="29" t="s">
        <v>46</v>
      </c>
      <c r="J299" s="30">
        <v>10</v>
      </c>
      <c r="K299" s="31">
        <f>204.2</f>
        <v>204.2</v>
      </c>
      <c r="L299" s="32" t="s">
        <v>995</v>
      </c>
      <c r="M299" s="31">
        <f>208.5</f>
        <v>208.5</v>
      </c>
      <c r="N299" s="32" t="s">
        <v>1004</v>
      </c>
      <c r="O299" s="31">
        <f>188.5</f>
        <v>188.5</v>
      </c>
      <c r="P299" s="32" t="s">
        <v>996</v>
      </c>
      <c r="Q299" s="31">
        <f>204</f>
        <v>204</v>
      </c>
      <c r="R299" s="32" t="s">
        <v>791</v>
      </c>
      <c r="S299" s="33">
        <f>202.17</f>
        <v>202.17</v>
      </c>
      <c r="T299" s="30">
        <f>6470</f>
        <v>6470</v>
      </c>
      <c r="U299" s="30" t="str">
        <f>"－"</f>
        <v>－</v>
      </c>
      <c r="V299" s="30">
        <f>1309015</f>
        <v>1309015</v>
      </c>
      <c r="W299" s="30" t="str">
        <f>"－"</f>
        <v>－</v>
      </c>
      <c r="X299" s="34">
        <f>22</f>
        <v>22</v>
      </c>
    </row>
    <row r="300" spans="1:24" ht="13.5" customHeight="1" x14ac:dyDescent="0.15">
      <c r="A300" s="25" t="s">
        <v>1013</v>
      </c>
      <c r="B300" s="25" t="s">
        <v>920</v>
      </c>
      <c r="C300" s="25" t="s">
        <v>921</v>
      </c>
      <c r="D300" s="25" t="s">
        <v>922</v>
      </c>
      <c r="E300" s="26" t="s">
        <v>45</v>
      </c>
      <c r="F300" s="27" t="s">
        <v>45</v>
      </c>
      <c r="G300" s="28" t="s">
        <v>45</v>
      </c>
      <c r="H300" s="29"/>
      <c r="I300" s="29" t="s">
        <v>46</v>
      </c>
      <c r="J300" s="30">
        <v>10</v>
      </c>
      <c r="K300" s="31">
        <f>187.6</f>
        <v>187.6</v>
      </c>
      <c r="L300" s="32" t="s">
        <v>995</v>
      </c>
      <c r="M300" s="31">
        <f>187.6</f>
        <v>187.6</v>
      </c>
      <c r="N300" s="32" t="s">
        <v>995</v>
      </c>
      <c r="O300" s="31">
        <f>175</f>
        <v>175</v>
      </c>
      <c r="P300" s="32" t="s">
        <v>876</v>
      </c>
      <c r="Q300" s="31">
        <f>179.6</f>
        <v>179.6</v>
      </c>
      <c r="R300" s="32" t="s">
        <v>791</v>
      </c>
      <c r="S300" s="33">
        <f>182.46</f>
        <v>182.46</v>
      </c>
      <c r="T300" s="30">
        <f>102500</f>
        <v>102500</v>
      </c>
      <c r="U300" s="30">
        <f>79650</f>
        <v>79650</v>
      </c>
      <c r="V300" s="30">
        <f>18535672</f>
        <v>18535672</v>
      </c>
      <c r="W300" s="30">
        <f>14403124</f>
        <v>14403124</v>
      </c>
      <c r="X300" s="34">
        <f>22</f>
        <v>22</v>
      </c>
    </row>
    <row r="301" spans="1:24" ht="13.5" customHeight="1" x14ac:dyDescent="0.15">
      <c r="A301" s="25" t="s">
        <v>1013</v>
      </c>
      <c r="B301" s="25" t="s">
        <v>923</v>
      </c>
      <c r="C301" s="25" t="s">
        <v>924</v>
      </c>
      <c r="D301" s="25" t="s">
        <v>925</v>
      </c>
      <c r="E301" s="26" t="s">
        <v>45</v>
      </c>
      <c r="F301" s="27" t="s">
        <v>45</v>
      </c>
      <c r="G301" s="28" t="s">
        <v>45</v>
      </c>
      <c r="H301" s="29"/>
      <c r="I301" s="29" t="s">
        <v>46</v>
      </c>
      <c r="J301" s="30">
        <v>10</v>
      </c>
      <c r="K301" s="31">
        <f>706.1</f>
        <v>706.1</v>
      </c>
      <c r="L301" s="32" t="s">
        <v>999</v>
      </c>
      <c r="M301" s="31">
        <f>735.7</f>
        <v>735.7</v>
      </c>
      <c r="N301" s="32" t="s">
        <v>255</v>
      </c>
      <c r="O301" s="31">
        <f>700</f>
        <v>700</v>
      </c>
      <c r="P301" s="32" t="s">
        <v>999</v>
      </c>
      <c r="Q301" s="31">
        <f>721.7</f>
        <v>721.7</v>
      </c>
      <c r="R301" s="32" t="s">
        <v>791</v>
      </c>
      <c r="S301" s="33">
        <f>716.33</f>
        <v>716.33</v>
      </c>
      <c r="T301" s="30">
        <f>920</f>
        <v>920</v>
      </c>
      <c r="U301" s="30" t="str">
        <f>"－"</f>
        <v>－</v>
      </c>
      <c r="V301" s="30">
        <f>657423</f>
        <v>657423</v>
      </c>
      <c r="W301" s="30" t="str">
        <f>"－"</f>
        <v>－</v>
      </c>
      <c r="X301" s="34">
        <f>9</f>
        <v>9</v>
      </c>
    </row>
    <row r="302" spans="1:24" ht="13.5" customHeight="1" x14ac:dyDescent="0.15">
      <c r="A302" s="25" t="s">
        <v>1013</v>
      </c>
      <c r="B302" s="25" t="s">
        <v>931</v>
      </c>
      <c r="C302" s="25" t="s">
        <v>932</v>
      </c>
      <c r="D302" s="25" t="s">
        <v>933</v>
      </c>
      <c r="E302" s="26" t="s">
        <v>45</v>
      </c>
      <c r="F302" s="27" t="s">
        <v>45</v>
      </c>
      <c r="G302" s="28" t="s">
        <v>45</v>
      </c>
      <c r="H302" s="29"/>
      <c r="I302" s="29" t="s">
        <v>46</v>
      </c>
      <c r="J302" s="30">
        <v>1</v>
      </c>
      <c r="K302" s="31">
        <f>1023</f>
        <v>1023</v>
      </c>
      <c r="L302" s="32" t="s">
        <v>995</v>
      </c>
      <c r="M302" s="31">
        <f>1068</f>
        <v>1068</v>
      </c>
      <c r="N302" s="32" t="s">
        <v>791</v>
      </c>
      <c r="O302" s="31">
        <f>985</f>
        <v>985</v>
      </c>
      <c r="P302" s="32" t="s">
        <v>876</v>
      </c>
      <c r="Q302" s="31">
        <f>1064</f>
        <v>1064</v>
      </c>
      <c r="R302" s="32" t="s">
        <v>791</v>
      </c>
      <c r="S302" s="33">
        <f>1036.5</f>
        <v>1036.5</v>
      </c>
      <c r="T302" s="30">
        <f>93601</f>
        <v>93601</v>
      </c>
      <c r="U302" s="30" t="str">
        <f>"－"</f>
        <v>－</v>
      </c>
      <c r="V302" s="30">
        <f>97620249</f>
        <v>97620249</v>
      </c>
      <c r="W302" s="30" t="str">
        <f>"－"</f>
        <v>－</v>
      </c>
      <c r="X302" s="34">
        <f>22</f>
        <v>22</v>
      </c>
    </row>
    <row r="303" spans="1:24" ht="13.5" customHeight="1" x14ac:dyDescent="0.15">
      <c r="A303" s="25" t="s">
        <v>1013</v>
      </c>
      <c r="B303" s="25" t="s">
        <v>934</v>
      </c>
      <c r="C303" s="25" t="s">
        <v>935</v>
      </c>
      <c r="D303" s="25" t="s">
        <v>936</v>
      </c>
      <c r="E303" s="26" t="s">
        <v>45</v>
      </c>
      <c r="F303" s="27" t="s">
        <v>45</v>
      </c>
      <c r="G303" s="28" t="s">
        <v>45</v>
      </c>
      <c r="H303" s="29"/>
      <c r="I303" s="29" t="s">
        <v>46</v>
      </c>
      <c r="J303" s="30">
        <v>1</v>
      </c>
      <c r="K303" s="31">
        <f>958</f>
        <v>958</v>
      </c>
      <c r="L303" s="32" t="s">
        <v>995</v>
      </c>
      <c r="M303" s="31">
        <f>958</f>
        <v>958</v>
      </c>
      <c r="N303" s="32" t="s">
        <v>995</v>
      </c>
      <c r="O303" s="31">
        <f>914</f>
        <v>914</v>
      </c>
      <c r="P303" s="32" t="s">
        <v>80</v>
      </c>
      <c r="Q303" s="31">
        <f>922</f>
        <v>922</v>
      </c>
      <c r="R303" s="32" t="s">
        <v>791</v>
      </c>
      <c r="S303" s="33">
        <f>935.41</f>
        <v>935.41</v>
      </c>
      <c r="T303" s="30">
        <f>12364</f>
        <v>12364</v>
      </c>
      <c r="U303" s="30" t="str">
        <f>"－"</f>
        <v>－</v>
      </c>
      <c r="V303" s="30">
        <f>11629412</f>
        <v>11629412</v>
      </c>
      <c r="W303" s="30" t="str">
        <f>"－"</f>
        <v>－</v>
      </c>
      <c r="X303" s="34">
        <f>22</f>
        <v>22</v>
      </c>
    </row>
    <row r="304" spans="1:24" ht="13.5" customHeight="1" x14ac:dyDescent="0.15">
      <c r="A304" s="25" t="s">
        <v>1013</v>
      </c>
      <c r="B304" s="25" t="s">
        <v>937</v>
      </c>
      <c r="C304" s="25" t="s">
        <v>938</v>
      </c>
      <c r="D304" s="25" t="s">
        <v>939</v>
      </c>
      <c r="E304" s="26" t="s">
        <v>45</v>
      </c>
      <c r="F304" s="27" t="s">
        <v>45</v>
      </c>
      <c r="G304" s="28" t="s">
        <v>45</v>
      </c>
      <c r="H304" s="29"/>
      <c r="I304" s="29" t="s">
        <v>46</v>
      </c>
      <c r="J304" s="30">
        <v>10</v>
      </c>
      <c r="K304" s="31">
        <f>741.9</f>
        <v>741.9</v>
      </c>
      <c r="L304" s="32" t="s">
        <v>995</v>
      </c>
      <c r="M304" s="31">
        <f>764.8</f>
        <v>764.8</v>
      </c>
      <c r="N304" s="32" t="s">
        <v>793</v>
      </c>
      <c r="O304" s="31">
        <f>734.5</f>
        <v>734.5</v>
      </c>
      <c r="P304" s="32" t="s">
        <v>1000</v>
      </c>
      <c r="Q304" s="31">
        <f>755.5</f>
        <v>755.5</v>
      </c>
      <c r="R304" s="32" t="s">
        <v>791</v>
      </c>
      <c r="S304" s="33">
        <f>750.63</f>
        <v>750.63</v>
      </c>
      <c r="T304" s="30">
        <f>508540</f>
        <v>508540</v>
      </c>
      <c r="U304" s="30">
        <f>260000</f>
        <v>260000</v>
      </c>
      <c r="V304" s="30">
        <f>385558810</f>
        <v>385558810</v>
      </c>
      <c r="W304" s="30">
        <f>198588000</f>
        <v>198588000</v>
      </c>
      <c r="X304" s="34">
        <f>22</f>
        <v>22</v>
      </c>
    </row>
    <row r="305" spans="1:24" ht="13.5" customHeight="1" x14ac:dyDescent="0.15">
      <c r="A305" s="25" t="s">
        <v>1013</v>
      </c>
      <c r="B305" s="25" t="s">
        <v>940</v>
      </c>
      <c r="C305" s="25" t="s">
        <v>941</v>
      </c>
      <c r="D305" s="25" t="s">
        <v>942</v>
      </c>
      <c r="E305" s="26" t="s">
        <v>45</v>
      </c>
      <c r="F305" s="27" t="s">
        <v>45</v>
      </c>
      <c r="G305" s="28" t="s">
        <v>45</v>
      </c>
      <c r="H305" s="29"/>
      <c r="I305" s="29" t="s">
        <v>46</v>
      </c>
      <c r="J305" s="30">
        <v>10</v>
      </c>
      <c r="K305" s="31">
        <f>708.8</f>
        <v>708.8</v>
      </c>
      <c r="L305" s="32" t="s">
        <v>995</v>
      </c>
      <c r="M305" s="31">
        <f>742.1</f>
        <v>742.1</v>
      </c>
      <c r="N305" s="32" t="s">
        <v>255</v>
      </c>
      <c r="O305" s="31">
        <f>702</f>
        <v>702</v>
      </c>
      <c r="P305" s="32" t="s">
        <v>996</v>
      </c>
      <c r="Q305" s="31">
        <f>722.5</f>
        <v>722.5</v>
      </c>
      <c r="R305" s="32" t="s">
        <v>791</v>
      </c>
      <c r="S305" s="33">
        <f>719.42</f>
        <v>719.42</v>
      </c>
      <c r="T305" s="30">
        <f>570200</f>
        <v>570200</v>
      </c>
      <c r="U305" s="30">
        <f>485330</f>
        <v>485330</v>
      </c>
      <c r="V305" s="30">
        <f>414012582</f>
        <v>414012582</v>
      </c>
      <c r="W305" s="30">
        <f>353820968</f>
        <v>353820968</v>
      </c>
      <c r="X305" s="34">
        <f>22</f>
        <v>22</v>
      </c>
    </row>
    <row r="306" spans="1:24" ht="13.5" customHeight="1" x14ac:dyDescent="0.15">
      <c r="A306" s="25" t="s">
        <v>1013</v>
      </c>
      <c r="B306" s="25" t="s">
        <v>943</v>
      </c>
      <c r="C306" s="25" t="s">
        <v>944</v>
      </c>
      <c r="D306" s="25" t="s">
        <v>945</v>
      </c>
      <c r="E306" s="26" t="s">
        <v>45</v>
      </c>
      <c r="F306" s="27" t="s">
        <v>45</v>
      </c>
      <c r="G306" s="28" t="s">
        <v>45</v>
      </c>
      <c r="H306" s="29"/>
      <c r="I306" s="29" t="s">
        <v>46</v>
      </c>
      <c r="J306" s="30">
        <v>1</v>
      </c>
      <c r="K306" s="31">
        <f>1020</f>
        <v>1020</v>
      </c>
      <c r="L306" s="32" t="s">
        <v>995</v>
      </c>
      <c r="M306" s="31">
        <f>1039</f>
        <v>1039</v>
      </c>
      <c r="N306" s="32" t="s">
        <v>791</v>
      </c>
      <c r="O306" s="31">
        <f>977</f>
        <v>977</v>
      </c>
      <c r="P306" s="32" t="s">
        <v>876</v>
      </c>
      <c r="Q306" s="31">
        <f>1038</f>
        <v>1038</v>
      </c>
      <c r="R306" s="32" t="s">
        <v>791</v>
      </c>
      <c r="S306" s="33">
        <f>1014.82</f>
        <v>1014.82</v>
      </c>
      <c r="T306" s="30">
        <f>18964</f>
        <v>18964</v>
      </c>
      <c r="U306" s="30" t="str">
        <f>"－"</f>
        <v>－</v>
      </c>
      <c r="V306" s="30">
        <f>19133632</f>
        <v>19133632</v>
      </c>
      <c r="W306" s="30" t="str">
        <f>"－"</f>
        <v>－</v>
      </c>
      <c r="X306" s="34">
        <f>22</f>
        <v>22</v>
      </c>
    </row>
    <row r="307" spans="1:24" ht="13.5" customHeight="1" x14ac:dyDescent="0.15">
      <c r="A307" s="25" t="s">
        <v>1013</v>
      </c>
      <c r="B307" s="25" t="s">
        <v>952</v>
      </c>
      <c r="C307" s="25" t="s">
        <v>953</v>
      </c>
      <c r="D307" s="25" t="s">
        <v>954</v>
      </c>
      <c r="E307" s="26" t="s">
        <v>45</v>
      </c>
      <c r="F307" s="27" t="s">
        <v>45</v>
      </c>
      <c r="G307" s="28" t="s">
        <v>45</v>
      </c>
      <c r="H307" s="29"/>
      <c r="I307" s="29" t="s">
        <v>46</v>
      </c>
      <c r="J307" s="30">
        <v>10</v>
      </c>
      <c r="K307" s="31">
        <f>2320.5</f>
        <v>2320.5</v>
      </c>
      <c r="L307" s="32" t="s">
        <v>995</v>
      </c>
      <c r="M307" s="31">
        <f>2396</f>
        <v>2396</v>
      </c>
      <c r="N307" s="32" t="s">
        <v>78</v>
      </c>
      <c r="O307" s="31">
        <f>2201</f>
        <v>2201</v>
      </c>
      <c r="P307" s="32" t="s">
        <v>1005</v>
      </c>
      <c r="Q307" s="31">
        <f>2376.5</f>
        <v>2376.5</v>
      </c>
      <c r="R307" s="32" t="s">
        <v>791</v>
      </c>
      <c r="S307" s="33">
        <f>2330.95</f>
        <v>2330.9499999999998</v>
      </c>
      <c r="T307" s="30">
        <f>22870</f>
        <v>22870</v>
      </c>
      <c r="U307" s="30" t="str">
        <f>"－"</f>
        <v>－</v>
      </c>
      <c r="V307" s="30">
        <f>53168470</f>
        <v>53168470</v>
      </c>
      <c r="W307" s="30" t="str">
        <f>"－"</f>
        <v>－</v>
      </c>
      <c r="X307" s="34">
        <f>22</f>
        <v>22</v>
      </c>
    </row>
    <row r="308" spans="1:24" ht="13.5" customHeight="1" x14ac:dyDescent="0.15">
      <c r="A308" s="25" t="s">
        <v>1013</v>
      </c>
      <c r="B308" s="25" t="s">
        <v>955</v>
      </c>
      <c r="C308" s="25" t="s">
        <v>956</v>
      </c>
      <c r="D308" s="25" t="s">
        <v>957</v>
      </c>
      <c r="E308" s="26" t="s">
        <v>45</v>
      </c>
      <c r="F308" s="27" t="s">
        <v>45</v>
      </c>
      <c r="G308" s="28" t="s">
        <v>45</v>
      </c>
      <c r="H308" s="29"/>
      <c r="I308" s="29" t="s">
        <v>46</v>
      </c>
      <c r="J308" s="30">
        <v>10</v>
      </c>
      <c r="K308" s="31">
        <f>2311</f>
        <v>2311</v>
      </c>
      <c r="L308" s="32" t="s">
        <v>995</v>
      </c>
      <c r="M308" s="31">
        <f>2375.5</f>
        <v>2375.5</v>
      </c>
      <c r="N308" s="32" t="s">
        <v>999</v>
      </c>
      <c r="O308" s="31">
        <f>2234</f>
        <v>2234</v>
      </c>
      <c r="P308" s="32" t="s">
        <v>80</v>
      </c>
      <c r="Q308" s="31">
        <f>2355</f>
        <v>2355</v>
      </c>
      <c r="R308" s="32" t="s">
        <v>791</v>
      </c>
      <c r="S308" s="33">
        <f>2312.88</f>
        <v>2312.88</v>
      </c>
      <c r="T308" s="30">
        <f>132790</f>
        <v>132790</v>
      </c>
      <c r="U308" s="30">
        <f>110050</f>
        <v>110050</v>
      </c>
      <c r="V308" s="30">
        <f>302533392</f>
        <v>302533392</v>
      </c>
      <c r="W308" s="30">
        <f>250446037</f>
        <v>250446037</v>
      </c>
      <c r="X308" s="34">
        <f>21</f>
        <v>21</v>
      </c>
    </row>
    <row r="309" spans="1:24" ht="13.5" customHeight="1" x14ac:dyDescent="0.15">
      <c r="A309" s="25" t="s">
        <v>1013</v>
      </c>
      <c r="B309" s="25" t="s">
        <v>946</v>
      </c>
      <c r="C309" s="25" t="s">
        <v>947</v>
      </c>
      <c r="D309" s="25" t="s">
        <v>948</v>
      </c>
      <c r="E309" s="26" t="s">
        <v>45</v>
      </c>
      <c r="F309" s="27" t="s">
        <v>45</v>
      </c>
      <c r="G309" s="28" t="s">
        <v>45</v>
      </c>
      <c r="H309" s="29"/>
      <c r="I309" s="29" t="s">
        <v>46</v>
      </c>
      <c r="J309" s="30">
        <v>10</v>
      </c>
      <c r="K309" s="31">
        <f>4685</f>
        <v>4685</v>
      </c>
      <c r="L309" s="32" t="s">
        <v>995</v>
      </c>
      <c r="M309" s="31">
        <f>4800</f>
        <v>4800</v>
      </c>
      <c r="N309" s="32" t="s">
        <v>791</v>
      </c>
      <c r="O309" s="31">
        <f>4671</f>
        <v>4671</v>
      </c>
      <c r="P309" s="32" t="s">
        <v>999</v>
      </c>
      <c r="Q309" s="31">
        <f>4800</f>
        <v>4800</v>
      </c>
      <c r="R309" s="32" t="s">
        <v>791</v>
      </c>
      <c r="S309" s="33">
        <f>4707</f>
        <v>4707</v>
      </c>
      <c r="T309" s="30">
        <f>20150</f>
        <v>20150</v>
      </c>
      <c r="U309" s="30">
        <f>20000</f>
        <v>20000</v>
      </c>
      <c r="V309" s="30">
        <f>95565520</f>
        <v>95565520</v>
      </c>
      <c r="W309" s="30">
        <f>94862000</f>
        <v>94862000</v>
      </c>
      <c r="X309" s="34">
        <f>4</f>
        <v>4</v>
      </c>
    </row>
    <row r="310" spans="1:24" ht="13.5" customHeight="1" x14ac:dyDescent="0.15">
      <c r="A310" s="25" t="s">
        <v>1013</v>
      </c>
      <c r="B310" s="25" t="s">
        <v>949</v>
      </c>
      <c r="C310" s="25" t="s">
        <v>950</v>
      </c>
      <c r="D310" s="25" t="s">
        <v>951</v>
      </c>
      <c r="E310" s="26" t="s">
        <v>45</v>
      </c>
      <c r="F310" s="27" t="s">
        <v>45</v>
      </c>
      <c r="G310" s="28" t="s">
        <v>45</v>
      </c>
      <c r="H310" s="29"/>
      <c r="I310" s="29" t="s">
        <v>46</v>
      </c>
      <c r="J310" s="30">
        <v>10</v>
      </c>
      <c r="K310" s="31">
        <f>4316</f>
        <v>4316</v>
      </c>
      <c r="L310" s="32" t="s">
        <v>999</v>
      </c>
      <c r="M310" s="31">
        <f>4499</f>
        <v>4499</v>
      </c>
      <c r="N310" s="32" t="s">
        <v>255</v>
      </c>
      <c r="O310" s="31">
        <f>4316</f>
        <v>4316</v>
      </c>
      <c r="P310" s="32" t="s">
        <v>999</v>
      </c>
      <c r="Q310" s="31">
        <f>4453</f>
        <v>4453</v>
      </c>
      <c r="R310" s="32" t="s">
        <v>893</v>
      </c>
      <c r="S310" s="33">
        <f>4402.17</f>
        <v>4402.17</v>
      </c>
      <c r="T310" s="30">
        <f>37500</f>
        <v>37500</v>
      </c>
      <c r="U310" s="30">
        <f>11000</f>
        <v>11000</v>
      </c>
      <c r="V310" s="30">
        <f>166075540</f>
        <v>166075540</v>
      </c>
      <c r="W310" s="30">
        <f>47472700</f>
        <v>47472700</v>
      </c>
      <c r="X310" s="34">
        <f>6</f>
        <v>6</v>
      </c>
    </row>
    <row r="311" spans="1:24" ht="13.5" customHeight="1" x14ac:dyDescent="0.15">
      <c r="A311" s="25" t="s">
        <v>1013</v>
      </c>
      <c r="B311" s="25" t="s">
        <v>958</v>
      </c>
      <c r="C311" s="25" t="s">
        <v>959</v>
      </c>
      <c r="D311" s="25" t="s">
        <v>960</v>
      </c>
      <c r="E311" s="26" t="s">
        <v>45</v>
      </c>
      <c r="F311" s="27" t="s">
        <v>45</v>
      </c>
      <c r="G311" s="28" t="s">
        <v>45</v>
      </c>
      <c r="H311" s="29"/>
      <c r="I311" s="29" t="s">
        <v>46</v>
      </c>
      <c r="J311" s="30">
        <v>10</v>
      </c>
      <c r="K311" s="31">
        <f>1915.5</f>
        <v>1915.5</v>
      </c>
      <c r="L311" s="32" t="s">
        <v>999</v>
      </c>
      <c r="M311" s="31">
        <f>1975.5</f>
        <v>1975.5</v>
      </c>
      <c r="N311" s="32" t="s">
        <v>255</v>
      </c>
      <c r="O311" s="31">
        <f>1908.5</f>
        <v>1908.5</v>
      </c>
      <c r="P311" s="32" t="s">
        <v>996</v>
      </c>
      <c r="Q311" s="31">
        <f>1954</f>
        <v>1954</v>
      </c>
      <c r="R311" s="32" t="s">
        <v>791</v>
      </c>
      <c r="S311" s="33">
        <f>1934.27</f>
        <v>1934.27</v>
      </c>
      <c r="T311" s="30">
        <f>85110</f>
        <v>85110</v>
      </c>
      <c r="U311" s="30" t="str">
        <f>"－"</f>
        <v>－</v>
      </c>
      <c r="V311" s="30">
        <f>164305820</f>
        <v>164305820</v>
      </c>
      <c r="W311" s="30" t="str">
        <f>"－"</f>
        <v>－</v>
      </c>
      <c r="X311" s="34">
        <f>13</f>
        <v>13</v>
      </c>
    </row>
    <row r="312" spans="1:24" ht="13.5" customHeight="1" x14ac:dyDescent="0.15">
      <c r="A312" s="25" t="s">
        <v>1013</v>
      </c>
      <c r="B312" s="25" t="s">
        <v>961</v>
      </c>
      <c r="C312" s="25" t="s">
        <v>962</v>
      </c>
      <c r="D312" s="25" t="s">
        <v>963</v>
      </c>
      <c r="E312" s="26" t="s">
        <v>45</v>
      </c>
      <c r="F312" s="27" t="s">
        <v>45</v>
      </c>
      <c r="G312" s="28" t="s">
        <v>45</v>
      </c>
      <c r="H312" s="29"/>
      <c r="I312" s="29" t="s">
        <v>46</v>
      </c>
      <c r="J312" s="30">
        <v>1</v>
      </c>
      <c r="K312" s="31">
        <f>1136</f>
        <v>1136</v>
      </c>
      <c r="L312" s="32" t="s">
        <v>995</v>
      </c>
      <c r="M312" s="31">
        <f>1142</f>
        <v>1142</v>
      </c>
      <c r="N312" s="32" t="s">
        <v>1000</v>
      </c>
      <c r="O312" s="31">
        <f>1001</f>
        <v>1001</v>
      </c>
      <c r="P312" s="32" t="s">
        <v>793</v>
      </c>
      <c r="Q312" s="31">
        <f>1075</f>
        <v>1075</v>
      </c>
      <c r="R312" s="32" t="s">
        <v>791</v>
      </c>
      <c r="S312" s="33">
        <f>1075.41</f>
        <v>1075.4100000000001</v>
      </c>
      <c r="T312" s="30">
        <f>7655</f>
        <v>7655</v>
      </c>
      <c r="U312" s="30" t="str">
        <f>"－"</f>
        <v>－</v>
      </c>
      <c r="V312" s="30">
        <f>8193718</f>
        <v>8193718</v>
      </c>
      <c r="W312" s="30" t="str">
        <f>"－"</f>
        <v>－</v>
      </c>
      <c r="X312" s="34">
        <f>22</f>
        <v>22</v>
      </c>
    </row>
    <row r="313" spans="1:24" ht="13.5" customHeight="1" x14ac:dyDescent="0.15">
      <c r="A313" s="25" t="s">
        <v>1013</v>
      </c>
      <c r="B313" s="25" t="s">
        <v>964</v>
      </c>
      <c r="C313" s="25" t="s">
        <v>965</v>
      </c>
      <c r="D313" s="25" t="s">
        <v>966</v>
      </c>
      <c r="E313" s="26" t="s">
        <v>45</v>
      </c>
      <c r="F313" s="27" t="s">
        <v>45</v>
      </c>
      <c r="G313" s="28" t="s">
        <v>45</v>
      </c>
      <c r="H313" s="29"/>
      <c r="I313" s="29" t="s">
        <v>46</v>
      </c>
      <c r="J313" s="30">
        <v>1</v>
      </c>
      <c r="K313" s="31">
        <f>972</f>
        <v>972</v>
      </c>
      <c r="L313" s="32" t="s">
        <v>995</v>
      </c>
      <c r="M313" s="31">
        <f>991</f>
        <v>991</v>
      </c>
      <c r="N313" s="32" t="s">
        <v>1000</v>
      </c>
      <c r="O313" s="31">
        <f>940</f>
        <v>940</v>
      </c>
      <c r="P313" s="32" t="s">
        <v>1005</v>
      </c>
      <c r="Q313" s="31">
        <f>986</f>
        <v>986</v>
      </c>
      <c r="R313" s="32" t="s">
        <v>791</v>
      </c>
      <c r="S313" s="33">
        <f>969.27</f>
        <v>969.27</v>
      </c>
      <c r="T313" s="30">
        <f>770186</f>
        <v>770186</v>
      </c>
      <c r="U313" s="30" t="str">
        <f>"－"</f>
        <v>－</v>
      </c>
      <c r="V313" s="30">
        <f>743129250</f>
        <v>743129250</v>
      </c>
      <c r="W313" s="30" t="str">
        <f>"－"</f>
        <v>－</v>
      </c>
      <c r="X313" s="34">
        <f>22</f>
        <v>22</v>
      </c>
    </row>
    <row r="314" spans="1:24" ht="13.5" customHeight="1" x14ac:dyDescent="0.15">
      <c r="A314" s="25" t="s">
        <v>1013</v>
      </c>
      <c r="B314" s="25" t="s">
        <v>967</v>
      </c>
      <c r="C314" s="25" t="s">
        <v>968</v>
      </c>
      <c r="D314" s="25" t="s">
        <v>969</v>
      </c>
      <c r="E314" s="26" t="s">
        <v>45</v>
      </c>
      <c r="F314" s="27" t="s">
        <v>45</v>
      </c>
      <c r="G314" s="28" t="s">
        <v>45</v>
      </c>
      <c r="H314" s="29"/>
      <c r="I314" s="29" t="s">
        <v>46</v>
      </c>
      <c r="J314" s="30">
        <v>1</v>
      </c>
      <c r="K314" s="31">
        <f>959</f>
        <v>959</v>
      </c>
      <c r="L314" s="32" t="s">
        <v>995</v>
      </c>
      <c r="M314" s="31">
        <f>964</f>
        <v>964</v>
      </c>
      <c r="N314" s="32" t="s">
        <v>875</v>
      </c>
      <c r="O314" s="31">
        <f>859</f>
        <v>859</v>
      </c>
      <c r="P314" s="32" t="s">
        <v>793</v>
      </c>
      <c r="Q314" s="31">
        <f>886</f>
        <v>886</v>
      </c>
      <c r="R314" s="32" t="s">
        <v>791</v>
      </c>
      <c r="S314" s="33">
        <f>909.18</f>
        <v>909.18</v>
      </c>
      <c r="T314" s="30">
        <f>2243527</f>
        <v>2243527</v>
      </c>
      <c r="U314" s="30">
        <f>2</f>
        <v>2</v>
      </c>
      <c r="V314" s="30">
        <f>1984049129</f>
        <v>1984049129</v>
      </c>
      <c r="W314" s="30">
        <f>1977</f>
        <v>1977</v>
      </c>
      <c r="X314" s="34">
        <f>22</f>
        <v>22</v>
      </c>
    </row>
    <row r="315" spans="1:24" ht="13.5" customHeight="1" x14ac:dyDescent="0.15">
      <c r="A315" s="25" t="s">
        <v>1013</v>
      </c>
      <c r="B315" s="25" t="s">
        <v>974</v>
      </c>
      <c r="C315" s="25" t="s">
        <v>975</v>
      </c>
      <c r="D315" s="25" t="s">
        <v>976</v>
      </c>
      <c r="E315" s="26" t="s">
        <v>45</v>
      </c>
      <c r="F315" s="27" t="s">
        <v>45</v>
      </c>
      <c r="G315" s="28" t="s">
        <v>45</v>
      </c>
      <c r="H315" s="29"/>
      <c r="I315" s="29" t="s">
        <v>46</v>
      </c>
      <c r="J315" s="30">
        <v>1</v>
      </c>
      <c r="K315" s="31">
        <f>1004</f>
        <v>1004</v>
      </c>
      <c r="L315" s="32" t="s">
        <v>995</v>
      </c>
      <c r="M315" s="31">
        <f>1044</f>
        <v>1044</v>
      </c>
      <c r="N315" s="32" t="s">
        <v>78</v>
      </c>
      <c r="O315" s="31">
        <f>928</f>
        <v>928</v>
      </c>
      <c r="P315" s="32" t="s">
        <v>876</v>
      </c>
      <c r="Q315" s="31">
        <f>992</f>
        <v>992</v>
      </c>
      <c r="R315" s="32" t="s">
        <v>791</v>
      </c>
      <c r="S315" s="33">
        <f>979.09</f>
        <v>979.09</v>
      </c>
      <c r="T315" s="30">
        <f>99548</f>
        <v>99548</v>
      </c>
      <c r="U315" s="30" t="str">
        <f>"－"</f>
        <v>－</v>
      </c>
      <c r="V315" s="30">
        <f>94578365</f>
        <v>94578365</v>
      </c>
      <c r="W315" s="30" t="str">
        <f>"－"</f>
        <v>－</v>
      </c>
      <c r="X315" s="34">
        <f>22</f>
        <v>22</v>
      </c>
    </row>
    <row r="316" spans="1:24" ht="13.5" customHeight="1" x14ac:dyDescent="0.15">
      <c r="A316" s="25" t="s">
        <v>1013</v>
      </c>
      <c r="B316" s="25" t="s">
        <v>977</v>
      </c>
      <c r="C316" s="25" t="s">
        <v>978</v>
      </c>
      <c r="D316" s="25" t="s">
        <v>979</v>
      </c>
      <c r="E316" s="26" t="s">
        <v>45</v>
      </c>
      <c r="F316" s="27" t="s">
        <v>45</v>
      </c>
      <c r="G316" s="28" t="s">
        <v>45</v>
      </c>
      <c r="H316" s="29"/>
      <c r="I316" s="29" t="s">
        <v>46</v>
      </c>
      <c r="J316" s="30">
        <v>1</v>
      </c>
      <c r="K316" s="31">
        <f>945</f>
        <v>945</v>
      </c>
      <c r="L316" s="32" t="s">
        <v>995</v>
      </c>
      <c r="M316" s="31">
        <f>960</f>
        <v>960</v>
      </c>
      <c r="N316" s="32" t="s">
        <v>1000</v>
      </c>
      <c r="O316" s="31">
        <f>895</f>
        <v>895</v>
      </c>
      <c r="P316" s="32" t="s">
        <v>1005</v>
      </c>
      <c r="Q316" s="31">
        <f>928</f>
        <v>928</v>
      </c>
      <c r="R316" s="32" t="s">
        <v>791</v>
      </c>
      <c r="S316" s="33">
        <f>924.68</f>
        <v>924.68</v>
      </c>
      <c r="T316" s="30">
        <f>818345</f>
        <v>818345</v>
      </c>
      <c r="U316" s="30" t="str">
        <f>"－"</f>
        <v>－</v>
      </c>
      <c r="V316" s="30">
        <f>763030165</f>
        <v>763030165</v>
      </c>
      <c r="W316" s="30" t="str">
        <f>"－"</f>
        <v>－</v>
      </c>
      <c r="X316" s="34">
        <f>22</f>
        <v>22</v>
      </c>
    </row>
    <row r="317" spans="1:24" ht="13.5" customHeight="1" x14ac:dyDescent="0.15">
      <c r="A317" s="25" t="s">
        <v>1013</v>
      </c>
      <c r="B317" s="25" t="s">
        <v>980</v>
      </c>
      <c r="C317" s="25" t="s">
        <v>981</v>
      </c>
      <c r="D317" s="25" t="s">
        <v>982</v>
      </c>
      <c r="E317" s="26" t="s">
        <v>45</v>
      </c>
      <c r="F317" s="27" t="s">
        <v>45</v>
      </c>
      <c r="G317" s="28" t="s">
        <v>45</v>
      </c>
      <c r="H317" s="29"/>
      <c r="I317" s="29" t="s">
        <v>46</v>
      </c>
      <c r="J317" s="30">
        <v>1</v>
      </c>
      <c r="K317" s="31">
        <f>19845</f>
        <v>19845</v>
      </c>
      <c r="L317" s="32" t="s">
        <v>995</v>
      </c>
      <c r="M317" s="31">
        <f>23105</f>
        <v>23105</v>
      </c>
      <c r="N317" s="32" t="s">
        <v>791</v>
      </c>
      <c r="O317" s="31">
        <f>19290</f>
        <v>19290</v>
      </c>
      <c r="P317" s="32" t="s">
        <v>999</v>
      </c>
      <c r="Q317" s="31">
        <f>23005</f>
        <v>23005</v>
      </c>
      <c r="R317" s="32" t="s">
        <v>791</v>
      </c>
      <c r="S317" s="33">
        <f>21074.77</f>
        <v>21074.77</v>
      </c>
      <c r="T317" s="30">
        <f>740108</f>
        <v>740108</v>
      </c>
      <c r="U317" s="30">
        <f>3</f>
        <v>3</v>
      </c>
      <c r="V317" s="30">
        <f>15390984645</f>
        <v>15390984645</v>
      </c>
      <c r="W317" s="30">
        <f>62685</f>
        <v>62685</v>
      </c>
      <c r="X317" s="34">
        <f>22</f>
        <v>22</v>
      </c>
    </row>
    <row r="318" spans="1:24" ht="13.5" customHeight="1" x14ac:dyDescent="0.15">
      <c r="A318" s="25" t="s">
        <v>1013</v>
      </c>
      <c r="B318" s="25" t="s">
        <v>983</v>
      </c>
      <c r="C318" s="25" t="s">
        <v>984</v>
      </c>
      <c r="D318" s="25" t="s">
        <v>985</v>
      </c>
      <c r="E318" s="26" t="s">
        <v>45</v>
      </c>
      <c r="F318" s="27" t="s">
        <v>45</v>
      </c>
      <c r="G318" s="28" t="s">
        <v>45</v>
      </c>
      <c r="H318" s="29"/>
      <c r="I318" s="29" t="s">
        <v>46</v>
      </c>
      <c r="J318" s="30">
        <v>1</v>
      </c>
      <c r="K318" s="31">
        <f>54970</f>
        <v>54970</v>
      </c>
      <c r="L318" s="32" t="s">
        <v>995</v>
      </c>
      <c r="M318" s="31">
        <f>56450</f>
        <v>56450</v>
      </c>
      <c r="N318" s="32" t="s">
        <v>999</v>
      </c>
      <c r="O318" s="31">
        <f>46350</f>
        <v>46350</v>
      </c>
      <c r="P318" s="32" t="s">
        <v>791</v>
      </c>
      <c r="Q318" s="31">
        <f>46550</f>
        <v>46550</v>
      </c>
      <c r="R318" s="32" t="s">
        <v>791</v>
      </c>
      <c r="S318" s="33">
        <f>51448.64</f>
        <v>51448.639999999999</v>
      </c>
      <c r="T318" s="30">
        <f>320275</f>
        <v>320275</v>
      </c>
      <c r="U318" s="30">
        <f>8</f>
        <v>8</v>
      </c>
      <c r="V318" s="30">
        <f>16777159440</f>
        <v>16777159440</v>
      </c>
      <c r="W318" s="30">
        <f>417080</f>
        <v>417080</v>
      </c>
      <c r="X318" s="34">
        <f>22</f>
        <v>22</v>
      </c>
    </row>
  </sheetData>
  <mergeCells count="3">
    <mergeCell ref="N1:X3"/>
    <mergeCell ref="A2:M2"/>
    <mergeCell ref="A3:M3"/>
  </mergeCells>
  <phoneticPr fontId="3"/>
  <printOptions horizontalCentered="1"/>
  <pageMargins left="0.39370078740157483" right="0.39370078740157483" top="0.39370078740157483" bottom="0.59055118110236227" header="0.27559055118110237" footer="0.27559055118110237"/>
  <pageSetup paperSize="9" scale="38" fitToHeight="0" orientation="landscape" r:id="rId1"/>
  <headerFooter>
    <oddFooter>&amp;C&amp;P/&amp;N&amp;RCopyright (c) Tokyo Stock Exchange, Inc. All Rights Reserved.</oddFooter>
  </headerFooter>
  <customProperties>
    <customPr name="layoutContexts" r:id="rId2"/>
  </customPropertie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528C2A-86B6-47C2-908B-66210DEC5D15}">
  <sheetPr>
    <pageSetUpPr fitToPage="1"/>
  </sheetPr>
  <dimension ref="A1:X316"/>
  <sheetViews>
    <sheetView showGridLines="0" view="pageBreakPreview" zoomScaleNormal="70" zoomScaleSheetLayoutView="100" workbookViewId="0">
      <pane ySplit="6" topLeftCell="A7" activePane="bottomLeft" state="frozen"/>
      <selection activeCell="A2" sqref="A2:M2"/>
      <selection pane="bottomLeft"/>
    </sheetView>
  </sheetViews>
  <sheetFormatPr defaultColWidth="9" defaultRowHeight="13.5" customHeight="1" x14ac:dyDescent="0.4"/>
  <cols>
    <col min="1" max="1" width="13.125" style="3" bestFit="1" customWidth="1"/>
    <col min="2" max="2" width="10.75" style="3" bestFit="1" customWidth="1"/>
    <col min="3" max="4" width="27.625" style="3" customWidth="1"/>
    <col min="5" max="5" width="13.75" style="3" bestFit="1" customWidth="1"/>
    <col min="6" max="6" width="20.75" style="3" bestFit="1" customWidth="1"/>
    <col min="7" max="7" width="11.25" style="3" customWidth="1"/>
    <col min="8" max="8" width="8.75" style="3" bestFit="1" customWidth="1"/>
    <col min="9" max="9" width="11.75" style="3" bestFit="1" customWidth="1"/>
    <col min="10" max="10" width="12.625" style="3" bestFit="1" customWidth="1"/>
    <col min="11" max="11" width="16.25" style="3" customWidth="1"/>
    <col min="12" max="12" width="5.625" style="3" bestFit="1" customWidth="1"/>
    <col min="13" max="13" width="16.25" style="3" customWidth="1"/>
    <col min="14" max="14" width="5.625" style="3" bestFit="1" customWidth="1"/>
    <col min="15" max="15" width="16.25" style="3" customWidth="1"/>
    <col min="16" max="16" width="5.625" style="3" bestFit="1" customWidth="1"/>
    <col min="17" max="17" width="16.25" style="3" customWidth="1"/>
    <col min="18" max="18" width="5.625" style="3" bestFit="1" customWidth="1"/>
    <col min="19" max="19" width="23.875" style="3" bestFit="1" customWidth="1"/>
    <col min="20" max="20" width="16.25" style="3" customWidth="1"/>
    <col min="21" max="21" width="24.125" style="3" customWidth="1"/>
    <col min="22" max="22" width="19.875" style="3" bestFit="1" customWidth="1"/>
    <col min="23" max="23" width="25" style="3" bestFit="1" customWidth="1"/>
    <col min="24" max="24" width="13.125" style="3" bestFit="1" customWidth="1"/>
    <col min="25" max="16384" width="9" style="3"/>
  </cols>
  <sheetData>
    <row r="1" spans="1:24" ht="13.5" customHeight="1" x14ac:dyDescent="0.4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6" t="s">
        <v>0</v>
      </c>
      <c r="O1" s="36"/>
      <c r="P1" s="36"/>
      <c r="Q1" s="36"/>
      <c r="R1" s="36"/>
      <c r="S1" s="36"/>
      <c r="T1" s="36"/>
      <c r="U1" s="36"/>
      <c r="V1" s="36"/>
      <c r="W1" s="36"/>
      <c r="X1" s="37"/>
    </row>
    <row r="2" spans="1:24" ht="99" customHeight="1" x14ac:dyDescent="0.4">
      <c r="A2" s="42" t="s">
        <v>1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38"/>
      <c r="O2" s="38"/>
      <c r="P2" s="38"/>
      <c r="Q2" s="38"/>
      <c r="R2" s="38"/>
      <c r="S2" s="38"/>
      <c r="T2" s="38"/>
      <c r="U2" s="38"/>
      <c r="V2" s="38"/>
      <c r="W2" s="38"/>
      <c r="X2" s="39"/>
    </row>
    <row r="3" spans="1:24" ht="39" customHeight="1" x14ac:dyDescent="0.4">
      <c r="A3" s="44" t="s">
        <v>2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0"/>
      <c r="O3" s="40"/>
      <c r="P3" s="40"/>
      <c r="Q3" s="40"/>
      <c r="R3" s="40"/>
      <c r="S3" s="40"/>
      <c r="T3" s="40"/>
      <c r="U3" s="40"/>
      <c r="V3" s="40"/>
      <c r="W3" s="40"/>
      <c r="X3" s="41"/>
    </row>
    <row r="4" spans="1:24" s="10" customFormat="1" ht="13.5" customHeight="1" x14ac:dyDescent="0.4">
      <c r="A4" s="4" t="s">
        <v>3</v>
      </c>
      <c r="B4" s="4" t="s">
        <v>4</v>
      </c>
      <c r="C4" s="4"/>
      <c r="D4" s="4"/>
      <c r="E4" s="5"/>
      <c r="F4" s="6"/>
      <c r="G4" s="7" t="s">
        <v>5</v>
      </c>
      <c r="H4" s="4" t="s">
        <v>6</v>
      </c>
      <c r="I4" s="4" t="s">
        <v>7</v>
      </c>
      <c r="J4" s="4" t="s">
        <v>8</v>
      </c>
      <c r="K4" s="8" t="s">
        <v>9</v>
      </c>
      <c r="L4" s="7" t="s">
        <v>5</v>
      </c>
      <c r="M4" s="8" t="s">
        <v>10</v>
      </c>
      <c r="N4" s="7" t="s">
        <v>5</v>
      </c>
      <c r="O4" s="8" t="s">
        <v>11</v>
      </c>
      <c r="P4" s="7" t="s">
        <v>5</v>
      </c>
      <c r="Q4" s="8" t="s">
        <v>12</v>
      </c>
      <c r="R4" s="7" t="s">
        <v>5</v>
      </c>
      <c r="S4" s="4" t="s">
        <v>13</v>
      </c>
      <c r="T4" s="4" t="s">
        <v>14</v>
      </c>
      <c r="U4" s="9" t="s">
        <v>15</v>
      </c>
      <c r="V4" s="4" t="s">
        <v>16</v>
      </c>
      <c r="W4" s="4" t="s">
        <v>17</v>
      </c>
      <c r="X4" s="4" t="s">
        <v>18</v>
      </c>
    </row>
    <row r="5" spans="1:24" ht="13.5" customHeight="1" x14ac:dyDescent="0.4">
      <c r="A5" s="11" t="s">
        <v>19</v>
      </c>
      <c r="B5" s="11" t="s">
        <v>20</v>
      </c>
      <c r="C5" s="11" t="s">
        <v>21</v>
      </c>
      <c r="D5" s="11" t="s">
        <v>22</v>
      </c>
      <c r="E5" s="12" t="s">
        <v>23</v>
      </c>
      <c r="F5" s="13" t="s">
        <v>24</v>
      </c>
      <c r="G5" s="14" t="s">
        <v>25</v>
      </c>
      <c r="H5" s="15" t="s">
        <v>26</v>
      </c>
      <c r="I5" s="15" t="s">
        <v>27</v>
      </c>
      <c r="J5" s="15" t="s">
        <v>28</v>
      </c>
      <c r="K5" s="16" t="s">
        <v>29</v>
      </c>
      <c r="L5" s="14" t="s">
        <v>25</v>
      </c>
      <c r="M5" s="16" t="s">
        <v>30</v>
      </c>
      <c r="N5" s="14" t="s">
        <v>25</v>
      </c>
      <c r="O5" s="16" t="s">
        <v>31</v>
      </c>
      <c r="P5" s="14" t="s">
        <v>25</v>
      </c>
      <c r="Q5" s="16" t="s">
        <v>32</v>
      </c>
      <c r="R5" s="14" t="s">
        <v>25</v>
      </c>
      <c r="S5" s="17" t="s">
        <v>33</v>
      </c>
      <c r="T5" s="17" t="s">
        <v>34</v>
      </c>
      <c r="U5" s="11" t="s">
        <v>35</v>
      </c>
      <c r="V5" s="17" t="s">
        <v>36</v>
      </c>
      <c r="W5" s="17" t="s">
        <v>37</v>
      </c>
      <c r="X5" s="17" t="s">
        <v>38</v>
      </c>
    </row>
    <row r="6" spans="1:24" ht="13.5" customHeight="1" x14ac:dyDescent="0.15">
      <c r="A6" s="18"/>
      <c r="B6" s="18"/>
      <c r="C6" s="18"/>
      <c r="D6" s="18"/>
      <c r="E6" s="19"/>
      <c r="F6" s="20"/>
      <c r="G6" s="21"/>
      <c r="H6" s="22"/>
      <c r="I6" s="22"/>
      <c r="J6" s="22" t="s">
        <v>39</v>
      </c>
      <c r="K6" s="23" t="s">
        <v>40</v>
      </c>
      <c r="L6" s="24"/>
      <c r="M6" s="23" t="s">
        <v>40</v>
      </c>
      <c r="N6" s="24"/>
      <c r="O6" s="23" t="s">
        <v>40</v>
      </c>
      <c r="P6" s="24"/>
      <c r="Q6" s="23" t="s">
        <v>40</v>
      </c>
      <c r="R6" s="24"/>
      <c r="S6" s="23" t="s">
        <v>40</v>
      </c>
      <c r="T6" s="22" t="s">
        <v>41</v>
      </c>
      <c r="U6" s="22" t="s">
        <v>41</v>
      </c>
      <c r="V6" s="23" t="s">
        <v>40</v>
      </c>
      <c r="W6" s="23" t="s">
        <v>40</v>
      </c>
      <c r="X6" s="22"/>
    </row>
    <row r="7" spans="1:24" s="35" customFormat="1" ht="13.5" customHeight="1" x14ac:dyDescent="0.15">
      <c r="A7" s="25" t="s">
        <v>994</v>
      </c>
      <c r="B7" s="25" t="s">
        <v>42</v>
      </c>
      <c r="C7" s="25" t="s">
        <v>43</v>
      </c>
      <c r="D7" s="25" t="s">
        <v>44</v>
      </c>
      <c r="E7" s="26" t="s">
        <v>45</v>
      </c>
      <c r="F7" s="27" t="s">
        <v>45</v>
      </c>
      <c r="G7" s="28" t="s">
        <v>45</v>
      </c>
      <c r="H7" s="29"/>
      <c r="I7" s="29" t="s">
        <v>46</v>
      </c>
      <c r="J7" s="30">
        <v>10</v>
      </c>
      <c r="K7" s="31">
        <f>2097.5</f>
        <v>2097.5</v>
      </c>
      <c r="L7" s="32" t="s">
        <v>995</v>
      </c>
      <c r="M7" s="31">
        <f>2114</f>
        <v>2114</v>
      </c>
      <c r="N7" s="32" t="s">
        <v>876</v>
      </c>
      <c r="O7" s="31">
        <f>2069</f>
        <v>2069</v>
      </c>
      <c r="P7" s="32" t="s">
        <v>996</v>
      </c>
      <c r="Q7" s="31">
        <f>2104</f>
        <v>2104</v>
      </c>
      <c r="R7" s="32" t="s">
        <v>997</v>
      </c>
      <c r="S7" s="33">
        <f>2095.24</f>
        <v>2095.2399999999998</v>
      </c>
      <c r="T7" s="30">
        <f>3613870</f>
        <v>3613870</v>
      </c>
      <c r="U7" s="30">
        <f>541220</f>
        <v>541220</v>
      </c>
      <c r="V7" s="30">
        <f>7575665748</f>
        <v>7575665748</v>
      </c>
      <c r="W7" s="30">
        <f>1137413688</f>
        <v>1137413688</v>
      </c>
      <c r="X7" s="34">
        <f>19</f>
        <v>19</v>
      </c>
    </row>
    <row r="8" spans="1:24" ht="13.5" customHeight="1" x14ac:dyDescent="0.15">
      <c r="A8" s="25" t="s">
        <v>994</v>
      </c>
      <c r="B8" s="25" t="s">
        <v>47</v>
      </c>
      <c r="C8" s="25" t="s">
        <v>48</v>
      </c>
      <c r="D8" s="25" t="s">
        <v>49</v>
      </c>
      <c r="E8" s="26" t="s">
        <v>45</v>
      </c>
      <c r="F8" s="27" t="s">
        <v>45</v>
      </c>
      <c r="G8" s="28" t="s">
        <v>45</v>
      </c>
      <c r="H8" s="29"/>
      <c r="I8" s="29" t="s">
        <v>46</v>
      </c>
      <c r="J8" s="30">
        <v>10</v>
      </c>
      <c r="K8" s="31">
        <f>2075</f>
        <v>2075</v>
      </c>
      <c r="L8" s="32" t="s">
        <v>995</v>
      </c>
      <c r="M8" s="31">
        <f>2091.5</f>
        <v>2091.5</v>
      </c>
      <c r="N8" s="32" t="s">
        <v>998</v>
      </c>
      <c r="O8" s="31">
        <f>2046</f>
        <v>2046</v>
      </c>
      <c r="P8" s="32" t="s">
        <v>996</v>
      </c>
      <c r="Q8" s="31">
        <f>2080</f>
        <v>2080</v>
      </c>
      <c r="R8" s="32" t="s">
        <v>997</v>
      </c>
      <c r="S8" s="33">
        <f>2072.08</f>
        <v>2072.08</v>
      </c>
      <c r="T8" s="30">
        <f>24288380</f>
        <v>24288380</v>
      </c>
      <c r="U8" s="30">
        <f>3774430</f>
        <v>3774430</v>
      </c>
      <c r="V8" s="30">
        <f>50384236516</f>
        <v>50384236516</v>
      </c>
      <c r="W8" s="30">
        <f>7870161841</f>
        <v>7870161841</v>
      </c>
      <c r="X8" s="34">
        <f>19</f>
        <v>19</v>
      </c>
    </row>
    <row r="9" spans="1:24" ht="13.5" customHeight="1" x14ac:dyDescent="0.15">
      <c r="A9" s="25" t="s">
        <v>994</v>
      </c>
      <c r="B9" s="25" t="s">
        <v>50</v>
      </c>
      <c r="C9" s="25" t="s">
        <v>51</v>
      </c>
      <c r="D9" s="25" t="s">
        <v>52</v>
      </c>
      <c r="E9" s="26" t="s">
        <v>45</v>
      </c>
      <c r="F9" s="27" t="s">
        <v>45</v>
      </c>
      <c r="G9" s="28" t="s">
        <v>45</v>
      </c>
      <c r="H9" s="29"/>
      <c r="I9" s="29" t="s">
        <v>46</v>
      </c>
      <c r="J9" s="30">
        <v>100</v>
      </c>
      <c r="K9" s="31">
        <f>2050.5</f>
        <v>2050.5</v>
      </c>
      <c r="L9" s="32" t="s">
        <v>995</v>
      </c>
      <c r="M9" s="31">
        <f>2067</f>
        <v>2067</v>
      </c>
      <c r="N9" s="32" t="s">
        <v>998</v>
      </c>
      <c r="O9" s="31">
        <f>2023</f>
        <v>2023</v>
      </c>
      <c r="P9" s="32" t="s">
        <v>996</v>
      </c>
      <c r="Q9" s="31">
        <f>2057</f>
        <v>2057</v>
      </c>
      <c r="R9" s="32" t="s">
        <v>997</v>
      </c>
      <c r="S9" s="33">
        <f>2047.89</f>
        <v>2047.89</v>
      </c>
      <c r="T9" s="30">
        <f>2719900</f>
        <v>2719900</v>
      </c>
      <c r="U9" s="30">
        <f>350400</f>
        <v>350400</v>
      </c>
      <c r="V9" s="30">
        <f>5571570200</f>
        <v>5571570200</v>
      </c>
      <c r="W9" s="30">
        <f>718974900</f>
        <v>718974900</v>
      </c>
      <c r="X9" s="34">
        <f>19</f>
        <v>19</v>
      </c>
    </row>
    <row r="10" spans="1:24" ht="13.5" customHeight="1" x14ac:dyDescent="0.15">
      <c r="A10" s="25" t="s">
        <v>994</v>
      </c>
      <c r="B10" s="25" t="s">
        <v>53</v>
      </c>
      <c r="C10" s="25" t="s">
        <v>54</v>
      </c>
      <c r="D10" s="25" t="s">
        <v>55</v>
      </c>
      <c r="E10" s="26" t="s">
        <v>45</v>
      </c>
      <c r="F10" s="27" t="s">
        <v>45</v>
      </c>
      <c r="G10" s="28" t="s">
        <v>45</v>
      </c>
      <c r="H10" s="29"/>
      <c r="I10" s="29" t="s">
        <v>46</v>
      </c>
      <c r="J10" s="30">
        <v>1</v>
      </c>
      <c r="K10" s="31">
        <f>41600</f>
        <v>41600</v>
      </c>
      <c r="L10" s="32" t="s">
        <v>995</v>
      </c>
      <c r="M10" s="31">
        <f>42390</f>
        <v>42390</v>
      </c>
      <c r="N10" s="32" t="s">
        <v>999</v>
      </c>
      <c r="O10" s="31">
        <f>40320</f>
        <v>40320</v>
      </c>
      <c r="P10" s="32" t="s">
        <v>1000</v>
      </c>
      <c r="Q10" s="31">
        <f>40680</f>
        <v>40680</v>
      </c>
      <c r="R10" s="32" t="s">
        <v>997</v>
      </c>
      <c r="S10" s="33">
        <f>41053.68</f>
        <v>41053.68</v>
      </c>
      <c r="T10" s="30">
        <f>1888</f>
        <v>1888</v>
      </c>
      <c r="U10" s="30">
        <f>1</f>
        <v>1</v>
      </c>
      <c r="V10" s="30">
        <f>77756070</f>
        <v>77756070</v>
      </c>
      <c r="W10" s="30">
        <f>41450</f>
        <v>41450</v>
      </c>
      <c r="X10" s="34">
        <f>19</f>
        <v>19</v>
      </c>
    </row>
    <row r="11" spans="1:24" ht="13.5" customHeight="1" x14ac:dyDescent="0.15">
      <c r="A11" s="25" t="s">
        <v>994</v>
      </c>
      <c r="B11" s="25" t="s">
        <v>57</v>
      </c>
      <c r="C11" s="25" t="s">
        <v>58</v>
      </c>
      <c r="D11" s="25" t="s">
        <v>59</v>
      </c>
      <c r="E11" s="26" t="s">
        <v>45</v>
      </c>
      <c r="F11" s="27" t="s">
        <v>45</v>
      </c>
      <c r="G11" s="28" t="s">
        <v>45</v>
      </c>
      <c r="H11" s="29"/>
      <c r="I11" s="29" t="s">
        <v>46</v>
      </c>
      <c r="J11" s="30">
        <v>10</v>
      </c>
      <c r="K11" s="31">
        <f>976.4</f>
        <v>976.4</v>
      </c>
      <c r="L11" s="32" t="s">
        <v>995</v>
      </c>
      <c r="M11" s="31">
        <f>989.9</f>
        <v>989.9</v>
      </c>
      <c r="N11" s="32" t="s">
        <v>875</v>
      </c>
      <c r="O11" s="31">
        <f>955</f>
        <v>955</v>
      </c>
      <c r="P11" s="32" t="s">
        <v>996</v>
      </c>
      <c r="Q11" s="31">
        <f>971.2</f>
        <v>971.2</v>
      </c>
      <c r="R11" s="32" t="s">
        <v>997</v>
      </c>
      <c r="S11" s="33">
        <f>979.83</f>
        <v>979.83</v>
      </c>
      <c r="T11" s="30">
        <f>90960</f>
        <v>90960</v>
      </c>
      <c r="U11" s="30">
        <f>50</f>
        <v>50</v>
      </c>
      <c r="V11" s="30">
        <f>88910625</f>
        <v>88910625</v>
      </c>
      <c r="W11" s="30">
        <f>46977</f>
        <v>46977</v>
      </c>
      <c r="X11" s="34">
        <f>19</f>
        <v>19</v>
      </c>
    </row>
    <row r="12" spans="1:24" ht="13.5" customHeight="1" x14ac:dyDescent="0.15">
      <c r="A12" s="25" t="s">
        <v>994</v>
      </c>
      <c r="B12" s="25" t="s">
        <v>60</v>
      </c>
      <c r="C12" s="25" t="s">
        <v>61</v>
      </c>
      <c r="D12" s="25" t="s">
        <v>62</v>
      </c>
      <c r="E12" s="26" t="s">
        <v>45</v>
      </c>
      <c r="F12" s="27" t="s">
        <v>45</v>
      </c>
      <c r="G12" s="28" t="s">
        <v>45</v>
      </c>
      <c r="H12" s="29" t="s">
        <v>877</v>
      </c>
      <c r="I12" s="29"/>
      <c r="J12" s="30">
        <v>1</v>
      </c>
      <c r="K12" s="31">
        <f>20315</f>
        <v>20315</v>
      </c>
      <c r="L12" s="32" t="s">
        <v>995</v>
      </c>
      <c r="M12" s="31">
        <f>21000</f>
        <v>21000</v>
      </c>
      <c r="N12" s="32" t="s">
        <v>997</v>
      </c>
      <c r="O12" s="31">
        <f>20005</f>
        <v>20005</v>
      </c>
      <c r="P12" s="32" t="s">
        <v>56</v>
      </c>
      <c r="Q12" s="31">
        <f>21000</f>
        <v>21000</v>
      </c>
      <c r="R12" s="32" t="s">
        <v>997</v>
      </c>
      <c r="S12" s="33">
        <f>20422.63</f>
        <v>20422.63</v>
      </c>
      <c r="T12" s="30">
        <f>2963</f>
        <v>2963</v>
      </c>
      <c r="U12" s="30">
        <f>2</f>
        <v>2</v>
      </c>
      <c r="V12" s="30">
        <f>60484360</f>
        <v>60484360</v>
      </c>
      <c r="W12" s="30">
        <f>40720</f>
        <v>40720</v>
      </c>
      <c r="X12" s="34">
        <f>19</f>
        <v>19</v>
      </c>
    </row>
    <row r="13" spans="1:24" ht="13.5" customHeight="1" x14ac:dyDescent="0.15">
      <c r="A13" s="25" t="s">
        <v>994</v>
      </c>
      <c r="B13" s="25" t="s">
        <v>63</v>
      </c>
      <c r="C13" s="25" t="s">
        <v>64</v>
      </c>
      <c r="D13" s="25" t="s">
        <v>65</v>
      </c>
      <c r="E13" s="26" t="s">
        <v>45</v>
      </c>
      <c r="F13" s="27" t="s">
        <v>45</v>
      </c>
      <c r="G13" s="28" t="s">
        <v>45</v>
      </c>
      <c r="H13" s="29" t="s">
        <v>877</v>
      </c>
      <c r="I13" s="29"/>
      <c r="J13" s="30">
        <v>10</v>
      </c>
      <c r="K13" s="31">
        <f>3328</f>
        <v>3328</v>
      </c>
      <c r="L13" s="32" t="s">
        <v>995</v>
      </c>
      <c r="M13" s="31">
        <f>3415</f>
        <v>3415</v>
      </c>
      <c r="N13" s="32" t="s">
        <v>78</v>
      </c>
      <c r="O13" s="31">
        <f>2549</f>
        <v>2549</v>
      </c>
      <c r="P13" s="32" t="s">
        <v>793</v>
      </c>
      <c r="Q13" s="31">
        <f>3235</f>
        <v>3235</v>
      </c>
      <c r="R13" s="32" t="s">
        <v>997</v>
      </c>
      <c r="S13" s="33">
        <f>3311</f>
        <v>3311</v>
      </c>
      <c r="T13" s="30">
        <f>27930</f>
        <v>27930</v>
      </c>
      <c r="U13" s="30">
        <f>970</f>
        <v>970</v>
      </c>
      <c r="V13" s="30">
        <f>92688430</f>
        <v>92688430</v>
      </c>
      <c r="W13" s="30">
        <f>3113700</f>
        <v>3113700</v>
      </c>
      <c r="X13" s="34">
        <f>19</f>
        <v>19</v>
      </c>
    </row>
    <row r="14" spans="1:24" ht="13.5" customHeight="1" x14ac:dyDescent="0.15">
      <c r="A14" s="25" t="s">
        <v>994</v>
      </c>
      <c r="B14" s="25" t="s">
        <v>66</v>
      </c>
      <c r="C14" s="25" t="s">
        <v>67</v>
      </c>
      <c r="D14" s="25" t="s">
        <v>68</v>
      </c>
      <c r="E14" s="26" t="s">
        <v>45</v>
      </c>
      <c r="F14" s="27" t="s">
        <v>45</v>
      </c>
      <c r="G14" s="28" t="s">
        <v>45</v>
      </c>
      <c r="H14" s="29"/>
      <c r="I14" s="29" t="s">
        <v>46</v>
      </c>
      <c r="J14" s="30">
        <v>1000</v>
      </c>
      <c r="K14" s="31">
        <f>342.2</f>
        <v>342.2</v>
      </c>
      <c r="L14" s="32" t="s">
        <v>999</v>
      </c>
      <c r="M14" s="31">
        <f>349.3</f>
        <v>349.3</v>
      </c>
      <c r="N14" s="32" t="s">
        <v>255</v>
      </c>
      <c r="O14" s="31">
        <f>336.5</f>
        <v>336.5</v>
      </c>
      <c r="P14" s="32" t="s">
        <v>875</v>
      </c>
      <c r="Q14" s="31">
        <f>349.3</f>
        <v>349.3</v>
      </c>
      <c r="R14" s="32" t="s">
        <v>255</v>
      </c>
      <c r="S14" s="33">
        <f>339.44</f>
        <v>339.44</v>
      </c>
      <c r="T14" s="30">
        <f>74000</f>
        <v>74000</v>
      </c>
      <c r="U14" s="30" t="str">
        <f>"－"</f>
        <v>－</v>
      </c>
      <c r="V14" s="30">
        <f>25025100</f>
        <v>25025100</v>
      </c>
      <c r="W14" s="30" t="str">
        <f>"－"</f>
        <v>－</v>
      </c>
      <c r="X14" s="34">
        <f>11</f>
        <v>11</v>
      </c>
    </row>
    <row r="15" spans="1:24" ht="13.5" customHeight="1" x14ac:dyDescent="0.15">
      <c r="A15" s="25" t="s">
        <v>994</v>
      </c>
      <c r="B15" s="25" t="s">
        <v>69</v>
      </c>
      <c r="C15" s="25" t="s">
        <v>70</v>
      </c>
      <c r="D15" s="25" t="s">
        <v>71</v>
      </c>
      <c r="E15" s="26" t="s">
        <v>45</v>
      </c>
      <c r="F15" s="27" t="s">
        <v>45</v>
      </c>
      <c r="G15" s="28" t="s">
        <v>45</v>
      </c>
      <c r="H15" s="29"/>
      <c r="I15" s="29" t="s">
        <v>46</v>
      </c>
      <c r="J15" s="30">
        <v>1</v>
      </c>
      <c r="K15" s="31">
        <f>28370</f>
        <v>28370</v>
      </c>
      <c r="L15" s="32" t="s">
        <v>995</v>
      </c>
      <c r="M15" s="31">
        <f>28705</f>
        <v>28705</v>
      </c>
      <c r="N15" s="32" t="s">
        <v>78</v>
      </c>
      <c r="O15" s="31">
        <f>27900</f>
        <v>27900</v>
      </c>
      <c r="P15" s="32" t="s">
        <v>1001</v>
      </c>
      <c r="Q15" s="31">
        <f>28290</f>
        <v>28290</v>
      </c>
      <c r="R15" s="32" t="s">
        <v>997</v>
      </c>
      <c r="S15" s="33">
        <f>28372.89</f>
        <v>28372.89</v>
      </c>
      <c r="T15" s="30">
        <f>1373284</f>
        <v>1373284</v>
      </c>
      <c r="U15" s="30">
        <f>658801</f>
        <v>658801</v>
      </c>
      <c r="V15" s="30">
        <f>39043904686</f>
        <v>39043904686</v>
      </c>
      <c r="W15" s="30">
        <f>18749573836</f>
        <v>18749573836</v>
      </c>
      <c r="X15" s="34">
        <f>19</f>
        <v>19</v>
      </c>
    </row>
    <row r="16" spans="1:24" ht="13.5" customHeight="1" x14ac:dyDescent="0.15">
      <c r="A16" s="25" t="s">
        <v>994</v>
      </c>
      <c r="B16" s="25" t="s">
        <v>72</v>
      </c>
      <c r="C16" s="25" t="s">
        <v>73</v>
      </c>
      <c r="D16" s="25" t="s">
        <v>74</v>
      </c>
      <c r="E16" s="26" t="s">
        <v>45</v>
      </c>
      <c r="F16" s="27" t="s">
        <v>45</v>
      </c>
      <c r="G16" s="28" t="s">
        <v>45</v>
      </c>
      <c r="H16" s="29"/>
      <c r="I16" s="29" t="s">
        <v>46</v>
      </c>
      <c r="J16" s="30">
        <v>1</v>
      </c>
      <c r="K16" s="31">
        <f>28455</f>
        <v>28455</v>
      </c>
      <c r="L16" s="32" t="s">
        <v>995</v>
      </c>
      <c r="M16" s="31">
        <f>28790</f>
        <v>28790</v>
      </c>
      <c r="N16" s="32" t="s">
        <v>78</v>
      </c>
      <c r="O16" s="31">
        <f>27980</f>
        <v>27980</v>
      </c>
      <c r="P16" s="32" t="s">
        <v>1001</v>
      </c>
      <c r="Q16" s="31">
        <f>28385</f>
        <v>28385</v>
      </c>
      <c r="R16" s="32" t="s">
        <v>997</v>
      </c>
      <c r="S16" s="33">
        <f>28457.63</f>
        <v>28457.63</v>
      </c>
      <c r="T16" s="30">
        <f>4199034</f>
        <v>4199034</v>
      </c>
      <c r="U16" s="30">
        <f>120237</f>
        <v>120237</v>
      </c>
      <c r="V16" s="30">
        <f>119429808862</f>
        <v>119429808862</v>
      </c>
      <c r="W16" s="30">
        <f>3412092337</f>
        <v>3412092337</v>
      </c>
      <c r="X16" s="34">
        <f>19</f>
        <v>19</v>
      </c>
    </row>
    <row r="17" spans="1:24" ht="13.5" customHeight="1" x14ac:dyDescent="0.15">
      <c r="A17" s="25" t="s">
        <v>994</v>
      </c>
      <c r="B17" s="25" t="s">
        <v>75</v>
      </c>
      <c r="C17" s="25" t="s">
        <v>76</v>
      </c>
      <c r="D17" s="25" t="s">
        <v>77</v>
      </c>
      <c r="E17" s="26" t="s">
        <v>45</v>
      </c>
      <c r="F17" s="27" t="s">
        <v>45</v>
      </c>
      <c r="G17" s="28" t="s">
        <v>45</v>
      </c>
      <c r="H17" s="29"/>
      <c r="I17" s="29" t="s">
        <v>46</v>
      </c>
      <c r="J17" s="30">
        <v>10</v>
      </c>
      <c r="K17" s="31">
        <f>8150</f>
        <v>8150</v>
      </c>
      <c r="L17" s="32" t="s">
        <v>995</v>
      </c>
      <c r="M17" s="31">
        <f>8169</f>
        <v>8169</v>
      </c>
      <c r="N17" s="32" t="s">
        <v>999</v>
      </c>
      <c r="O17" s="31">
        <f>7794</f>
        <v>7794</v>
      </c>
      <c r="P17" s="32" t="s">
        <v>996</v>
      </c>
      <c r="Q17" s="31">
        <f>7952</f>
        <v>7952</v>
      </c>
      <c r="R17" s="32" t="s">
        <v>997</v>
      </c>
      <c r="S17" s="33">
        <f>7979.21</f>
        <v>7979.21</v>
      </c>
      <c r="T17" s="30">
        <f>5520</f>
        <v>5520</v>
      </c>
      <c r="U17" s="30" t="str">
        <f>"－"</f>
        <v>－</v>
      </c>
      <c r="V17" s="30">
        <f>43971960</f>
        <v>43971960</v>
      </c>
      <c r="W17" s="30" t="str">
        <f>"－"</f>
        <v>－</v>
      </c>
      <c r="X17" s="34">
        <f>19</f>
        <v>19</v>
      </c>
    </row>
    <row r="18" spans="1:24" ht="13.5" customHeight="1" x14ac:dyDescent="0.15">
      <c r="A18" s="25" t="s">
        <v>994</v>
      </c>
      <c r="B18" s="25" t="s">
        <v>79</v>
      </c>
      <c r="C18" s="25" t="s">
        <v>926</v>
      </c>
      <c r="D18" s="25" t="s">
        <v>927</v>
      </c>
      <c r="E18" s="26" t="s">
        <v>45</v>
      </c>
      <c r="F18" s="27" t="s">
        <v>45</v>
      </c>
      <c r="G18" s="28" t="s">
        <v>45</v>
      </c>
      <c r="H18" s="29"/>
      <c r="I18" s="29" t="s">
        <v>46</v>
      </c>
      <c r="J18" s="30">
        <v>100</v>
      </c>
      <c r="K18" s="31" t="str">
        <f>"－"</f>
        <v>－</v>
      </c>
      <c r="L18" s="32"/>
      <c r="M18" s="31" t="str">
        <f>"－"</f>
        <v>－</v>
      </c>
      <c r="N18" s="32"/>
      <c r="O18" s="31" t="str">
        <f>"－"</f>
        <v>－</v>
      </c>
      <c r="P18" s="32"/>
      <c r="Q18" s="31" t="str">
        <f>"－"</f>
        <v>－</v>
      </c>
      <c r="R18" s="32"/>
      <c r="S18" s="33" t="str">
        <f>"－"</f>
        <v>－</v>
      </c>
      <c r="T18" s="30" t="str">
        <f>"－"</f>
        <v>－</v>
      </c>
      <c r="U18" s="30" t="str">
        <f>"－"</f>
        <v>－</v>
      </c>
      <c r="V18" s="30" t="str">
        <f>"－"</f>
        <v>－</v>
      </c>
      <c r="W18" s="30" t="str">
        <f>"－"</f>
        <v>－</v>
      </c>
      <c r="X18" s="34" t="str">
        <f>"－"</f>
        <v>－</v>
      </c>
    </row>
    <row r="19" spans="1:24" ht="13.5" customHeight="1" x14ac:dyDescent="0.15">
      <c r="A19" s="25" t="s">
        <v>994</v>
      </c>
      <c r="B19" s="25" t="s">
        <v>81</v>
      </c>
      <c r="C19" s="25" t="s">
        <v>82</v>
      </c>
      <c r="D19" s="25" t="s">
        <v>83</v>
      </c>
      <c r="E19" s="26" t="s">
        <v>45</v>
      </c>
      <c r="F19" s="27" t="s">
        <v>45</v>
      </c>
      <c r="G19" s="28" t="s">
        <v>45</v>
      </c>
      <c r="H19" s="29"/>
      <c r="I19" s="29" t="s">
        <v>46</v>
      </c>
      <c r="J19" s="30">
        <v>100</v>
      </c>
      <c r="K19" s="31">
        <f>202.1</f>
        <v>202.1</v>
      </c>
      <c r="L19" s="32" t="s">
        <v>995</v>
      </c>
      <c r="M19" s="31">
        <f>206</f>
        <v>206</v>
      </c>
      <c r="N19" s="32" t="s">
        <v>793</v>
      </c>
      <c r="O19" s="31">
        <f>198</f>
        <v>198</v>
      </c>
      <c r="P19" s="32" t="s">
        <v>875</v>
      </c>
      <c r="Q19" s="31">
        <f>201.3</f>
        <v>201.3</v>
      </c>
      <c r="R19" s="32" t="s">
        <v>997</v>
      </c>
      <c r="S19" s="33">
        <f>200.21</f>
        <v>200.21</v>
      </c>
      <c r="T19" s="30">
        <f>251100</f>
        <v>251100</v>
      </c>
      <c r="U19" s="30" t="str">
        <f>"－"</f>
        <v>－</v>
      </c>
      <c r="V19" s="30">
        <f>50274460</f>
        <v>50274460</v>
      </c>
      <c r="W19" s="30" t="str">
        <f>"－"</f>
        <v>－</v>
      </c>
      <c r="X19" s="34">
        <f>19</f>
        <v>19</v>
      </c>
    </row>
    <row r="20" spans="1:24" ht="13.5" customHeight="1" x14ac:dyDescent="0.15">
      <c r="A20" s="25" t="s">
        <v>994</v>
      </c>
      <c r="B20" s="25" t="s">
        <v>84</v>
      </c>
      <c r="C20" s="25" t="s">
        <v>85</v>
      </c>
      <c r="D20" s="25" t="s">
        <v>86</v>
      </c>
      <c r="E20" s="26" t="s">
        <v>45</v>
      </c>
      <c r="F20" s="27" t="s">
        <v>45</v>
      </c>
      <c r="G20" s="28" t="s">
        <v>45</v>
      </c>
      <c r="H20" s="29"/>
      <c r="I20" s="29" t="s">
        <v>46</v>
      </c>
      <c r="J20" s="30">
        <v>1</v>
      </c>
      <c r="K20" s="31">
        <f>23390</f>
        <v>23390</v>
      </c>
      <c r="L20" s="32" t="s">
        <v>995</v>
      </c>
      <c r="M20" s="31">
        <f>23400</f>
        <v>23400</v>
      </c>
      <c r="N20" s="32" t="s">
        <v>999</v>
      </c>
      <c r="O20" s="31">
        <f>22690</f>
        <v>22690</v>
      </c>
      <c r="P20" s="32" t="s">
        <v>875</v>
      </c>
      <c r="Q20" s="31">
        <f>22990</f>
        <v>22990</v>
      </c>
      <c r="R20" s="32" t="s">
        <v>997</v>
      </c>
      <c r="S20" s="33">
        <f>22970.26</f>
        <v>22970.26</v>
      </c>
      <c r="T20" s="30">
        <f>81011</f>
        <v>81011</v>
      </c>
      <c r="U20" s="30" t="str">
        <f>"－"</f>
        <v>－</v>
      </c>
      <c r="V20" s="30">
        <f>1859014535</f>
        <v>1859014535</v>
      </c>
      <c r="W20" s="30" t="str">
        <f>"－"</f>
        <v>－</v>
      </c>
      <c r="X20" s="34">
        <f>19</f>
        <v>19</v>
      </c>
    </row>
    <row r="21" spans="1:24" ht="13.5" customHeight="1" x14ac:dyDescent="0.15">
      <c r="A21" s="25" t="s">
        <v>994</v>
      </c>
      <c r="B21" s="25" t="s">
        <v>87</v>
      </c>
      <c r="C21" s="25" t="s">
        <v>88</v>
      </c>
      <c r="D21" s="25" t="s">
        <v>89</v>
      </c>
      <c r="E21" s="26" t="s">
        <v>45</v>
      </c>
      <c r="F21" s="27" t="s">
        <v>45</v>
      </c>
      <c r="G21" s="28" t="s">
        <v>45</v>
      </c>
      <c r="H21" s="29"/>
      <c r="I21" s="29" t="s">
        <v>46</v>
      </c>
      <c r="J21" s="30">
        <v>10</v>
      </c>
      <c r="K21" s="31">
        <f>6204</f>
        <v>6204</v>
      </c>
      <c r="L21" s="32" t="s">
        <v>995</v>
      </c>
      <c r="M21" s="31">
        <f>6259</f>
        <v>6259</v>
      </c>
      <c r="N21" s="32" t="s">
        <v>999</v>
      </c>
      <c r="O21" s="31">
        <f>6070</f>
        <v>6070</v>
      </c>
      <c r="P21" s="32" t="s">
        <v>875</v>
      </c>
      <c r="Q21" s="31">
        <f>6146</f>
        <v>6146</v>
      </c>
      <c r="R21" s="32" t="s">
        <v>997</v>
      </c>
      <c r="S21" s="33">
        <f>6146.05</f>
        <v>6146.05</v>
      </c>
      <c r="T21" s="30">
        <f>93540</f>
        <v>93540</v>
      </c>
      <c r="U21" s="30">
        <f>90</f>
        <v>90</v>
      </c>
      <c r="V21" s="30">
        <f>574803120</f>
        <v>574803120</v>
      </c>
      <c r="W21" s="30">
        <f>552330</f>
        <v>552330</v>
      </c>
      <c r="X21" s="34">
        <f>19</f>
        <v>19</v>
      </c>
    </row>
    <row r="22" spans="1:24" ht="13.5" customHeight="1" x14ac:dyDescent="0.15">
      <c r="A22" s="25" t="s">
        <v>994</v>
      </c>
      <c r="B22" s="25" t="s">
        <v>90</v>
      </c>
      <c r="C22" s="25" t="s">
        <v>91</v>
      </c>
      <c r="D22" s="25" t="s">
        <v>92</v>
      </c>
      <c r="E22" s="26" t="s">
        <v>45</v>
      </c>
      <c r="F22" s="27" t="s">
        <v>45</v>
      </c>
      <c r="G22" s="28" t="s">
        <v>45</v>
      </c>
      <c r="H22" s="29"/>
      <c r="I22" s="29" t="s">
        <v>46</v>
      </c>
      <c r="J22" s="30">
        <v>1</v>
      </c>
      <c r="K22" s="31">
        <f>28615</f>
        <v>28615</v>
      </c>
      <c r="L22" s="32" t="s">
        <v>995</v>
      </c>
      <c r="M22" s="31">
        <f>28970</f>
        <v>28970</v>
      </c>
      <c r="N22" s="32" t="s">
        <v>78</v>
      </c>
      <c r="O22" s="31">
        <f>27875</f>
        <v>27875</v>
      </c>
      <c r="P22" s="32" t="s">
        <v>1001</v>
      </c>
      <c r="Q22" s="31">
        <f>28295</f>
        <v>28295</v>
      </c>
      <c r="R22" s="32" t="s">
        <v>997</v>
      </c>
      <c r="S22" s="33">
        <f>28425</f>
        <v>28425</v>
      </c>
      <c r="T22" s="30">
        <f>378155</f>
        <v>378155</v>
      </c>
      <c r="U22" s="30">
        <f>98340</f>
        <v>98340</v>
      </c>
      <c r="V22" s="30">
        <f>10770558721</f>
        <v>10770558721</v>
      </c>
      <c r="W22" s="30">
        <f>2793662381</f>
        <v>2793662381</v>
      </c>
      <c r="X22" s="34">
        <f>19</f>
        <v>19</v>
      </c>
    </row>
    <row r="23" spans="1:24" ht="13.5" customHeight="1" x14ac:dyDescent="0.15">
      <c r="A23" s="25" t="s">
        <v>994</v>
      </c>
      <c r="B23" s="25" t="s">
        <v>93</v>
      </c>
      <c r="C23" s="25" t="s">
        <v>94</v>
      </c>
      <c r="D23" s="25" t="s">
        <v>95</v>
      </c>
      <c r="E23" s="26" t="s">
        <v>45</v>
      </c>
      <c r="F23" s="27" t="s">
        <v>45</v>
      </c>
      <c r="G23" s="28" t="s">
        <v>45</v>
      </c>
      <c r="H23" s="29"/>
      <c r="I23" s="29" t="s">
        <v>46</v>
      </c>
      <c r="J23" s="30">
        <v>10</v>
      </c>
      <c r="K23" s="31">
        <f>28475</f>
        <v>28475</v>
      </c>
      <c r="L23" s="32" t="s">
        <v>995</v>
      </c>
      <c r="M23" s="31">
        <f>28815</f>
        <v>28815</v>
      </c>
      <c r="N23" s="32" t="s">
        <v>78</v>
      </c>
      <c r="O23" s="31">
        <f>28005</f>
        <v>28005</v>
      </c>
      <c r="P23" s="32" t="s">
        <v>1001</v>
      </c>
      <c r="Q23" s="31">
        <f>28405</f>
        <v>28405</v>
      </c>
      <c r="R23" s="32" t="s">
        <v>997</v>
      </c>
      <c r="S23" s="33">
        <f>28483.42</f>
        <v>28483.42</v>
      </c>
      <c r="T23" s="30">
        <f>506180</f>
        <v>506180</v>
      </c>
      <c r="U23" s="30">
        <f>54500</f>
        <v>54500</v>
      </c>
      <c r="V23" s="30">
        <f>14406796825</f>
        <v>14406796825</v>
      </c>
      <c r="W23" s="30">
        <f>1551903075</f>
        <v>1551903075</v>
      </c>
      <c r="X23" s="34">
        <f>19</f>
        <v>19</v>
      </c>
    </row>
    <row r="24" spans="1:24" ht="13.5" customHeight="1" x14ac:dyDescent="0.15">
      <c r="A24" s="25" t="s">
        <v>994</v>
      </c>
      <c r="B24" s="25" t="s">
        <v>96</v>
      </c>
      <c r="C24" s="25" t="s">
        <v>97</v>
      </c>
      <c r="D24" s="25" t="s">
        <v>98</v>
      </c>
      <c r="E24" s="26" t="s">
        <v>45</v>
      </c>
      <c r="F24" s="27" t="s">
        <v>45</v>
      </c>
      <c r="G24" s="28" t="s">
        <v>45</v>
      </c>
      <c r="H24" s="29"/>
      <c r="I24" s="29" t="s">
        <v>46</v>
      </c>
      <c r="J24" s="30">
        <v>10</v>
      </c>
      <c r="K24" s="31">
        <f>1982</f>
        <v>1982</v>
      </c>
      <c r="L24" s="32" t="s">
        <v>995</v>
      </c>
      <c r="M24" s="31">
        <f>1998.5</f>
        <v>1998.5</v>
      </c>
      <c r="N24" s="32" t="s">
        <v>1000</v>
      </c>
      <c r="O24" s="31">
        <f>1937.5</f>
        <v>1937.5</v>
      </c>
      <c r="P24" s="32" t="s">
        <v>1002</v>
      </c>
      <c r="Q24" s="31">
        <f>1985.5</f>
        <v>1985.5</v>
      </c>
      <c r="R24" s="32" t="s">
        <v>997</v>
      </c>
      <c r="S24" s="33">
        <f>1968.53</f>
        <v>1968.53</v>
      </c>
      <c r="T24" s="30">
        <f>7238730</f>
        <v>7238730</v>
      </c>
      <c r="U24" s="30">
        <f>1761390</f>
        <v>1761390</v>
      </c>
      <c r="V24" s="30">
        <f>14259105064</f>
        <v>14259105064</v>
      </c>
      <c r="W24" s="30">
        <f>3466603334</f>
        <v>3466603334</v>
      </c>
      <c r="X24" s="34">
        <f>19</f>
        <v>19</v>
      </c>
    </row>
    <row r="25" spans="1:24" ht="13.5" customHeight="1" x14ac:dyDescent="0.15">
      <c r="A25" s="25" t="s">
        <v>994</v>
      </c>
      <c r="B25" s="25" t="s">
        <v>99</v>
      </c>
      <c r="C25" s="25" t="s">
        <v>100</v>
      </c>
      <c r="D25" s="25" t="s">
        <v>101</v>
      </c>
      <c r="E25" s="26" t="s">
        <v>45</v>
      </c>
      <c r="F25" s="27" t="s">
        <v>45</v>
      </c>
      <c r="G25" s="28" t="s">
        <v>45</v>
      </c>
      <c r="H25" s="29"/>
      <c r="I25" s="29" t="s">
        <v>46</v>
      </c>
      <c r="J25" s="30">
        <v>100</v>
      </c>
      <c r="K25" s="31">
        <f>1865</f>
        <v>1865</v>
      </c>
      <c r="L25" s="32" t="s">
        <v>995</v>
      </c>
      <c r="M25" s="31">
        <f>1888</f>
        <v>1888</v>
      </c>
      <c r="N25" s="32" t="s">
        <v>997</v>
      </c>
      <c r="O25" s="31">
        <f>1834.5</f>
        <v>1834.5</v>
      </c>
      <c r="P25" s="32" t="s">
        <v>1002</v>
      </c>
      <c r="Q25" s="31">
        <f>1880.5</f>
        <v>1880.5</v>
      </c>
      <c r="R25" s="32" t="s">
        <v>997</v>
      </c>
      <c r="S25" s="33">
        <f>1858.21</f>
        <v>1858.21</v>
      </c>
      <c r="T25" s="30">
        <f>681600</f>
        <v>681600</v>
      </c>
      <c r="U25" s="30">
        <f>9100</f>
        <v>9100</v>
      </c>
      <c r="V25" s="30">
        <f>1265176446</f>
        <v>1265176446</v>
      </c>
      <c r="W25" s="30">
        <f>16887696</f>
        <v>16887696</v>
      </c>
      <c r="X25" s="34">
        <f>19</f>
        <v>19</v>
      </c>
    </row>
    <row r="26" spans="1:24" ht="13.5" customHeight="1" x14ac:dyDescent="0.15">
      <c r="A26" s="25" t="s">
        <v>994</v>
      </c>
      <c r="B26" s="25" t="s">
        <v>102</v>
      </c>
      <c r="C26" s="25" t="s">
        <v>103</v>
      </c>
      <c r="D26" s="25" t="s">
        <v>104</v>
      </c>
      <c r="E26" s="26" t="s">
        <v>45</v>
      </c>
      <c r="F26" s="27" t="s">
        <v>45</v>
      </c>
      <c r="G26" s="28" t="s">
        <v>45</v>
      </c>
      <c r="H26" s="29"/>
      <c r="I26" s="29" t="s">
        <v>46</v>
      </c>
      <c r="J26" s="30">
        <v>1</v>
      </c>
      <c r="K26" s="31">
        <f>28295</f>
        <v>28295</v>
      </c>
      <c r="L26" s="32" t="s">
        <v>995</v>
      </c>
      <c r="M26" s="31">
        <f>28630</f>
        <v>28630</v>
      </c>
      <c r="N26" s="32" t="s">
        <v>78</v>
      </c>
      <c r="O26" s="31">
        <f>27825</f>
        <v>27825</v>
      </c>
      <c r="P26" s="32" t="s">
        <v>1001</v>
      </c>
      <c r="Q26" s="31">
        <f>28225</f>
        <v>28225</v>
      </c>
      <c r="R26" s="32" t="s">
        <v>997</v>
      </c>
      <c r="S26" s="33">
        <f>28301.84</f>
        <v>28301.84</v>
      </c>
      <c r="T26" s="30">
        <f>1211144</f>
        <v>1211144</v>
      </c>
      <c r="U26" s="30">
        <f>850609</f>
        <v>850609</v>
      </c>
      <c r="V26" s="30">
        <f>34329347473</f>
        <v>34329347473</v>
      </c>
      <c r="W26" s="30">
        <f>24104548008</f>
        <v>24104548008</v>
      </c>
      <c r="X26" s="34">
        <f>19</f>
        <v>19</v>
      </c>
    </row>
    <row r="27" spans="1:24" ht="13.5" customHeight="1" x14ac:dyDescent="0.15">
      <c r="A27" s="25" t="s">
        <v>994</v>
      </c>
      <c r="B27" s="25" t="s">
        <v>105</v>
      </c>
      <c r="C27" s="25" t="s">
        <v>106</v>
      </c>
      <c r="D27" s="25" t="s">
        <v>107</v>
      </c>
      <c r="E27" s="26" t="s">
        <v>45</v>
      </c>
      <c r="F27" s="27" t="s">
        <v>45</v>
      </c>
      <c r="G27" s="28" t="s">
        <v>45</v>
      </c>
      <c r="H27" s="29"/>
      <c r="I27" s="29" t="s">
        <v>46</v>
      </c>
      <c r="J27" s="30">
        <v>10</v>
      </c>
      <c r="K27" s="31">
        <f>2051.5</f>
        <v>2051.5</v>
      </c>
      <c r="L27" s="32" t="s">
        <v>995</v>
      </c>
      <c r="M27" s="31">
        <f>2068.5</f>
        <v>2068.5</v>
      </c>
      <c r="N27" s="32" t="s">
        <v>998</v>
      </c>
      <c r="O27" s="31">
        <f>2024</f>
        <v>2024</v>
      </c>
      <c r="P27" s="32" t="s">
        <v>996</v>
      </c>
      <c r="Q27" s="31">
        <f>2056.5</f>
        <v>2056.5</v>
      </c>
      <c r="R27" s="32" t="s">
        <v>997</v>
      </c>
      <c r="S27" s="33">
        <f>2048.95</f>
        <v>2048.9499999999998</v>
      </c>
      <c r="T27" s="30">
        <f>12065260</f>
        <v>12065260</v>
      </c>
      <c r="U27" s="30">
        <f>10714700</f>
        <v>10714700</v>
      </c>
      <c r="V27" s="30">
        <f>24727939520</f>
        <v>24727939520</v>
      </c>
      <c r="W27" s="30">
        <f>21961754580</f>
        <v>21961754580</v>
      </c>
      <c r="X27" s="34">
        <f>19</f>
        <v>19</v>
      </c>
    </row>
    <row r="28" spans="1:24" ht="13.5" customHeight="1" x14ac:dyDescent="0.15">
      <c r="A28" s="25" t="s">
        <v>994</v>
      </c>
      <c r="B28" s="25" t="s">
        <v>108</v>
      </c>
      <c r="C28" s="25" t="s">
        <v>109</v>
      </c>
      <c r="D28" s="25" t="s">
        <v>110</v>
      </c>
      <c r="E28" s="26" t="s">
        <v>45</v>
      </c>
      <c r="F28" s="27" t="s">
        <v>45</v>
      </c>
      <c r="G28" s="28" t="s">
        <v>45</v>
      </c>
      <c r="H28" s="29"/>
      <c r="I28" s="29" t="s">
        <v>46</v>
      </c>
      <c r="J28" s="30">
        <v>1</v>
      </c>
      <c r="K28" s="31">
        <f>14695</f>
        <v>14695</v>
      </c>
      <c r="L28" s="32" t="s">
        <v>999</v>
      </c>
      <c r="M28" s="31">
        <f>14695</f>
        <v>14695</v>
      </c>
      <c r="N28" s="32" t="s">
        <v>999</v>
      </c>
      <c r="O28" s="31">
        <f>14395</f>
        <v>14395</v>
      </c>
      <c r="P28" s="32" t="s">
        <v>875</v>
      </c>
      <c r="Q28" s="31">
        <f>14595</f>
        <v>14595</v>
      </c>
      <c r="R28" s="32" t="s">
        <v>997</v>
      </c>
      <c r="S28" s="33">
        <f>14557.19</f>
        <v>14557.19</v>
      </c>
      <c r="T28" s="30">
        <f>264</f>
        <v>264</v>
      </c>
      <c r="U28" s="30" t="str">
        <f>"－"</f>
        <v>－</v>
      </c>
      <c r="V28" s="30">
        <f>3834640</f>
        <v>3834640</v>
      </c>
      <c r="W28" s="30" t="str">
        <f>"－"</f>
        <v>－</v>
      </c>
      <c r="X28" s="34">
        <f>16</f>
        <v>16</v>
      </c>
    </row>
    <row r="29" spans="1:24" ht="13.5" customHeight="1" x14ac:dyDescent="0.15">
      <c r="A29" s="25" t="s">
        <v>994</v>
      </c>
      <c r="B29" s="25" t="s">
        <v>111</v>
      </c>
      <c r="C29" s="25" t="s">
        <v>112</v>
      </c>
      <c r="D29" s="25" t="s">
        <v>113</v>
      </c>
      <c r="E29" s="26" t="s">
        <v>45</v>
      </c>
      <c r="F29" s="27" t="s">
        <v>45</v>
      </c>
      <c r="G29" s="28" t="s">
        <v>45</v>
      </c>
      <c r="H29" s="29"/>
      <c r="I29" s="29" t="s">
        <v>46</v>
      </c>
      <c r="J29" s="30">
        <v>10</v>
      </c>
      <c r="K29" s="31">
        <f>863.6</f>
        <v>863.6</v>
      </c>
      <c r="L29" s="32" t="s">
        <v>995</v>
      </c>
      <c r="M29" s="31">
        <f>887.4</f>
        <v>887.4</v>
      </c>
      <c r="N29" s="32" t="s">
        <v>996</v>
      </c>
      <c r="O29" s="31">
        <f>848.3</f>
        <v>848.3</v>
      </c>
      <c r="P29" s="32" t="s">
        <v>998</v>
      </c>
      <c r="Q29" s="31">
        <f>856.5</f>
        <v>856.5</v>
      </c>
      <c r="R29" s="32" t="s">
        <v>997</v>
      </c>
      <c r="S29" s="33">
        <f>864.68</f>
        <v>864.68</v>
      </c>
      <c r="T29" s="30">
        <f>6099610</f>
        <v>6099610</v>
      </c>
      <c r="U29" s="30">
        <f>20</f>
        <v>20</v>
      </c>
      <c r="V29" s="30">
        <f>5278948293</f>
        <v>5278948293</v>
      </c>
      <c r="W29" s="30">
        <f>17592</f>
        <v>17592</v>
      </c>
      <c r="X29" s="34">
        <f>19</f>
        <v>19</v>
      </c>
    </row>
    <row r="30" spans="1:24" ht="13.5" customHeight="1" x14ac:dyDescent="0.15">
      <c r="A30" s="25" t="s">
        <v>994</v>
      </c>
      <c r="B30" s="25" t="s">
        <v>114</v>
      </c>
      <c r="C30" s="25" t="s">
        <v>115</v>
      </c>
      <c r="D30" s="25" t="s">
        <v>116</v>
      </c>
      <c r="E30" s="26" t="s">
        <v>45</v>
      </c>
      <c r="F30" s="27" t="s">
        <v>45</v>
      </c>
      <c r="G30" s="28" t="s">
        <v>45</v>
      </c>
      <c r="H30" s="29"/>
      <c r="I30" s="29" t="s">
        <v>46</v>
      </c>
      <c r="J30" s="30">
        <v>1</v>
      </c>
      <c r="K30" s="31">
        <f>349</f>
        <v>349</v>
      </c>
      <c r="L30" s="32" t="s">
        <v>995</v>
      </c>
      <c r="M30" s="31">
        <f>360</f>
        <v>360</v>
      </c>
      <c r="N30" s="32" t="s">
        <v>1001</v>
      </c>
      <c r="O30" s="31">
        <f>340</f>
        <v>340</v>
      </c>
      <c r="P30" s="32" t="s">
        <v>78</v>
      </c>
      <c r="Q30" s="31">
        <f>350</f>
        <v>350</v>
      </c>
      <c r="R30" s="32" t="s">
        <v>997</v>
      </c>
      <c r="S30" s="33">
        <f>348.21</f>
        <v>348.21</v>
      </c>
      <c r="T30" s="30">
        <f>947426558</f>
        <v>947426558</v>
      </c>
      <c r="U30" s="30">
        <f>707931</f>
        <v>707931</v>
      </c>
      <c r="V30" s="30">
        <f>329895990770</f>
        <v>329895990770</v>
      </c>
      <c r="W30" s="30">
        <f>247633589</f>
        <v>247633589</v>
      </c>
      <c r="X30" s="34">
        <f>19</f>
        <v>19</v>
      </c>
    </row>
    <row r="31" spans="1:24" ht="13.5" customHeight="1" x14ac:dyDescent="0.15">
      <c r="A31" s="25" t="s">
        <v>994</v>
      </c>
      <c r="B31" s="25" t="s">
        <v>117</v>
      </c>
      <c r="C31" s="25" t="s">
        <v>118</v>
      </c>
      <c r="D31" s="25" t="s">
        <v>119</v>
      </c>
      <c r="E31" s="26" t="s">
        <v>45</v>
      </c>
      <c r="F31" s="27" t="s">
        <v>45</v>
      </c>
      <c r="G31" s="28" t="s">
        <v>45</v>
      </c>
      <c r="H31" s="29"/>
      <c r="I31" s="29" t="s">
        <v>46</v>
      </c>
      <c r="J31" s="30">
        <v>1</v>
      </c>
      <c r="K31" s="31">
        <f>26240</f>
        <v>26240</v>
      </c>
      <c r="L31" s="32" t="s">
        <v>995</v>
      </c>
      <c r="M31" s="31">
        <f>26855</f>
        <v>26855</v>
      </c>
      <c r="N31" s="32" t="s">
        <v>78</v>
      </c>
      <c r="O31" s="31">
        <f>25380</f>
        <v>25380</v>
      </c>
      <c r="P31" s="32" t="s">
        <v>1001</v>
      </c>
      <c r="Q31" s="31">
        <f>26130</f>
        <v>26130</v>
      </c>
      <c r="R31" s="32" t="s">
        <v>997</v>
      </c>
      <c r="S31" s="33">
        <f>26250.79</f>
        <v>26250.79</v>
      </c>
      <c r="T31" s="30">
        <f>279996</f>
        <v>279996</v>
      </c>
      <c r="U31" s="30">
        <f>2</f>
        <v>2</v>
      </c>
      <c r="V31" s="30">
        <f>7350171220</f>
        <v>7350171220</v>
      </c>
      <c r="W31" s="30">
        <f>52840</f>
        <v>52840</v>
      </c>
      <c r="X31" s="34">
        <f>19</f>
        <v>19</v>
      </c>
    </row>
    <row r="32" spans="1:24" ht="13.5" customHeight="1" x14ac:dyDescent="0.15">
      <c r="A32" s="25" t="s">
        <v>994</v>
      </c>
      <c r="B32" s="25" t="s">
        <v>120</v>
      </c>
      <c r="C32" s="25" t="s">
        <v>121</v>
      </c>
      <c r="D32" s="25" t="s">
        <v>122</v>
      </c>
      <c r="E32" s="26" t="s">
        <v>45</v>
      </c>
      <c r="F32" s="27" t="s">
        <v>45</v>
      </c>
      <c r="G32" s="28" t="s">
        <v>45</v>
      </c>
      <c r="H32" s="29"/>
      <c r="I32" s="29" t="s">
        <v>46</v>
      </c>
      <c r="J32" s="30">
        <v>10</v>
      </c>
      <c r="K32" s="31">
        <f>853.4</f>
        <v>853.4</v>
      </c>
      <c r="L32" s="32" t="s">
        <v>995</v>
      </c>
      <c r="M32" s="31">
        <f>879.8</f>
        <v>879.8</v>
      </c>
      <c r="N32" s="32" t="s">
        <v>1001</v>
      </c>
      <c r="O32" s="31">
        <f>832.5</f>
        <v>832.5</v>
      </c>
      <c r="P32" s="32" t="s">
        <v>78</v>
      </c>
      <c r="Q32" s="31">
        <f>853.9</f>
        <v>853.9</v>
      </c>
      <c r="R32" s="32" t="s">
        <v>997</v>
      </c>
      <c r="S32" s="33">
        <f>851.44</f>
        <v>851.44</v>
      </c>
      <c r="T32" s="30">
        <f>185943530</f>
        <v>185943530</v>
      </c>
      <c r="U32" s="30">
        <f>1006040</f>
        <v>1006040</v>
      </c>
      <c r="V32" s="30">
        <f>158390109109</f>
        <v>158390109109</v>
      </c>
      <c r="W32" s="30">
        <f>857423810</f>
        <v>857423810</v>
      </c>
      <c r="X32" s="34">
        <f>19</f>
        <v>19</v>
      </c>
    </row>
    <row r="33" spans="1:24" ht="13.5" customHeight="1" x14ac:dyDescent="0.15">
      <c r="A33" s="25" t="s">
        <v>994</v>
      </c>
      <c r="B33" s="25" t="s">
        <v>123</v>
      </c>
      <c r="C33" s="25" t="s">
        <v>124</v>
      </c>
      <c r="D33" s="25" t="s">
        <v>125</v>
      </c>
      <c r="E33" s="26" t="s">
        <v>45</v>
      </c>
      <c r="F33" s="27" t="s">
        <v>45</v>
      </c>
      <c r="G33" s="28" t="s">
        <v>45</v>
      </c>
      <c r="H33" s="29"/>
      <c r="I33" s="29" t="s">
        <v>46</v>
      </c>
      <c r="J33" s="30">
        <v>1</v>
      </c>
      <c r="K33" s="31">
        <f>18285</f>
        <v>18285</v>
      </c>
      <c r="L33" s="32" t="s">
        <v>995</v>
      </c>
      <c r="M33" s="31">
        <f>18500</f>
        <v>18500</v>
      </c>
      <c r="N33" s="32" t="s">
        <v>1003</v>
      </c>
      <c r="O33" s="31">
        <f>18105</f>
        <v>18105</v>
      </c>
      <c r="P33" s="32" t="s">
        <v>56</v>
      </c>
      <c r="Q33" s="31">
        <f>18335</f>
        <v>18335</v>
      </c>
      <c r="R33" s="32" t="s">
        <v>997</v>
      </c>
      <c r="S33" s="33">
        <f>18288.42</f>
        <v>18288.419999999998</v>
      </c>
      <c r="T33" s="30">
        <f>4781</f>
        <v>4781</v>
      </c>
      <c r="U33" s="30">
        <f>4</f>
        <v>4</v>
      </c>
      <c r="V33" s="30">
        <f>87498975</f>
        <v>87498975</v>
      </c>
      <c r="W33" s="30">
        <f>72980</f>
        <v>72980</v>
      </c>
      <c r="X33" s="34">
        <f>19</f>
        <v>19</v>
      </c>
    </row>
    <row r="34" spans="1:24" ht="13.5" customHeight="1" x14ac:dyDescent="0.15">
      <c r="A34" s="25" t="s">
        <v>994</v>
      </c>
      <c r="B34" s="25" t="s">
        <v>126</v>
      </c>
      <c r="C34" s="25" t="s">
        <v>127</v>
      </c>
      <c r="D34" s="25" t="s">
        <v>128</v>
      </c>
      <c r="E34" s="26" t="s">
        <v>45</v>
      </c>
      <c r="F34" s="27" t="s">
        <v>45</v>
      </c>
      <c r="G34" s="28" t="s">
        <v>45</v>
      </c>
      <c r="H34" s="29"/>
      <c r="I34" s="29" t="s">
        <v>46</v>
      </c>
      <c r="J34" s="30">
        <v>1</v>
      </c>
      <c r="K34" s="31">
        <f>21835</f>
        <v>21835</v>
      </c>
      <c r="L34" s="32" t="s">
        <v>995</v>
      </c>
      <c r="M34" s="31">
        <f>22360</f>
        <v>22360</v>
      </c>
      <c r="N34" s="32" t="s">
        <v>78</v>
      </c>
      <c r="O34" s="31">
        <f>21105</f>
        <v>21105</v>
      </c>
      <c r="P34" s="32" t="s">
        <v>1001</v>
      </c>
      <c r="Q34" s="31">
        <f>21720</f>
        <v>21720</v>
      </c>
      <c r="R34" s="32" t="s">
        <v>997</v>
      </c>
      <c r="S34" s="33">
        <f>21836.58</f>
        <v>21836.58</v>
      </c>
      <c r="T34" s="30">
        <f>487268</f>
        <v>487268</v>
      </c>
      <c r="U34" s="30">
        <f>3</f>
        <v>3</v>
      </c>
      <c r="V34" s="30">
        <f>10637317755</f>
        <v>10637317755</v>
      </c>
      <c r="W34" s="30">
        <f>65160</f>
        <v>65160</v>
      </c>
      <c r="X34" s="34">
        <f>19</f>
        <v>19</v>
      </c>
    </row>
    <row r="35" spans="1:24" ht="13.5" customHeight="1" x14ac:dyDescent="0.15">
      <c r="A35" s="25" t="s">
        <v>994</v>
      </c>
      <c r="B35" s="25" t="s">
        <v>129</v>
      </c>
      <c r="C35" s="25" t="s">
        <v>130</v>
      </c>
      <c r="D35" s="25" t="s">
        <v>131</v>
      </c>
      <c r="E35" s="26" t="s">
        <v>45</v>
      </c>
      <c r="F35" s="27" t="s">
        <v>45</v>
      </c>
      <c r="G35" s="28" t="s">
        <v>45</v>
      </c>
      <c r="H35" s="29"/>
      <c r="I35" s="29" t="s">
        <v>46</v>
      </c>
      <c r="J35" s="30">
        <v>1</v>
      </c>
      <c r="K35" s="31">
        <f>909</f>
        <v>909</v>
      </c>
      <c r="L35" s="32" t="s">
        <v>995</v>
      </c>
      <c r="M35" s="31">
        <f>938</f>
        <v>938</v>
      </c>
      <c r="N35" s="32" t="s">
        <v>1001</v>
      </c>
      <c r="O35" s="31">
        <f>887</f>
        <v>887</v>
      </c>
      <c r="P35" s="32" t="s">
        <v>78</v>
      </c>
      <c r="Q35" s="31">
        <f>909</f>
        <v>909</v>
      </c>
      <c r="R35" s="32" t="s">
        <v>997</v>
      </c>
      <c r="S35" s="33">
        <f>907.32</f>
        <v>907.32</v>
      </c>
      <c r="T35" s="30">
        <f>12222407</f>
        <v>12222407</v>
      </c>
      <c r="U35" s="30">
        <f>102</f>
        <v>102</v>
      </c>
      <c r="V35" s="30">
        <f>11102420737</f>
        <v>11102420737</v>
      </c>
      <c r="W35" s="30">
        <f>92016</f>
        <v>92016</v>
      </c>
      <c r="X35" s="34">
        <f>19</f>
        <v>19</v>
      </c>
    </row>
    <row r="36" spans="1:24" ht="13.5" customHeight="1" x14ac:dyDescent="0.15">
      <c r="A36" s="25" t="s">
        <v>994</v>
      </c>
      <c r="B36" s="25" t="s">
        <v>132</v>
      </c>
      <c r="C36" s="25" t="s">
        <v>133</v>
      </c>
      <c r="D36" s="25" t="s">
        <v>134</v>
      </c>
      <c r="E36" s="26" t="s">
        <v>45</v>
      </c>
      <c r="F36" s="27" t="s">
        <v>45</v>
      </c>
      <c r="G36" s="28" t="s">
        <v>45</v>
      </c>
      <c r="H36" s="29"/>
      <c r="I36" s="29" t="s">
        <v>46</v>
      </c>
      <c r="J36" s="30">
        <v>1</v>
      </c>
      <c r="K36" s="31">
        <f>19595</f>
        <v>19595</v>
      </c>
      <c r="L36" s="32" t="s">
        <v>995</v>
      </c>
      <c r="M36" s="31">
        <f>19900</f>
        <v>19900</v>
      </c>
      <c r="N36" s="32" t="s">
        <v>998</v>
      </c>
      <c r="O36" s="31">
        <f>19080</f>
        <v>19080</v>
      </c>
      <c r="P36" s="32" t="s">
        <v>996</v>
      </c>
      <c r="Q36" s="31">
        <f>19700</f>
        <v>19700</v>
      </c>
      <c r="R36" s="32" t="s">
        <v>997</v>
      </c>
      <c r="S36" s="33">
        <f>19557.11</f>
        <v>19557.11</v>
      </c>
      <c r="T36" s="30">
        <f>56003</f>
        <v>56003</v>
      </c>
      <c r="U36" s="30" t="str">
        <f>"－"</f>
        <v>－</v>
      </c>
      <c r="V36" s="30">
        <f>1094392115</f>
        <v>1094392115</v>
      </c>
      <c r="W36" s="30" t="str">
        <f>"－"</f>
        <v>－</v>
      </c>
      <c r="X36" s="34">
        <f>19</f>
        <v>19</v>
      </c>
    </row>
    <row r="37" spans="1:24" ht="13.5" customHeight="1" x14ac:dyDescent="0.15">
      <c r="A37" s="25" t="s">
        <v>994</v>
      </c>
      <c r="B37" s="25" t="s">
        <v>135</v>
      </c>
      <c r="C37" s="25" t="s">
        <v>136</v>
      </c>
      <c r="D37" s="25" t="s">
        <v>137</v>
      </c>
      <c r="E37" s="26" t="s">
        <v>45</v>
      </c>
      <c r="F37" s="27" t="s">
        <v>45</v>
      </c>
      <c r="G37" s="28" t="s">
        <v>45</v>
      </c>
      <c r="H37" s="29"/>
      <c r="I37" s="29" t="s">
        <v>46</v>
      </c>
      <c r="J37" s="30">
        <v>1</v>
      </c>
      <c r="K37" s="31">
        <f>1249</f>
        <v>1249</v>
      </c>
      <c r="L37" s="32" t="s">
        <v>995</v>
      </c>
      <c r="M37" s="31">
        <f>1285</f>
        <v>1285</v>
      </c>
      <c r="N37" s="32" t="s">
        <v>999</v>
      </c>
      <c r="O37" s="31">
        <f>1229</f>
        <v>1229</v>
      </c>
      <c r="P37" s="32" t="s">
        <v>998</v>
      </c>
      <c r="Q37" s="31">
        <f>1243</f>
        <v>1243</v>
      </c>
      <c r="R37" s="32" t="s">
        <v>997</v>
      </c>
      <c r="S37" s="33">
        <f>1252.63</f>
        <v>1252.6300000000001</v>
      </c>
      <c r="T37" s="30">
        <f>596426</f>
        <v>596426</v>
      </c>
      <c r="U37" s="30" t="str">
        <f>"－"</f>
        <v>－</v>
      </c>
      <c r="V37" s="30">
        <f>747381611</f>
        <v>747381611</v>
      </c>
      <c r="W37" s="30" t="str">
        <f>"－"</f>
        <v>－</v>
      </c>
      <c r="X37" s="34">
        <f>19</f>
        <v>19</v>
      </c>
    </row>
    <row r="38" spans="1:24" ht="13.5" customHeight="1" x14ac:dyDescent="0.15">
      <c r="A38" s="25" t="s">
        <v>994</v>
      </c>
      <c r="B38" s="25" t="s">
        <v>138</v>
      </c>
      <c r="C38" s="25" t="s">
        <v>139</v>
      </c>
      <c r="D38" s="25" t="s">
        <v>140</v>
      </c>
      <c r="E38" s="26" t="s">
        <v>45</v>
      </c>
      <c r="F38" s="27" t="s">
        <v>45</v>
      </c>
      <c r="G38" s="28" t="s">
        <v>45</v>
      </c>
      <c r="H38" s="29"/>
      <c r="I38" s="29" t="s">
        <v>46</v>
      </c>
      <c r="J38" s="30">
        <v>1</v>
      </c>
      <c r="K38" s="31">
        <f>27490</f>
        <v>27490</v>
      </c>
      <c r="L38" s="32" t="s">
        <v>995</v>
      </c>
      <c r="M38" s="31">
        <f>27800</f>
        <v>27800</v>
      </c>
      <c r="N38" s="32" t="s">
        <v>78</v>
      </c>
      <c r="O38" s="31">
        <f>27040</f>
        <v>27040</v>
      </c>
      <c r="P38" s="32" t="s">
        <v>1001</v>
      </c>
      <c r="Q38" s="31">
        <f>27430</f>
        <v>27430</v>
      </c>
      <c r="R38" s="32" t="s">
        <v>997</v>
      </c>
      <c r="S38" s="33">
        <f>27496.58</f>
        <v>27496.58</v>
      </c>
      <c r="T38" s="30">
        <f>81258</f>
        <v>81258</v>
      </c>
      <c r="U38" s="30">
        <f>2000</f>
        <v>2000</v>
      </c>
      <c r="V38" s="30">
        <f>2235865305</f>
        <v>2235865305</v>
      </c>
      <c r="W38" s="30">
        <f>55490800</f>
        <v>55490800</v>
      </c>
      <c r="X38" s="34">
        <f>19</f>
        <v>19</v>
      </c>
    </row>
    <row r="39" spans="1:24" ht="13.5" customHeight="1" x14ac:dyDescent="0.15">
      <c r="A39" s="25" t="s">
        <v>994</v>
      </c>
      <c r="B39" s="25" t="s">
        <v>141</v>
      </c>
      <c r="C39" s="25" t="s">
        <v>142</v>
      </c>
      <c r="D39" s="25" t="s">
        <v>143</v>
      </c>
      <c r="E39" s="26" t="s">
        <v>45</v>
      </c>
      <c r="F39" s="27" t="s">
        <v>45</v>
      </c>
      <c r="G39" s="28" t="s">
        <v>45</v>
      </c>
      <c r="H39" s="29"/>
      <c r="I39" s="29" t="s">
        <v>46</v>
      </c>
      <c r="J39" s="30">
        <v>1</v>
      </c>
      <c r="K39" s="31">
        <f>5940</f>
        <v>5940</v>
      </c>
      <c r="L39" s="32" t="s">
        <v>995</v>
      </c>
      <c r="M39" s="31">
        <f>6200</f>
        <v>6200</v>
      </c>
      <c r="N39" s="32" t="s">
        <v>998</v>
      </c>
      <c r="O39" s="31">
        <f>5880</f>
        <v>5880</v>
      </c>
      <c r="P39" s="32" t="s">
        <v>56</v>
      </c>
      <c r="Q39" s="31">
        <f>6170</f>
        <v>6170</v>
      </c>
      <c r="R39" s="32" t="s">
        <v>997</v>
      </c>
      <c r="S39" s="33">
        <f>6059.47</f>
        <v>6059.47</v>
      </c>
      <c r="T39" s="30">
        <f>4297</f>
        <v>4297</v>
      </c>
      <c r="U39" s="30" t="str">
        <f t="shared" ref="U39:U47" si="0">"－"</f>
        <v>－</v>
      </c>
      <c r="V39" s="30">
        <f>26053750</f>
        <v>26053750</v>
      </c>
      <c r="W39" s="30" t="str">
        <f t="shared" ref="W39:W47" si="1">"－"</f>
        <v>－</v>
      </c>
      <c r="X39" s="34">
        <f>19</f>
        <v>19</v>
      </c>
    </row>
    <row r="40" spans="1:24" ht="13.5" customHeight="1" x14ac:dyDescent="0.15">
      <c r="A40" s="25" t="s">
        <v>994</v>
      </c>
      <c r="B40" s="25" t="s">
        <v>144</v>
      </c>
      <c r="C40" s="25" t="s">
        <v>145</v>
      </c>
      <c r="D40" s="25" t="s">
        <v>146</v>
      </c>
      <c r="E40" s="26" t="s">
        <v>45</v>
      </c>
      <c r="F40" s="27" t="s">
        <v>45</v>
      </c>
      <c r="G40" s="28" t="s">
        <v>45</v>
      </c>
      <c r="H40" s="29"/>
      <c r="I40" s="29" t="s">
        <v>46</v>
      </c>
      <c r="J40" s="30">
        <v>1</v>
      </c>
      <c r="K40" s="31">
        <f>10520</f>
        <v>10520</v>
      </c>
      <c r="L40" s="32" t="s">
        <v>995</v>
      </c>
      <c r="M40" s="31">
        <f>11000</f>
        <v>11000</v>
      </c>
      <c r="N40" s="32" t="s">
        <v>80</v>
      </c>
      <c r="O40" s="31">
        <f>10470</f>
        <v>10470</v>
      </c>
      <c r="P40" s="32" t="s">
        <v>996</v>
      </c>
      <c r="Q40" s="31">
        <f>10865</f>
        <v>10865</v>
      </c>
      <c r="R40" s="32" t="s">
        <v>997</v>
      </c>
      <c r="S40" s="33">
        <f>10710.53</f>
        <v>10710.53</v>
      </c>
      <c r="T40" s="30">
        <f>736</f>
        <v>736</v>
      </c>
      <c r="U40" s="30" t="str">
        <f t="shared" si="0"/>
        <v>－</v>
      </c>
      <c r="V40" s="30">
        <f>7927695</f>
        <v>7927695</v>
      </c>
      <c r="W40" s="30" t="str">
        <f t="shared" si="1"/>
        <v>－</v>
      </c>
      <c r="X40" s="34">
        <f>19</f>
        <v>19</v>
      </c>
    </row>
    <row r="41" spans="1:24" ht="13.5" customHeight="1" x14ac:dyDescent="0.15">
      <c r="A41" s="25" t="s">
        <v>994</v>
      </c>
      <c r="B41" s="25" t="s">
        <v>147</v>
      </c>
      <c r="C41" s="25" t="s">
        <v>148</v>
      </c>
      <c r="D41" s="25" t="s">
        <v>149</v>
      </c>
      <c r="E41" s="26" t="s">
        <v>45</v>
      </c>
      <c r="F41" s="27" t="s">
        <v>45</v>
      </c>
      <c r="G41" s="28" t="s">
        <v>45</v>
      </c>
      <c r="H41" s="29"/>
      <c r="I41" s="29" t="s">
        <v>46</v>
      </c>
      <c r="J41" s="30">
        <v>1</v>
      </c>
      <c r="K41" s="31">
        <f>19975</f>
        <v>19975</v>
      </c>
      <c r="L41" s="32" t="s">
        <v>995</v>
      </c>
      <c r="M41" s="31">
        <f>20895</f>
        <v>20895</v>
      </c>
      <c r="N41" s="32" t="s">
        <v>996</v>
      </c>
      <c r="O41" s="31">
        <f>19975</f>
        <v>19975</v>
      </c>
      <c r="P41" s="32" t="s">
        <v>995</v>
      </c>
      <c r="Q41" s="31">
        <f>20845</f>
        <v>20845</v>
      </c>
      <c r="R41" s="32" t="s">
        <v>80</v>
      </c>
      <c r="S41" s="33">
        <f>20364.44</f>
        <v>20364.439999999999</v>
      </c>
      <c r="T41" s="30">
        <f>79</f>
        <v>79</v>
      </c>
      <c r="U41" s="30" t="str">
        <f t="shared" si="0"/>
        <v>－</v>
      </c>
      <c r="V41" s="30">
        <f>1609225</f>
        <v>1609225</v>
      </c>
      <c r="W41" s="30" t="str">
        <f t="shared" si="1"/>
        <v>－</v>
      </c>
      <c r="X41" s="34">
        <f>9</f>
        <v>9</v>
      </c>
    </row>
    <row r="42" spans="1:24" ht="13.5" customHeight="1" x14ac:dyDescent="0.15">
      <c r="A42" s="25" t="s">
        <v>994</v>
      </c>
      <c r="B42" s="25" t="s">
        <v>150</v>
      </c>
      <c r="C42" s="25" t="s">
        <v>151</v>
      </c>
      <c r="D42" s="25" t="s">
        <v>152</v>
      </c>
      <c r="E42" s="26" t="s">
        <v>45</v>
      </c>
      <c r="F42" s="27" t="s">
        <v>45</v>
      </c>
      <c r="G42" s="28" t="s">
        <v>45</v>
      </c>
      <c r="H42" s="29"/>
      <c r="I42" s="29" t="s">
        <v>46</v>
      </c>
      <c r="J42" s="30">
        <v>1</v>
      </c>
      <c r="K42" s="31">
        <f>16800</f>
        <v>16800</v>
      </c>
      <c r="L42" s="32" t="s">
        <v>78</v>
      </c>
      <c r="M42" s="31">
        <f>17410</f>
        <v>17410</v>
      </c>
      <c r="N42" s="32" t="s">
        <v>255</v>
      </c>
      <c r="O42" s="31">
        <f>16345</f>
        <v>16345</v>
      </c>
      <c r="P42" s="32" t="s">
        <v>56</v>
      </c>
      <c r="Q42" s="31">
        <f>17410</f>
        <v>17410</v>
      </c>
      <c r="R42" s="32" t="s">
        <v>255</v>
      </c>
      <c r="S42" s="33">
        <f>16901</f>
        <v>16901</v>
      </c>
      <c r="T42" s="30">
        <f>32</f>
        <v>32</v>
      </c>
      <c r="U42" s="30" t="str">
        <f t="shared" si="0"/>
        <v>－</v>
      </c>
      <c r="V42" s="30">
        <f>542440</f>
        <v>542440</v>
      </c>
      <c r="W42" s="30" t="str">
        <f t="shared" si="1"/>
        <v>－</v>
      </c>
      <c r="X42" s="34">
        <f>5</f>
        <v>5</v>
      </c>
    </row>
    <row r="43" spans="1:24" ht="13.5" customHeight="1" x14ac:dyDescent="0.15">
      <c r="A43" s="25" t="s">
        <v>994</v>
      </c>
      <c r="B43" s="25" t="s">
        <v>153</v>
      </c>
      <c r="C43" s="25" t="s">
        <v>154</v>
      </c>
      <c r="D43" s="25" t="s">
        <v>155</v>
      </c>
      <c r="E43" s="26" t="s">
        <v>45</v>
      </c>
      <c r="F43" s="27" t="s">
        <v>45</v>
      </c>
      <c r="G43" s="28" t="s">
        <v>45</v>
      </c>
      <c r="H43" s="29"/>
      <c r="I43" s="29" t="s">
        <v>46</v>
      </c>
      <c r="J43" s="30">
        <v>1</v>
      </c>
      <c r="K43" s="31">
        <f>11550</f>
        <v>11550</v>
      </c>
      <c r="L43" s="32" t="s">
        <v>995</v>
      </c>
      <c r="M43" s="31">
        <f>11935</f>
        <v>11935</v>
      </c>
      <c r="N43" s="32" t="s">
        <v>255</v>
      </c>
      <c r="O43" s="31">
        <f>11270</f>
        <v>11270</v>
      </c>
      <c r="P43" s="32" t="s">
        <v>996</v>
      </c>
      <c r="Q43" s="31">
        <f>11925</f>
        <v>11925</v>
      </c>
      <c r="R43" s="32" t="s">
        <v>997</v>
      </c>
      <c r="S43" s="33">
        <f>11604.71</f>
        <v>11604.71</v>
      </c>
      <c r="T43" s="30">
        <f>806</f>
        <v>806</v>
      </c>
      <c r="U43" s="30" t="str">
        <f t="shared" si="0"/>
        <v>－</v>
      </c>
      <c r="V43" s="30">
        <f>9398815</f>
        <v>9398815</v>
      </c>
      <c r="W43" s="30" t="str">
        <f t="shared" si="1"/>
        <v>－</v>
      </c>
      <c r="X43" s="34">
        <f>17</f>
        <v>17</v>
      </c>
    </row>
    <row r="44" spans="1:24" ht="13.5" customHeight="1" x14ac:dyDescent="0.15">
      <c r="A44" s="25" t="s">
        <v>994</v>
      </c>
      <c r="B44" s="25" t="s">
        <v>156</v>
      </c>
      <c r="C44" s="25" t="s">
        <v>157</v>
      </c>
      <c r="D44" s="25" t="s">
        <v>158</v>
      </c>
      <c r="E44" s="26" t="s">
        <v>45</v>
      </c>
      <c r="F44" s="27" t="s">
        <v>45</v>
      </c>
      <c r="G44" s="28" t="s">
        <v>45</v>
      </c>
      <c r="H44" s="29"/>
      <c r="I44" s="29" t="s">
        <v>46</v>
      </c>
      <c r="J44" s="30">
        <v>1</v>
      </c>
      <c r="K44" s="31">
        <f>6140</f>
        <v>6140</v>
      </c>
      <c r="L44" s="32" t="s">
        <v>995</v>
      </c>
      <c r="M44" s="31">
        <f>6140</f>
        <v>6140</v>
      </c>
      <c r="N44" s="32" t="s">
        <v>995</v>
      </c>
      <c r="O44" s="31">
        <f>5750</f>
        <v>5750</v>
      </c>
      <c r="P44" s="32" t="s">
        <v>255</v>
      </c>
      <c r="Q44" s="31">
        <f>5760</f>
        <v>5760</v>
      </c>
      <c r="R44" s="32" t="s">
        <v>997</v>
      </c>
      <c r="S44" s="33">
        <f>5931.11</f>
        <v>5931.11</v>
      </c>
      <c r="T44" s="30">
        <f>2984</f>
        <v>2984</v>
      </c>
      <c r="U44" s="30" t="str">
        <f t="shared" si="0"/>
        <v>－</v>
      </c>
      <c r="V44" s="30">
        <f>17702710</f>
        <v>17702710</v>
      </c>
      <c r="W44" s="30" t="str">
        <f t="shared" si="1"/>
        <v>－</v>
      </c>
      <c r="X44" s="34">
        <f>18</f>
        <v>18</v>
      </c>
    </row>
    <row r="45" spans="1:24" ht="13.5" customHeight="1" x14ac:dyDescent="0.15">
      <c r="A45" s="25" t="s">
        <v>994</v>
      </c>
      <c r="B45" s="25" t="s">
        <v>159</v>
      </c>
      <c r="C45" s="25" t="s">
        <v>160</v>
      </c>
      <c r="D45" s="25" t="s">
        <v>161</v>
      </c>
      <c r="E45" s="26" t="s">
        <v>45</v>
      </c>
      <c r="F45" s="27" t="s">
        <v>45</v>
      </c>
      <c r="G45" s="28" t="s">
        <v>45</v>
      </c>
      <c r="H45" s="29"/>
      <c r="I45" s="29" t="s">
        <v>46</v>
      </c>
      <c r="J45" s="30">
        <v>1</v>
      </c>
      <c r="K45" s="31">
        <f>3055</f>
        <v>3055</v>
      </c>
      <c r="L45" s="32" t="s">
        <v>995</v>
      </c>
      <c r="M45" s="31">
        <f>3155</f>
        <v>3155</v>
      </c>
      <c r="N45" s="32" t="s">
        <v>997</v>
      </c>
      <c r="O45" s="31">
        <f>3030</f>
        <v>3030</v>
      </c>
      <c r="P45" s="32" t="s">
        <v>56</v>
      </c>
      <c r="Q45" s="31">
        <f>3110</f>
        <v>3110</v>
      </c>
      <c r="R45" s="32" t="s">
        <v>997</v>
      </c>
      <c r="S45" s="33">
        <f>3084.17</f>
        <v>3084.17</v>
      </c>
      <c r="T45" s="30">
        <f>1164</f>
        <v>1164</v>
      </c>
      <c r="U45" s="30" t="str">
        <f t="shared" si="0"/>
        <v>－</v>
      </c>
      <c r="V45" s="30">
        <f>3585975</f>
        <v>3585975</v>
      </c>
      <c r="W45" s="30" t="str">
        <f t="shared" si="1"/>
        <v>－</v>
      </c>
      <c r="X45" s="34">
        <f>18</f>
        <v>18</v>
      </c>
    </row>
    <row r="46" spans="1:24" ht="13.5" customHeight="1" x14ac:dyDescent="0.15">
      <c r="A46" s="25" t="s">
        <v>994</v>
      </c>
      <c r="B46" s="25" t="s">
        <v>162</v>
      </c>
      <c r="C46" s="25" t="s">
        <v>163</v>
      </c>
      <c r="D46" s="25" t="s">
        <v>164</v>
      </c>
      <c r="E46" s="26" t="s">
        <v>45</v>
      </c>
      <c r="F46" s="27" t="s">
        <v>45</v>
      </c>
      <c r="G46" s="28" t="s">
        <v>45</v>
      </c>
      <c r="H46" s="29"/>
      <c r="I46" s="29" t="s">
        <v>46</v>
      </c>
      <c r="J46" s="30">
        <v>1</v>
      </c>
      <c r="K46" s="31">
        <f>3195</f>
        <v>3195</v>
      </c>
      <c r="L46" s="32" t="s">
        <v>995</v>
      </c>
      <c r="M46" s="31">
        <f>3255</f>
        <v>3255</v>
      </c>
      <c r="N46" s="32" t="s">
        <v>1001</v>
      </c>
      <c r="O46" s="31">
        <f>3110</f>
        <v>3110</v>
      </c>
      <c r="P46" s="32" t="s">
        <v>996</v>
      </c>
      <c r="Q46" s="31">
        <f>3250</f>
        <v>3250</v>
      </c>
      <c r="R46" s="32" t="s">
        <v>997</v>
      </c>
      <c r="S46" s="33">
        <f>3189.47</f>
        <v>3189.47</v>
      </c>
      <c r="T46" s="30">
        <f>1251</f>
        <v>1251</v>
      </c>
      <c r="U46" s="30" t="str">
        <f t="shared" si="0"/>
        <v>－</v>
      </c>
      <c r="V46" s="30">
        <f>4019975</f>
        <v>4019975</v>
      </c>
      <c r="W46" s="30" t="str">
        <f t="shared" si="1"/>
        <v>－</v>
      </c>
      <c r="X46" s="34">
        <f>19</f>
        <v>19</v>
      </c>
    </row>
    <row r="47" spans="1:24" ht="13.5" customHeight="1" x14ac:dyDescent="0.15">
      <c r="A47" s="25" t="s">
        <v>994</v>
      </c>
      <c r="B47" s="25" t="s">
        <v>165</v>
      </c>
      <c r="C47" s="25" t="s">
        <v>166</v>
      </c>
      <c r="D47" s="25" t="s">
        <v>167</v>
      </c>
      <c r="E47" s="26" t="s">
        <v>45</v>
      </c>
      <c r="F47" s="27" t="s">
        <v>45</v>
      </c>
      <c r="G47" s="28" t="s">
        <v>45</v>
      </c>
      <c r="H47" s="29"/>
      <c r="I47" s="29" t="s">
        <v>46</v>
      </c>
      <c r="J47" s="30">
        <v>1</v>
      </c>
      <c r="K47" s="31">
        <f>50950</f>
        <v>50950</v>
      </c>
      <c r="L47" s="32" t="s">
        <v>999</v>
      </c>
      <c r="M47" s="31">
        <f>53940</f>
        <v>53940</v>
      </c>
      <c r="N47" s="32" t="s">
        <v>792</v>
      </c>
      <c r="O47" s="31">
        <f>50950</f>
        <v>50950</v>
      </c>
      <c r="P47" s="32" t="s">
        <v>999</v>
      </c>
      <c r="Q47" s="31">
        <f>52250</f>
        <v>52250</v>
      </c>
      <c r="R47" s="32" t="s">
        <v>997</v>
      </c>
      <c r="S47" s="33">
        <f>52346.67</f>
        <v>52346.67</v>
      </c>
      <c r="T47" s="30">
        <f>386</f>
        <v>386</v>
      </c>
      <c r="U47" s="30" t="str">
        <f t="shared" si="0"/>
        <v>－</v>
      </c>
      <c r="V47" s="30">
        <f>20366280</f>
        <v>20366280</v>
      </c>
      <c r="W47" s="30" t="str">
        <f t="shared" si="1"/>
        <v>－</v>
      </c>
      <c r="X47" s="34">
        <f>18</f>
        <v>18</v>
      </c>
    </row>
    <row r="48" spans="1:24" ht="13.5" customHeight="1" x14ac:dyDescent="0.15">
      <c r="A48" s="25" t="s">
        <v>994</v>
      </c>
      <c r="B48" s="25" t="s">
        <v>168</v>
      </c>
      <c r="C48" s="25" t="s">
        <v>169</v>
      </c>
      <c r="D48" s="25" t="s">
        <v>170</v>
      </c>
      <c r="E48" s="26" t="s">
        <v>45</v>
      </c>
      <c r="F48" s="27" t="s">
        <v>45</v>
      </c>
      <c r="G48" s="28" t="s">
        <v>45</v>
      </c>
      <c r="H48" s="29"/>
      <c r="I48" s="29" t="s">
        <v>46</v>
      </c>
      <c r="J48" s="30">
        <v>1</v>
      </c>
      <c r="K48" s="31">
        <f>38400</f>
        <v>38400</v>
      </c>
      <c r="L48" s="32" t="s">
        <v>1003</v>
      </c>
      <c r="M48" s="31">
        <f>38540</f>
        <v>38540</v>
      </c>
      <c r="N48" s="32" t="s">
        <v>792</v>
      </c>
      <c r="O48" s="31">
        <f>37180</f>
        <v>37180</v>
      </c>
      <c r="P48" s="32" t="s">
        <v>1001</v>
      </c>
      <c r="Q48" s="31">
        <f>37180</f>
        <v>37180</v>
      </c>
      <c r="R48" s="32" t="s">
        <v>1001</v>
      </c>
      <c r="S48" s="33">
        <f>37477.14</f>
        <v>37477.14</v>
      </c>
      <c r="T48" s="30">
        <f>454</f>
        <v>454</v>
      </c>
      <c r="U48" s="30">
        <f>345</f>
        <v>345</v>
      </c>
      <c r="V48" s="30">
        <f>16742160</f>
        <v>16742160</v>
      </c>
      <c r="W48" s="30">
        <f>12599400</f>
        <v>12599400</v>
      </c>
      <c r="X48" s="34">
        <f>7</f>
        <v>7</v>
      </c>
    </row>
    <row r="49" spans="1:24" ht="13.5" customHeight="1" x14ac:dyDescent="0.15">
      <c r="A49" s="25" t="s">
        <v>994</v>
      </c>
      <c r="B49" s="25" t="s">
        <v>171</v>
      </c>
      <c r="C49" s="25" t="s">
        <v>172</v>
      </c>
      <c r="D49" s="25" t="s">
        <v>173</v>
      </c>
      <c r="E49" s="26" t="s">
        <v>45</v>
      </c>
      <c r="F49" s="27" t="s">
        <v>45</v>
      </c>
      <c r="G49" s="28" t="s">
        <v>45</v>
      </c>
      <c r="H49" s="29"/>
      <c r="I49" s="29" t="s">
        <v>46</v>
      </c>
      <c r="J49" s="30">
        <v>1</v>
      </c>
      <c r="K49" s="31">
        <f>27720</f>
        <v>27720</v>
      </c>
      <c r="L49" s="32" t="s">
        <v>999</v>
      </c>
      <c r="M49" s="31">
        <f>28060</f>
        <v>28060</v>
      </c>
      <c r="N49" s="32" t="s">
        <v>78</v>
      </c>
      <c r="O49" s="31">
        <f>27365</f>
        <v>27365</v>
      </c>
      <c r="P49" s="32" t="s">
        <v>1001</v>
      </c>
      <c r="Q49" s="31">
        <f>27695</f>
        <v>27695</v>
      </c>
      <c r="R49" s="32" t="s">
        <v>997</v>
      </c>
      <c r="S49" s="33">
        <f>27786.67</f>
        <v>27786.67</v>
      </c>
      <c r="T49" s="30">
        <f>22111</f>
        <v>22111</v>
      </c>
      <c r="U49" s="30">
        <f>17989</f>
        <v>17989</v>
      </c>
      <c r="V49" s="30">
        <f>613978173</f>
        <v>613978173</v>
      </c>
      <c r="W49" s="30">
        <f>499770398</f>
        <v>499770398</v>
      </c>
      <c r="X49" s="34">
        <f>15</f>
        <v>15</v>
      </c>
    </row>
    <row r="50" spans="1:24" ht="13.5" customHeight="1" x14ac:dyDescent="0.15">
      <c r="A50" s="25" t="s">
        <v>994</v>
      </c>
      <c r="B50" s="25" t="s">
        <v>174</v>
      </c>
      <c r="C50" s="25" t="s">
        <v>175</v>
      </c>
      <c r="D50" s="25" t="s">
        <v>176</v>
      </c>
      <c r="E50" s="26" t="s">
        <v>45</v>
      </c>
      <c r="F50" s="27" t="s">
        <v>45</v>
      </c>
      <c r="G50" s="28" t="s">
        <v>45</v>
      </c>
      <c r="H50" s="29"/>
      <c r="I50" s="29" t="s">
        <v>46</v>
      </c>
      <c r="J50" s="30">
        <v>10</v>
      </c>
      <c r="K50" s="31">
        <f>1892.5</f>
        <v>1892.5</v>
      </c>
      <c r="L50" s="32" t="s">
        <v>995</v>
      </c>
      <c r="M50" s="31">
        <f>1914</f>
        <v>1914</v>
      </c>
      <c r="N50" s="32" t="s">
        <v>997</v>
      </c>
      <c r="O50" s="31">
        <f>1860</f>
        <v>1860</v>
      </c>
      <c r="P50" s="32" t="s">
        <v>1002</v>
      </c>
      <c r="Q50" s="31">
        <f>1906.5</f>
        <v>1906.5</v>
      </c>
      <c r="R50" s="32" t="s">
        <v>997</v>
      </c>
      <c r="S50" s="33">
        <f>1882.74</f>
        <v>1882.74</v>
      </c>
      <c r="T50" s="30">
        <f>935740</f>
        <v>935740</v>
      </c>
      <c r="U50" s="30">
        <f>738420</f>
        <v>738420</v>
      </c>
      <c r="V50" s="30">
        <f>1760242979</f>
        <v>1760242979</v>
      </c>
      <c r="W50" s="30">
        <f>1389500564</f>
        <v>1389500564</v>
      </c>
      <c r="X50" s="34">
        <f>19</f>
        <v>19</v>
      </c>
    </row>
    <row r="51" spans="1:24" ht="13.5" customHeight="1" x14ac:dyDescent="0.15">
      <c r="A51" s="25" t="s">
        <v>994</v>
      </c>
      <c r="B51" s="25" t="s">
        <v>177</v>
      </c>
      <c r="C51" s="25" t="s">
        <v>178</v>
      </c>
      <c r="D51" s="25" t="s">
        <v>179</v>
      </c>
      <c r="E51" s="26" t="s">
        <v>45</v>
      </c>
      <c r="F51" s="27" t="s">
        <v>45</v>
      </c>
      <c r="G51" s="28" t="s">
        <v>45</v>
      </c>
      <c r="H51" s="29"/>
      <c r="I51" s="29" t="s">
        <v>46</v>
      </c>
      <c r="J51" s="30">
        <v>10</v>
      </c>
      <c r="K51" s="31">
        <f>1622.5</f>
        <v>1622.5</v>
      </c>
      <c r="L51" s="32" t="s">
        <v>995</v>
      </c>
      <c r="M51" s="31">
        <f>1662.5</f>
        <v>1662.5</v>
      </c>
      <c r="N51" s="32" t="s">
        <v>997</v>
      </c>
      <c r="O51" s="31">
        <f>1601.5</f>
        <v>1601.5</v>
      </c>
      <c r="P51" s="32" t="s">
        <v>999</v>
      </c>
      <c r="Q51" s="31">
        <f>1655</f>
        <v>1655</v>
      </c>
      <c r="R51" s="32" t="s">
        <v>997</v>
      </c>
      <c r="S51" s="33">
        <f>1631.4</f>
        <v>1631.4</v>
      </c>
      <c r="T51" s="30">
        <f>2940</f>
        <v>2940</v>
      </c>
      <c r="U51" s="30" t="str">
        <f>"－"</f>
        <v>－</v>
      </c>
      <c r="V51" s="30">
        <f>4793080</f>
        <v>4793080</v>
      </c>
      <c r="W51" s="30" t="str">
        <f>"－"</f>
        <v>－</v>
      </c>
      <c r="X51" s="34">
        <f>15</f>
        <v>15</v>
      </c>
    </row>
    <row r="52" spans="1:24" ht="13.5" customHeight="1" x14ac:dyDescent="0.15">
      <c r="A52" s="25" t="s">
        <v>994</v>
      </c>
      <c r="B52" s="25" t="s">
        <v>180</v>
      </c>
      <c r="C52" s="25" t="s">
        <v>181</v>
      </c>
      <c r="D52" s="25" t="s">
        <v>182</v>
      </c>
      <c r="E52" s="26" t="s">
        <v>45</v>
      </c>
      <c r="F52" s="27" t="s">
        <v>45</v>
      </c>
      <c r="G52" s="28" t="s">
        <v>45</v>
      </c>
      <c r="H52" s="29"/>
      <c r="I52" s="29" t="s">
        <v>46</v>
      </c>
      <c r="J52" s="30">
        <v>1</v>
      </c>
      <c r="K52" s="31">
        <f>4090</f>
        <v>4090</v>
      </c>
      <c r="L52" s="32" t="s">
        <v>995</v>
      </c>
      <c r="M52" s="31">
        <f>4150</f>
        <v>4150</v>
      </c>
      <c r="N52" s="32" t="s">
        <v>1001</v>
      </c>
      <c r="O52" s="31">
        <f>4040</f>
        <v>4040</v>
      </c>
      <c r="P52" s="32" t="s">
        <v>78</v>
      </c>
      <c r="Q52" s="31">
        <f>4090</f>
        <v>4090</v>
      </c>
      <c r="R52" s="32" t="s">
        <v>997</v>
      </c>
      <c r="S52" s="33">
        <f>4082.37</f>
        <v>4082.37</v>
      </c>
      <c r="T52" s="30">
        <f>1251088</f>
        <v>1251088</v>
      </c>
      <c r="U52" s="30">
        <f>765000</f>
        <v>765000</v>
      </c>
      <c r="V52" s="30">
        <f>5129657197</f>
        <v>5129657197</v>
      </c>
      <c r="W52" s="30">
        <f>3140568267</f>
        <v>3140568267</v>
      </c>
      <c r="X52" s="34">
        <f>19</f>
        <v>19</v>
      </c>
    </row>
    <row r="53" spans="1:24" ht="13.5" customHeight="1" x14ac:dyDescent="0.15">
      <c r="A53" s="25" t="s">
        <v>994</v>
      </c>
      <c r="B53" s="25" t="s">
        <v>183</v>
      </c>
      <c r="C53" s="25" t="s">
        <v>184</v>
      </c>
      <c r="D53" s="25" t="s">
        <v>185</v>
      </c>
      <c r="E53" s="26" t="s">
        <v>45</v>
      </c>
      <c r="F53" s="27" t="s">
        <v>45</v>
      </c>
      <c r="G53" s="28" t="s">
        <v>45</v>
      </c>
      <c r="H53" s="29"/>
      <c r="I53" s="29" t="s">
        <v>46</v>
      </c>
      <c r="J53" s="30">
        <v>1</v>
      </c>
      <c r="K53" s="31">
        <f>4700</f>
        <v>4700</v>
      </c>
      <c r="L53" s="32" t="s">
        <v>995</v>
      </c>
      <c r="M53" s="31">
        <f>4770</f>
        <v>4770</v>
      </c>
      <c r="N53" s="32" t="s">
        <v>996</v>
      </c>
      <c r="O53" s="31">
        <f>4660</f>
        <v>4660</v>
      </c>
      <c r="P53" s="32" t="s">
        <v>876</v>
      </c>
      <c r="Q53" s="31">
        <f>4680</f>
        <v>4680</v>
      </c>
      <c r="R53" s="32" t="s">
        <v>997</v>
      </c>
      <c r="S53" s="33">
        <f>4704.74</f>
        <v>4704.74</v>
      </c>
      <c r="T53" s="30">
        <f>122799</f>
        <v>122799</v>
      </c>
      <c r="U53" s="30">
        <f>110005</f>
        <v>110005</v>
      </c>
      <c r="V53" s="30">
        <f>579587620</f>
        <v>579587620</v>
      </c>
      <c r="W53" s="30">
        <f>519412710</f>
        <v>519412710</v>
      </c>
      <c r="X53" s="34">
        <f>19</f>
        <v>19</v>
      </c>
    </row>
    <row r="54" spans="1:24" ht="13.5" customHeight="1" x14ac:dyDescent="0.15">
      <c r="A54" s="25" t="s">
        <v>994</v>
      </c>
      <c r="B54" s="25" t="s">
        <v>186</v>
      </c>
      <c r="C54" s="25" t="s">
        <v>187</v>
      </c>
      <c r="D54" s="25" t="s">
        <v>188</v>
      </c>
      <c r="E54" s="26" t="s">
        <v>45</v>
      </c>
      <c r="F54" s="27" t="s">
        <v>45</v>
      </c>
      <c r="G54" s="28" t="s">
        <v>45</v>
      </c>
      <c r="H54" s="29"/>
      <c r="I54" s="29" t="s">
        <v>46</v>
      </c>
      <c r="J54" s="30">
        <v>1</v>
      </c>
      <c r="K54" s="31">
        <f>16610</f>
        <v>16610</v>
      </c>
      <c r="L54" s="32" t="s">
        <v>995</v>
      </c>
      <c r="M54" s="31">
        <f>17015</f>
        <v>17015</v>
      </c>
      <c r="N54" s="32" t="s">
        <v>78</v>
      </c>
      <c r="O54" s="31">
        <f>16055</f>
        <v>16055</v>
      </c>
      <c r="P54" s="32" t="s">
        <v>1001</v>
      </c>
      <c r="Q54" s="31">
        <f>16550</f>
        <v>16550</v>
      </c>
      <c r="R54" s="32" t="s">
        <v>997</v>
      </c>
      <c r="S54" s="33">
        <f>16624.47</f>
        <v>16624.47</v>
      </c>
      <c r="T54" s="30">
        <f>9060628</f>
        <v>9060628</v>
      </c>
      <c r="U54" s="30">
        <f>251</f>
        <v>251</v>
      </c>
      <c r="V54" s="30">
        <f>150573270620</f>
        <v>150573270620</v>
      </c>
      <c r="W54" s="30">
        <f>4199090</f>
        <v>4199090</v>
      </c>
      <c r="X54" s="34">
        <f>19</f>
        <v>19</v>
      </c>
    </row>
    <row r="55" spans="1:24" ht="13.5" customHeight="1" x14ac:dyDescent="0.15">
      <c r="A55" s="25" t="s">
        <v>994</v>
      </c>
      <c r="B55" s="25" t="s">
        <v>189</v>
      </c>
      <c r="C55" s="25" t="s">
        <v>190</v>
      </c>
      <c r="D55" s="25" t="s">
        <v>191</v>
      </c>
      <c r="E55" s="26" t="s">
        <v>45</v>
      </c>
      <c r="F55" s="27" t="s">
        <v>45</v>
      </c>
      <c r="G55" s="28" t="s">
        <v>45</v>
      </c>
      <c r="H55" s="29"/>
      <c r="I55" s="29" t="s">
        <v>46</v>
      </c>
      <c r="J55" s="30">
        <v>1</v>
      </c>
      <c r="K55" s="31">
        <f>1403</f>
        <v>1403</v>
      </c>
      <c r="L55" s="32" t="s">
        <v>995</v>
      </c>
      <c r="M55" s="31">
        <f>1448</f>
        <v>1448</v>
      </c>
      <c r="N55" s="32" t="s">
        <v>1001</v>
      </c>
      <c r="O55" s="31">
        <f>1369</f>
        <v>1369</v>
      </c>
      <c r="P55" s="32" t="s">
        <v>78</v>
      </c>
      <c r="Q55" s="31">
        <f>1404</f>
        <v>1404</v>
      </c>
      <c r="R55" s="32" t="s">
        <v>997</v>
      </c>
      <c r="S55" s="33">
        <f>1400.32</f>
        <v>1400.32</v>
      </c>
      <c r="T55" s="30">
        <f>123463202</f>
        <v>123463202</v>
      </c>
      <c r="U55" s="30">
        <f>306392</f>
        <v>306392</v>
      </c>
      <c r="V55" s="30">
        <f>172860254227</f>
        <v>172860254227</v>
      </c>
      <c r="W55" s="30">
        <f>438575619</f>
        <v>438575619</v>
      </c>
      <c r="X55" s="34">
        <f>19</f>
        <v>19</v>
      </c>
    </row>
    <row r="56" spans="1:24" ht="13.5" customHeight="1" x14ac:dyDescent="0.15">
      <c r="A56" s="25" t="s">
        <v>994</v>
      </c>
      <c r="B56" s="25" t="s">
        <v>192</v>
      </c>
      <c r="C56" s="25" t="s">
        <v>193</v>
      </c>
      <c r="D56" s="25" t="s">
        <v>194</v>
      </c>
      <c r="E56" s="26" t="s">
        <v>45</v>
      </c>
      <c r="F56" s="27" t="s">
        <v>45</v>
      </c>
      <c r="G56" s="28" t="s">
        <v>45</v>
      </c>
      <c r="H56" s="29"/>
      <c r="I56" s="29" t="s">
        <v>46</v>
      </c>
      <c r="J56" s="30">
        <v>1</v>
      </c>
      <c r="K56" s="31">
        <f>15555</f>
        <v>15555</v>
      </c>
      <c r="L56" s="32" t="s">
        <v>995</v>
      </c>
      <c r="M56" s="31">
        <f>15855</f>
        <v>15855</v>
      </c>
      <c r="N56" s="32" t="s">
        <v>998</v>
      </c>
      <c r="O56" s="31">
        <f>15100</f>
        <v>15100</v>
      </c>
      <c r="P56" s="32" t="s">
        <v>998</v>
      </c>
      <c r="Q56" s="31">
        <f>15655</f>
        <v>15655</v>
      </c>
      <c r="R56" s="32" t="s">
        <v>997</v>
      </c>
      <c r="S56" s="33">
        <f>15609.47</f>
        <v>15609.47</v>
      </c>
      <c r="T56" s="30">
        <f>984</f>
        <v>984</v>
      </c>
      <c r="U56" s="30" t="str">
        <f>"－"</f>
        <v>－</v>
      </c>
      <c r="V56" s="30">
        <f>15385235</f>
        <v>15385235</v>
      </c>
      <c r="W56" s="30" t="str">
        <f>"－"</f>
        <v>－</v>
      </c>
      <c r="X56" s="34">
        <f>19</f>
        <v>19</v>
      </c>
    </row>
    <row r="57" spans="1:24" ht="13.5" customHeight="1" x14ac:dyDescent="0.15">
      <c r="A57" s="25" t="s">
        <v>994</v>
      </c>
      <c r="B57" s="25" t="s">
        <v>195</v>
      </c>
      <c r="C57" s="25" t="s">
        <v>196</v>
      </c>
      <c r="D57" s="25" t="s">
        <v>197</v>
      </c>
      <c r="E57" s="26" t="s">
        <v>45</v>
      </c>
      <c r="F57" s="27" t="s">
        <v>45</v>
      </c>
      <c r="G57" s="28" t="s">
        <v>45</v>
      </c>
      <c r="H57" s="29"/>
      <c r="I57" s="29" t="s">
        <v>46</v>
      </c>
      <c r="J57" s="30">
        <v>1</v>
      </c>
      <c r="K57" s="31">
        <f>4510</f>
        <v>4510</v>
      </c>
      <c r="L57" s="32" t="s">
        <v>995</v>
      </c>
      <c r="M57" s="31">
        <f>4605</f>
        <v>4605</v>
      </c>
      <c r="N57" s="32" t="s">
        <v>995</v>
      </c>
      <c r="O57" s="31">
        <f>4490</f>
        <v>4490</v>
      </c>
      <c r="P57" s="32" t="s">
        <v>792</v>
      </c>
      <c r="Q57" s="31">
        <f>4570</f>
        <v>4570</v>
      </c>
      <c r="R57" s="32" t="s">
        <v>1001</v>
      </c>
      <c r="S57" s="33">
        <f>4548.33</f>
        <v>4548.33</v>
      </c>
      <c r="T57" s="30">
        <f>80</f>
        <v>80</v>
      </c>
      <c r="U57" s="30" t="str">
        <f>"－"</f>
        <v>－</v>
      </c>
      <c r="V57" s="30">
        <f>364390</f>
        <v>364390</v>
      </c>
      <c r="W57" s="30" t="str">
        <f>"－"</f>
        <v>－</v>
      </c>
      <c r="X57" s="34">
        <f>6</f>
        <v>6</v>
      </c>
    </row>
    <row r="58" spans="1:24" ht="13.5" customHeight="1" x14ac:dyDescent="0.15">
      <c r="A58" s="25" t="s">
        <v>994</v>
      </c>
      <c r="B58" s="25" t="s">
        <v>198</v>
      </c>
      <c r="C58" s="25" t="s">
        <v>199</v>
      </c>
      <c r="D58" s="25" t="s">
        <v>200</v>
      </c>
      <c r="E58" s="26" t="s">
        <v>45</v>
      </c>
      <c r="F58" s="27" t="s">
        <v>45</v>
      </c>
      <c r="G58" s="28" t="s">
        <v>45</v>
      </c>
      <c r="H58" s="29"/>
      <c r="I58" s="29" t="s">
        <v>46</v>
      </c>
      <c r="J58" s="30">
        <v>1</v>
      </c>
      <c r="K58" s="31">
        <f>1617</f>
        <v>1617</v>
      </c>
      <c r="L58" s="32" t="s">
        <v>995</v>
      </c>
      <c r="M58" s="31">
        <f>1670</f>
        <v>1670</v>
      </c>
      <c r="N58" s="32" t="s">
        <v>999</v>
      </c>
      <c r="O58" s="31">
        <f>1584</f>
        <v>1584</v>
      </c>
      <c r="P58" s="32" t="s">
        <v>998</v>
      </c>
      <c r="Q58" s="31">
        <f>1594</f>
        <v>1594</v>
      </c>
      <c r="R58" s="32" t="s">
        <v>997</v>
      </c>
      <c r="S58" s="33">
        <f>1611.32</f>
        <v>1611.32</v>
      </c>
      <c r="T58" s="30">
        <f>14012</f>
        <v>14012</v>
      </c>
      <c r="U58" s="30" t="str">
        <f>"－"</f>
        <v>－</v>
      </c>
      <c r="V58" s="30">
        <f>22628725</f>
        <v>22628725</v>
      </c>
      <c r="W58" s="30" t="str">
        <f>"－"</f>
        <v>－</v>
      </c>
      <c r="X58" s="34">
        <f>19</f>
        <v>19</v>
      </c>
    </row>
    <row r="59" spans="1:24" ht="13.5" customHeight="1" x14ac:dyDescent="0.15">
      <c r="A59" s="25" t="s">
        <v>994</v>
      </c>
      <c r="B59" s="25" t="s">
        <v>201</v>
      </c>
      <c r="C59" s="25" t="s">
        <v>202</v>
      </c>
      <c r="D59" s="25" t="s">
        <v>203</v>
      </c>
      <c r="E59" s="26" t="s">
        <v>45</v>
      </c>
      <c r="F59" s="27" t="s">
        <v>45</v>
      </c>
      <c r="G59" s="28" t="s">
        <v>45</v>
      </c>
      <c r="H59" s="29"/>
      <c r="I59" s="29" t="s">
        <v>46</v>
      </c>
      <c r="J59" s="30">
        <v>10</v>
      </c>
      <c r="K59" s="31">
        <f>14495</f>
        <v>14495</v>
      </c>
      <c r="L59" s="32" t="s">
        <v>995</v>
      </c>
      <c r="M59" s="31">
        <f>15020</f>
        <v>15020</v>
      </c>
      <c r="N59" s="32" t="s">
        <v>1001</v>
      </c>
      <c r="O59" s="31">
        <f>14205</f>
        <v>14205</v>
      </c>
      <c r="P59" s="32" t="s">
        <v>996</v>
      </c>
      <c r="Q59" s="31">
        <f>15020</f>
        <v>15020</v>
      </c>
      <c r="R59" s="32" t="s">
        <v>793</v>
      </c>
      <c r="S59" s="33">
        <f>14651</f>
        <v>14651</v>
      </c>
      <c r="T59" s="30">
        <f>1480</f>
        <v>1480</v>
      </c>
      <c r="U59" s="30">
        <f>10</f>
        <v>10</v>
      </c>
      <c r="V59" s="30">
        <f>21583600</f>
        <v>21583600</v>
      </c>
      <c r="W59" s="30">
        <f>148900</f>
        <v>148900</v>
      </c>
      <c r="X59" s="34">
        <f>15</f>
        <v>15</v>
      </c>
    </row>
    <row r="60" spans="1:24" ht="13.5" customHeight="1" x14ac:dyDescent="0.15">
      <c r="A60" s="25" t="s">
        <v>994</v>
      </c>
      <c r="B60" s="25" t="s">
        <v>204</v>
      </c>
      <c r="C60" s="25" t="s">
        <v>205</v>
      </c>
      <c r="D60" s="25" t="s">
        <v>206</v>
      </c>
      <c r="E60" s="26" t="s">
        <v>45</v>
      </c>
      <c r="F60" s="27" t="s">
        <v>45</v>
      </c>
      <c r="G60" s="28" t="s">
        <v>45</v>
      </c>
      <c r="H60" s="29"/>
      <c r="I60" s="29" t="s">
        <v>46</v>
      </c>
      <c r="J60" s="30">
        <v>10</v>
      </c>
      <c r="K60" s="31">
        <f>3726</f>
        <v>3726</v>
      </c>
      <c r="L60" s="32" t="s">
        <v>996</v>
      </c>
      <c r="M60" s="31">
        <f>3942</f>
        <v>3942</v>
      </c>
      <c r="N60" s="32" t="s">
        <v>1004</v>
      </c>
      <c r="O60" s="31">
        <f>3631</f>
        <v>3631</v>
      </c>
      <c r="P60" s="32" t="s">
        <v>792</v>
      </c>
      <c r="Q60" s="31">
        <f>3734</f>
        <v>3734</v>
      </c>
      <c r="R60" s="32" t="s">
        <v>1001</v>
      </c>
      <c r="S60" s="33">
        <f>3783</f>
        <v>3783</v>
      </c>
      <c r="T60" s="30">
        <f>1510</f>
        <v>1510</v>
      </c>
      <c r="U60" s="30">
        <f>20</f>
        <v>20</v>
      </c>
      <c r="V60" s="30">
        <f>5711150</f>
        <v>5711150</v>
      </c>
      <c r="W60" s="30">
        <f>75020</f>
        <v>75020</v>
      </c>
      <c r="X60" s="34">
        <f>9</f>
        <v>9</v>
      </c>
    </row>
    <row r="61" spans="1:24" ht="13.5" customHeight="1" x14ac:dyDescent="0.15">
      <c r="A61" s="25" t="s">
        <v>994</v>
      </c>
      <c r="B61" s="25" t="s">
        <v>207</v>
      </c>
      <c r="C61" s="25" t="s">
        <v>208</v>
      </c>
      <c r="D61" s="25" t="s">
        <v>209</v>
      </c>
      <c r="E61" s="26" t="s">
        <v>45</v>
      </c>
      <c r="F61" s="27" t="s">
        <v>45</v>
      </c>
      <c r="G61" s="28" t="s">
        <v>45</v>
      </c>
      <c r="H61" s="29"/>
      <c r="I61" s="29" t="s">
        <v>46</v>
      </c>
      <c r="J61" s="30">
        <v>10</v>
      </c>
      <c r="K61" s="31">
        <f>1586.5</f>
        <v>1586.5</v>
      </c>
      <c r="L61" s="32" t="s">
        <v>995</v>
      </c>
      <c r="M61" s="31">
        <f>1619</f>
        <v>1619</v>
      </c>
      <c r="N61" s="32" t="s">
        <v>996</v>
      </c>
      <c r="O61" s="31">
        <f>1561</f>
        <v>1561</v>
      </c>
      <c r="P61" s="32" t="s">
        <v>997</v>
      </c>
      <c r="Q61" s="31">
        <f>1575</f>
        <v>1575</v>
      </c>
      <c r="R61" s="32" t="s">
        <v>997</v>
      </c>
      <c r="S61" s="33">
        <f>1587.13</f>
        <v>1587.13</v>
      </c>
      <c r="T61" s="30">
        <f>25020</f>
        <v>25020</v>
      </c>
      <c r="U61" s="30" t="str">
        <f>"－"</f>
        <v>－</v>
      </c>
      <c r="V61" s="30">
        <f>39695740</f>
        <v>39695740</v>
      </c>
      <c r="W61" s="30" t="str">
        <f>"－"</f>
        <v>－</v>
      </c>
      <c r="X61" s="34">
        <f>19</f>
        <v>19</v>
      </c>
    </row>
    <row r="62" spans="1:24" ht="13.5" customHeight="1" x14ac:dyDescent="0.15">
      <c r="A62" s="25" t="s">
        <v>994</v>
      </c>
      <c r="B62" s="25" t="s">
        <v>210</v>
      </c>
      <c r="C62" s="25" t="s">
        <v>211</v>
      </c>
      <c r="D62" s="25" t="s">
        <v>212</v>
      </c>
      <c r="E62" s="26" t="s">
        <v>45</v>
      </c>
      <c r="F62" s="27" t="s">
        <v>45</v>
      </c>
      <c r="G62" s="28" t="s">
        <v>45</v>
      </c>
      <c r="H62" s="29"/>
      <c r="I62" s="29" t="s">
        <v>46</v>
      </c>
      <c r="J62" s="30">
        <v>1</v>
      </c>
      <c r="K62" s="31">
        <f>650</f>
        <v>650</v>
      </c>
      <c r="L62" s="32" t="s">
        <v>995</v>
      </c>
      <c r="M62" s="31">
        <f>665</f>
        <v>665</v>
      </c>
      <c r="N62" s="32" t="s">
        <v>1001</v>
      </c>
      <c r="O62" s="31">
        <f>633</f>
        <v>633</v>
      </c>
      <c r="P62" s="32" t="s">
        <v>997</v>
      </c>
      <c r="Q62" s="31">
        <f>642</f>
        <v>642</v>
      </c>
      <c r="R62" s="32" t="s">
        <v>997</v>
      </c>
      <c r="S62" s="33">
        <f>648.32</f>
        <v>648.32000000000005</v>
      </c>
      <c r="T62" s="30">
        <f>28149</f>
        <v>28149</v>
      </c>
      <c r="U62" s="30" t="str">
        <f>"－"</f>
        <v>－</v>
      </c>
      <c r="V62" s="30">
        <f>18233430</f>
        <v>18233430</v>
      </c>
      <c r="W62" s="30" t="str">
        <f>"－"</f>
        <v>－</v>
      </c>
      <c r="X62" s="34">
        <f>19</f>
        <v>19</v>
      </c>
    </row>
    <row r="63" spans="1:24" ht="13.5" customHeight="1" x14ac:dyDescent="0.15">
      <c r="A63" s="25" t="s">
        <v>994</v>
      </c>
      <c r="B63" s="25" t="s">
        <v>213</v>
      </c>
      <c r="C63" s="25" t="s">
        <v>214</v>
      </c>
      <c r="D63" s="25" t="s">
        <v>215</v>
      </c>
      <c r="E63" s="26" t="s">
        <v>45</v>
      </c>
      <c r="F63" s="27" t="s">
        <v>45</v>
      </c>
      <c r="G63" s="28" t="s">
        <v>45</v>
      </c>
      <c r="H63" s="29"/>
      <c r="I63" s="29" t="s">
        <v>46</v>
      </c>
      <c r="J63" s="30">
        <v>10</v>
      </c>
      <c r="K63" s="31">
        <f>2014</f>
        <v>2014</v>
      </c>
      <c r="L63" s="32" t="s">
        <v>995</v>
      </c>
      <c r="M63" s="31">
        <f>2027.5</f>
        <v>2027.5</v>
      </c>
      <c r="N63" s="32" t="s">
        <v>998</v>
      </c>
      <c r="O63" s="31">
        <f>1985</f>
        <v>1985</v>
      </c>
      <c r="P63" s="32" t="s">
        <v>996</v>
      </c>
      <c r="Q63" s="31">
        <f>2017</f>
        <v>2017</v>
      </c>
      <c r="R63" s="32" t="s">
        <v>997</v>
      </c>
      <c r="S63" s="33">
        <f>2008.92</f>
        <v>2008.92</v>
      </c>
      <c r="T63" s="30">
        <f>251410</f>
        <v>251410</v>
      </c>
      <c r="U63" s="30" t="str">
        <f>"－"</f>
        <v>－</v>
      </c>
      <c r="V63" s="30">
        <f>504963375</f>
        <v>504963375</v>
      </c>
      <c r="W63" s="30" t="str">
        <f>"－"</f>
        <v>－</v>
      </c>
      <c r="X63" s="34">
        <f>19</f>
        <v>19</v>
      </c>
    </row>
    <row r="64" spans="1:24" ht="13.5" customHeight="1" x14ac:dyDescent="0.15">
      <c r="A64" s="25" t="s">
        <v>994</v>
      </c>
      <c r="B64" s="25" t="s">
        <v>216</v>
      </c>
      <c r="C64" s="25" t="s">
        <v>217</v>
      </c>
      <c r="D64" s="25" t="s">
        <v>218</v>
      </c>
      <c r="E64" s="26" t="s">
        <v>45</v>
      </c>
      <c r="F64" s="27" t="s">
        <v>45</v>
      </c>
      <c r="G64" s="28" t="s">
        <v>45</v>
      </c>
      <c r="H64" s="29"/>
      <c r="I64" s="29" t="s">
        <v>46</v>
      </c>
      <c r="J64" s="30">
        <v>1</v>
      </c>
      <c r="K64" s="31">
        <f>17905</f>
        <v>17905</v>
      </c>
      <c r="L64" s="32" t="s">
        <v>995</v>
      </c>
      <c r="M64" s="31">
        <f>18200</f>
        <v>18200</v>
      </c>
      <c r="N64" s="32" t="s">
        <v>876</v>
      </c>
      <c r="O64" s="31">
        <f>17855</f>
        <v>17855</v>
      </c>
      <c r="P64" s="32" t="s">
        <v>999</v>
      </c>
      <c r="Q64" s="31">
        <f>18065</f>
        <v>18065</v>
      </c>
      <c r="R64" s="32" t="s">
        <v>997</v>
      </c>
      <c r="S64" s="33">
        <f>18040.26</f>
        <v>18040.259999999998</v>
      </c>
      <c r="T64" s="30">
        <f>55487</f>
        <v>55487</v>
      </c>
      <c r="U64" s="30">
        <f>55000</f>
        <v>55000</v>
      </c>
      <c r="V64" s="30">
        <f>1001073329</f>
        <v>1001073329</v>
      </c>
      <c r="W64" s="30">
        <f>992267364</f>
        <v>992267364</v>
      </c>
      <c r="X64" s="34">
        <f>19</f>
        <v>19</v>
      </c>
    </row>
    <row r="65" spans="1:24" ht="13.5" customHeight="1" x14ac:dyDescent="0.15">
      <c r="A65" s="25" t="s">
        <v>994</v>
      </c>
      <c r="B65" s="25" t="s">
        <v>219</v>
      </c>
      <c r="C65" s="25" t="s">
        <v>220</v>
      </c>
      <c r="D65" s="25" t="s">
        <v>221</v>
      </c>
      <c r="E65" s="26" t="s">
        <v>45</v>
      </c>
      <c r="F65" s="27" t="s">
        <v>45</v>
      </c>
      <c r="G65" s="28" t="s">
        <v>45</v>
      </c>
      <c r="H65" s="29"/>
      <c r="I65" s="29" t="s">
        <v>46</v>
      </c>
      <c r="J65" s="30">
        <v>1</v>
      </c>
      <c r="K65" s="31">
        <f>2050</f>
        <v>2050</v>
      </c>
      <c r="L65" s="32" t="s">
        <v>995</v>
      </c>
      <c r="M65" s="31">
        <f>2051</f>
        <v>2051</v>
      </c>
      <c r="N65" s="32" t="s">
        <v>995</v>
      </c>
      <c r="O65" s="31">
        <f>2008</f>
        <v>2008</v>
      </c>
      <c r="P65" s="32" t="s">
        <v>56</v>
      </c>
      <c r="Q65" s="31">
        <f>2032</f>
        <v>2032</v>
      </c>
      <c r="R65" s="32" t="s">
        <v>997</v>
      </c>
      <c r="S65" s="33">
        <f>2030.63</f>
        <v>2030.63</v>
      </c>
      <c r="T65" s="30">
        <f>5194103</f>
        <v>5194103</v>
      </c>
      <c r="U65" s="30">
        <f>2028450</f>
        <v>2028450</v>
      </c>
      <c r="V65" s="30">
        <f>10565268569</f>
        <v>10565268569</v>
      </c>
      <c r="W65" s="30">
        <f>4137199639</f>
        <v>4137199639</v>
      </c>
      <c r="X65" s="34">
        <f>19</f>
        <v>19</v>
      </c>
    </row>
    <row r="66" spans="1:24" ht="13.5" customHeight="1" x14ac:dyDescent="0.15">
      <c r="A66" s="25" t="s">
        <v>994</v>
      </c>
      <c r="B66" s="25" t="s">
        <v>222</v>
      </c>
      <c r="C66" s="25" t="s">
        <v>223</v>
      </c>
      <c r="D66" s="25" t="s">
        <v>224</v>
      </c>
      <c r="E66" s="26" t="s">
        <v>45</v>
      </c>
      <c r="F66" s="27" t="s">
        <v>45</v>
      </c>
      <c r="G66" s="28" t="s">
        <v>45</v>
      </c>
      <c r="H66" s="29"/>
      <c r="I66" s="29" t="s">
        <v>46</v>
      </c>
      <c r="J66" s="30">
        <v>1</v>
      </c>
      <c r="K66" s="31">
        <f>1907</f>
        <v>1907</v>
      </c>
      <c r="L66" s="32" t="s">
        <v>995</v>
      </c>
      <c r="M66" s="31">
        <f>1916</f>
        <v>1916</v>
      </c>
      <c r="N66" s="32" t="s">
        <v>78</v>
      </c>
      <c r="O66" s="31">
        <f>1856</f>
        <v>1856</v>
      </c>
      <c r="P66" s="32" t="s">
        <v>1002</v>
      </c>
      <c r="Q66" s="31">
        <f>1907</f>
        <v>1907</v>
      </c>
      <c r="R66" s="32" t="s">
        <v>997</v>
      </c>
      <c r="S66" s="33">
        <f>1885.79</f>
        <v>1885.79</v>
      </c>
      <c r="T66" s="30">
        <f>6075479</f>
        <v>6075479</v>
      </c>
      <c r="U66" s="30">
        <f>2481789</f>
        <v>2481789</v>
      </c>
      <c r="V66" s="30">
        <f>11442954727</f>
        <v>11442954727</v>
      </c>
      <c r="W66" s="30">
        <f>4625145030</f>
        <v>4625145030</v>
      </c>
      <c r="X66" s="34">
        <f>19</f>
        <v>19</v>
      </c>
    </row>
    <row r="67" spans="1:24" ht="13.5" customHeight="1" x14ac:dyDescent="0.15">
      <c r="A67" s="25" t="s">
        <v>994</v>
      </c>
      <c r="B67" s="25" t="s">
        <v>225</v>
      </c>
      <c r="C67" s="25" t="s">
        <v>226</v>
      </c>
      <c r="D67" s="25" t="s">
        <v>227</v>
      </c>
      <c r="E67" s="26" t="s">
        <v>45</v>
      </c>
      <c r="F67" s="27" t="s">
        <v>45</v>
      </c>
      <c r="G67" s="28" t="s">
        <v>45</v>
      </c>
      <c r="H67" s="29"/>
      <c r="I67" s="29" t="s">
        <v>46</v>
      </c>
      <c r="J67" s="30">
        <v>1</v>
      </c>
      <c r="K67" s="31">
        <f>1921</f>
        <v>1921</v>
      </c>
      <c r="L67" s="32" t="s">
        <v>995</v>
      </c>
      <c r="M67" s="31">
        <f>1930</f>
        <v>1930</v>
      </c>
      <c r="N67" s="32" t="s">
        <v>80</v>
      </c>
      <c r="O67" s="31">
        <f>1881</f>
        <v>1881</v>
      </c>
      <c r="P67" s="32" t="s">
        <v>793</v>
      </c>
      <c r="Q67" s="31">
        <f>1918</f>
        <v>1918</v>
      </c>
      <c r="R67" s="32" t="s">
        <v>997</v>
      </c>
      <c r="S67" s="33">
        <f>1911.83</f>
        <v>1911.83</v>
      </c>
      <c r="T67" s="30">
        <f>460197</f>
        <v>460197</v>
      </c>
      <c r="U67" s="30">
        <f>419349</f>
        <v>419349</v>
      </c>
      <c r="V67" s="30">
        <f>881039221</f>
        <v>881039221</v>
      </c>
      <c r="W67" s="30">
        <f>802771107</f>
        <v>802771107</v>
      </c>
      <c r="X67" s="34">
        <f>18</f>
        <v>18</v>
      </c>
    </row>
    <row r="68" spans="1:24" ht="13.5" customHeight="1" x14ac:dyDescent="0.15">
      <c r="A68" s="25" t="s">
        <v>994</v>
      </c>
      <c r="B68" s="25" t="s">
        <v>228</v>
      </c>
      <c r="C68" s="25" t="s">
        <v>229</v>
      </c>
      <c r="D68" s="25" t="s">
        <v>230</v>
      </c>
      <c r="E68" s="26" t="s">
        <v>45</v>
      </c>
      <c r="F68" s="27" t="s">
        <v>45</v>
      </c>
      <c r="G68" s="28" t="s">
        <v>45</v>
      </c>
      <c r="H68" s="29"/>
      <c r="I68" s="29" t="s">
        <v>46</v>
      </c>
      <c r="J68" s="30">
        <v>1</v>
      </c>
      <c r="K68" s="31">
        <f>2448</f>
        <v>2448</v>
      </c>
      <c r="L68" s="32" t="s">
        <v>995</v>
      </c>
      <c r="M68" s="31">
        <f>2465</f>
        <v>2465</v>
      </c>
      <c r="N68" s="32" t="s">
        <v>997</v>
      </c>
      <c r="O68" s="31">
        <f>2386</f>
        <v>2386</v>
      </c>
      <c r="P68" s="32" t="s">
        <v>1004</v>
      </c>
      <c r="Q68" s="31">
        <f>2447</f>
        <v>2447</v>
      </c>
      <c r="R68" s="32" t="s">
        <v>997</v>
      </c>
      <c r="S68" s="33">
        <f>2429.47</f>
        <v>2429.4699999999998</v>
      </c>
      <c r="T68" s="30">
        <f>787772</f>
        <v>787772</v>
      </c>
      <c r="U68" s="30">
        <f>89200</f>
        <v>89200</v>
      </c>
      <c r="V68" s="30">
        <f>1920962082</f>
        <v>1920962082</v>
      </c>
      <c r="W68" s="30">
        <f>216810560</f>
        <v>216810560</v>
      </c>
      <c r="X68" s="34">
        <f>19</f>
        <v>19</v>
      </c>
    </row>
    <row r="69" spans="1:24" ht="13.5" customHeight="1" x14ac:dyDescent="0.15">
      <c r="A69" s="25" t="s">
        <v>994</v>
      </c>
      <c r="B69" s="25" t="s">
        <v>231</v>
      </c>
      <c r="C69" s="25" t="s">
        <v>232</v>
      </c>
      <c r="D69" s="25" t="s">
        <v>233</v>
      </c>
      <c r="E69" s="26" t="s">
        <v>45</v>
      </c>
      <c r="F69" s="27" t="s">
        <v>45</v>
      </c>
      <c r="G69" s="28" t="s">
        <v>45</v>
      </c>
      <c r="H69" s="29"/>
      <c r="I69" s="29" t="s">
        <v>46</v>
      </c>
      <c r="J69" s="30">
        <v>1</v>
      </c>
      <c r="K69" s="31">
        <f>24230</f>
        <v>24230</v>
      </c>
      <c r="L69" s="32" t="s">
        <v>999</v>
      </c>
      <c r="M69" s="31">
        <f>24485</f>
        <v>24485</v>
      </c>
      <c r="N69" s="32" t="s">
        <v>1005</v>
      </c>
      <c r="O69" s="31">
        <f>23880</f>
        <v>23880</v>
      </c>
      <c r="P69" s="32" t="s">
        <v>793</v>
      </c>
      <c r="Q69" s="31">
        <f>23880</f>
        <v>23880</v>
      </c>
      <c r="R69" s="32" t="s">
        <v>793</v>
      </c>
      <c r="S69" s="33">
        <f>24247.78</f>
        <v>24247.78</v>
      </c>
      <c r="T69" s="30">
        <f>11</f>
        <v>11</v>
      </c>
      <c r="U69" s="30" t="str">
        <f>"－"</f>
        <v>－</v>
      </c>
      <c r="V69" s="30">
        <f>267050</f>
        <v>267050</v>
      </c>
      <c r="W69" s="30" t="str">
        <f>"－"</f>
        <v>－</v>
      </c>
      <c r="X69" s="34">
        <f>9</f>
        <v>9</v>
      </c>
    </row>
    <row r="70" spans="1:24" ht="13.5" customHeight="1" x14ac:dyDescent="0.15">
      <c r="A70" s="25" t="s">
        <v>994</v>
      </c>
      <c r="B70" s="25" t="s">
        <v>234</v>
      </c>
      <c r="C70" s="25" t="s">
        <v>235</v>
      </c>
      <c r="D70" s="25" t="s">
        <v>236</v>
      </c>
      <c r="E70" s="26" t="s">
        <v>45</v>
      </c>
      <c r="F70" s="27" t="s">
        <v>45</v>
      </c>
      <c r="G70" s="28" t="s">
        <v>45</v>
      </c>
      <c r="H70" s="29"/>
      <c r="I70" s="29" t="s">
        <v>46</v>
      </c>
      <c r="J70" s="30">
        <v>1</v>
      </c>
      <c r="K70" s="31">
        <f>19690</f>
        <v>19690</v>
      </c>
      <c r="L70" s="32" t="s">
        <v>999</v>
      </c>
      <c r="M70" s="31">
        <f>19860</f>
        <v>19860</v>
      </c>
      <c r="N70" s="32" t="s">
        <v>875</v>
      </c>
      <c r="O70" s="31">
        <f>19515</f>
        <v>19515</v>
      </c>
      <c r="P70" s="32" t="s">
        <v>996</v>
      </c>
      <c r="Q70" s="31">
        <f>19645</f>
        <v>19645</v>
      </c>
      <c r="R70" s="32" t="s">
        <v>1001</v>
      </c>
      <c r="S70" s="33">
        <f>19740.56</f>
        <v>19740.560000000001</v>
      </c>
      <c r="T70" s="30">
        <f>22</f>
        <v>22</v>
      </c>
      <c r="U70" s="30" t="str">
        <f>"－"</f>
        <v>－</v>
      </c>
      <c r="V70" s="30">
        <f>433935</f>
        <v>433935</v>
      </c>
      <c r="W70" s="30" t="str">
        <f>"－"</f>
        <v>－</v>
      </c>
      <c r="X70" s="34">
        <f>9</f>
        <v>9</v>
      </c>
    </row>
    <row r="71" spans="1:24" ht="13.5" customHeight="1" x14ac:dyDescent="0.15">
      <c r="A71" s="25" t="s">
        <v>994</v>
      </c>
      <c r="B71" s="25" t="s">
        <v>237</v>
      </c>
      <c r="C71" s="25" t="s">
        <v>238</v>
      </c>
      <c r="D71" s="25" t="s">
        <v>239</v>
      </c>
      <c r="E71" s="26" t="s">
        <v>45</v>
      </c>
      <c r="F71" s="27" t="s">
        <v>45</v>
      </c>
      <c r="G71" s="28" t="s">
        <v>45</v>
      </c>
      <c r="H71" s="29"/>
      <c r="I71" s="29" t="s">
        <v>46</v>
      </c>
      <c r="J71" s="30">
        <v>1</v>
      </c>
      <c r="K71" s="31">
        <f>2048</f>
        <v>2048</v>
      </c>
      <c r="L71" s="32" t="s">
        <v>995</v>
      </c>
      <c r="M71" s="31">
        <f>2067</f>
        <v>2067</v>
      </c>
      <c r="N71" s="32" t="s">
        <v>998</v>
      </c>
      <c r="O71" s="31">
        <f>2028</f>
        <v>2028</v>
      </c>
      <c r="P71" s="32" t="s">
        <v>999</v>
      </c>
      <c r="Q71" s="31">
        <f>2057</f>
        <v>2057</v>
      </c>
      <c r="R71" s="32" t="s">
        <v>997</v>
      </c>
      <c r="S71" s="33">
        <f>2051</f>
        <v>2051</v>
      </c>
      <c r="T71" s="30">
        <f>706</f>
        <v>706</v>
      </c>
      <c r="U71" s="30" t="str">
        <f>"－"</f>
        <v>－</v>
      </c>
      <c r="V71" s="30">
        <f>1448713</f>
        <v>1448713</v>
      </c>
      <c r="W71" s="30" t="str">
        <f>"－"</f>
        <v>－</v>
      </c>
      <c r="X71" s="34">
        <f>18</f>
        <v>18</v>
      </c>
    </row>
    <row r="72" spans="1:24" ht="13.5" customHeight="1" x14ac:dyDescent="0.15">
      <c r="A72" s="25" t="s">
        <v>994</v>
      </c>
      <c r="B72" s="25" t="s">
        <v>240</v>
      </c>
      <c r="C72" s="25" t="s">
        <v>241</v>
      </c>
      <c r="D72" s="25" t="s">
        <v>242</v>
      </c>
      <c r="E72" s="26" t="s">
        <v>45</v>
      </c>
      <c r="F72" s="27" t="s">
        <v>45</v>
      </c>
      <c r="G72" s="28" t="s">
        <v>45</v>
      </c>
      <c r="H72" s="29"/>
      <c r="I72" s="29" t="s">
        <v>46</v>
      </c>
      <c r="J72" s="30">
        <v>1</v>
      </c>
      <c r="K72" s="31">
        <f>1942</f>
        <v>1942</v>
      </c>
      <c r="L72" s="32" t="s">
        <v>995</v>
      </c>
      <c r="M72" s="31">
        <f>1964</f>
        <v>1964</v>
      </c>
      <c r="N72" s="32" t="s">
        <v>996</v>
      </c>
      <c r="O72" s="31">
        <f>1865</f>
        <v>1865</v>
      </c>
      <c r="P72" s="32" t="s">
        <v>255</v>
      </c>
      <c r="Q72" s="31">
        <f>1868</f>
        <v>1868</v>
      </c>
      <c r="R72" s="32" t="s">
        <v>997</v>
      </c>
      <c r="S72" s="33">
        <f>1906.68</f>
        <v>1906.68</v>
      </c>
      <c r="T72" s="30">
        <f>9376679</f>
        <v>9376679</v>
      </c>
      <c r="U72" s="30">
        <f>8285254</f>
        <v>8285254</v>
      </c>
      <c r="V72" s="30">
        <f>17812356395</f>
        <v>17812356395</v>
      </c>
      <c r="W72" s="30">
        <f>15734188638</f>
        <v>15734188638</v>
      </c>
      <c r="X72" s="34">
        <f>19</f>
        <v>19</v>
      </c>
    </row>
    <row r="73" spans="1:24" ht="13.5" customHeight="1" x14ac:dyDescent="0.15">
      <c r="A73" s="25" t="s">
        <v>994</v>
      </c>
      <c r="B73" s="25" t="s">
        <v>243</v>
      </c>
      <c r="C73" s="25" t="s">
        <v>244</v>
      </c>
      <c r="D73" s="25" t="s">
        <v>245</v>
      </c>
      <c r="E73" s="26" t="s">
        <v>45</v>
      </c>
      <c r="F73" s="27" t="s">
        <v>45</v>
      </c>
      <c r="G73" s="28" t="s">
        <v>45</v>
      </c>
      <c r="H73" s="29"/>
      <c r="I73" s="29" t="s">
        <v>46</v>
      </c>
      <c r="J73" s="30">
        <v>1</v>
      </c>
      <c r="K73" s="31">
        <f>2060</f>
        <v>2060</v>
      </c>
      <c r="L73" s="32" t="s">
        <v>995</v>
      </c>
      <c r="M73" s="31">
        <f>2075</f>
        <v>2075</v>
      </c>
      <c r="N73" s="32" t="s">
        <v>995</v>
      </c>
      <c r="O73" s="31">
        <f>2000</f>
        <v>2000</v>
      </c>
      <c r="P73" s="32" t="s">
        <v>998</v>
      </c>
      <c r="Q73" s="31">
        <f>2046</f>
        <v>2046</v>
      </c>
      <c r="R73" s="32" t="s">
        <v>997</v>
      </c>
      <c r="S73" s="33">
        <f>2047.68</f>
        <v>2047.68</v>
      </c>
      <c r="T73" s="30">
        <f>1174</f>
        <v>1174</v>
      </c>
      <c r="U73" s="30" t="str">
        <f>"－"</f>
        <v>－</v>
      </c>
      <c r="V73" s="30">
        <f>2389196</f>
        <v>2389196</v>
      </c>
      <c r="W73" s="30" t="str">
        <f>"－"</f>
        <v>－</v>
      </c>
      <c r="X73" s="34">
        <f>19</f>
        <v>19</v>
      </c>
    </row>
    <row r="74" spans="1:24" ht="13.5" customHeight="1" x14ac:dyDescent="0.15">
      <c r="A74" s="25" t="s">
        <v>994</v>
      </c>
      <c r="B74" s="25" t="s">
        <v>246</v>
      </c>
      <c r="C74" s="25" t="s">
        <v>247</v>
      </c>
      <c r="D74" s="25" t="s">
        <v>248</v>
      </c>
      <c r="E74" s="26" t="s">
        <v>45</v>
      </c>
      <c r="F74" s="27" t="s">
        <v>45</v>
      </c>
      <c r="G74" s="28" t="s">
        <v>45</v>
      </c>
      <c r="H74" s="29"/>
      <c r="I74" s="29" t="s">
        <v>46</v>
      </c>
      <c r="J74" s="30">
        <v>10</v>
      </c>
      <c r="K74" s="31">
        <f>2017</f>
        <v>2017</v>
      </c>
      <c r="L74" s="32" t="s">
        <v>995</v>
      </c>
      <c r="M74" s="31">
        <f>2045.5</f>
        <v>2045.5</v>
      </c>
      <c r="N74" s="32" t="s">
        <v>998</v>
      </c>
      <c r="O74" s="31">
        <f>2001.5</f>
        <v>2001.5</v>
      </c>
      <c r="P74" s="32" t="s">
        <v>999</v>
      </c>
      <c r="Q74" s="31">
        <f>2027</f>
        <v>2027</v>
      </c>
      <c r="R74" s="32" t="s">
        <v>997</v>
      </c>
      <c r="S74" s="33">
        <f>2024</f>
        <v>2024</v>
      </c>
      <c r="T74" s="30">
        <f>1420</f>
        <v>1420</v>
      </c>
      <c r="U74" s="30" t="str">
        <f>"－"</f>
        <v>－</v>
      </c>
      <c r="V74" s="30">
        <f>2872090</f>
        <v>2872090</v>
      </c>
      <c r="W74" s="30" t="str">
        <f>"－"</f>
        <v>－</v>
      </c>
      <c r="X74" s="34">
        <f>19</f>
        <v>19</v>
      </c>
    </row>
    <row r="75" spans="1:24" ht="13.5" customHeight="1" x14ac:dyDescent="0.15">
      <c r="A75" s="25" t="s">
        <v>994</v>
      </c>
      <c r="B75" s="25" t="s">
        <v>249</v>
      </c>
      <c r="C75" s="25" t="s">
        <v>250</v>
      </c>
      <c r="D75" s="25" t="s">
        <v>251</v>
      </c>
      <c r="E75" s="26" t="s">
        <v>45</v>
      </c>
      <c r="F75" s="27" t="s">
        <v>45</v>
      </c>
      <c r="G75" s="28" t="s">
        <v>45</v>
      </c>
      <c r="H75" s="29"/>
      <c r="I75" s="29" t="s">
        <v>46</v>
      </c>
      <c r="J75" s="30">
        <v>1</v>
      </c>
      <c r="K75" s="31">
        <f>30560</f>
        <v>30560</v>
      </c>
      <c r="L75" s="32" t="s">
        <v>996</v>
      </c>
      <c r="M75" s="31">
        <f>30560</f>
        <v>30560</v>
      </c>
      <c r="N75" s="32" t="s">
        <v>996</v>
      </c>
      <c r="O75" s="31">
        <f>30510</f>
        <v>30510</v>
      </c>
      <c r="P75" s="32" t="s">
        <v>997</v>
      </c>
      <c r="Q75" s="31">
        <f>30510</f>
        <v>30510</v>
      </c>
      <c r="R75" s="32" t="s">
        <v>997</v>
      </c>
      <c r="S75" s="33">
        <f>30535</f>
        <v>30535</v>
      </c>
      <c r="T75" s="30">
        <f>998</f>
        <v>998</v>
      </c>
      <c r="U75" s="30" t="str">
        <f>"－"</f>
        <v>－</v>
      </c>
      <c r="V75" s="30">
        <f>30452030</f>
        <v>30452030</v>
      </c>
      <c r="W75" s="30" t="str">
        <f>"－"</f>
        <v>－</v>
      </c>
      <c r="X75" s="34">
        <f>2</f>
        <v>2</v>
      </c>
    </row>
    <row r="76" spans="1:24" ht="13.5" customHeight="1" x14ac:dyDescent="0.15">
      <c r="A76" s="25" t="s">
        <v>994</v>
      </c>
      <c r="B76" s="25" t="s">
        <v>252</v>
      </c>
      <c r="C76" s="25" t="s">
        <v>253</v>
      </c>
      <c r="D76" s="25" t="s">
        <v>254</v>
      </c>
      <c r="E76" s="26" t="s">
        <v>45</v>
      </c>
      <c r="F76" s="27" t="s">
        <v>45</v>
      </c>
      <c r="G76" s="28" t="s">
        <v>45</v>
      </c>
      <c r="H76" s="29"/>
      <c r="I76" s="29" t="s">
        <v>46</v>
      </c>
      <c r="J76" s="30">
        <v>1</v>
      </c>
      <c r="K76" s="31">
        <f>21320</f>
        <v>21320</v>
      </c>
      <c r="L76" s="32" t="s">
        <v>995</v>
      </c>
      <c r="M76" s="31">
        <f>21650</f>
        <v>21650</v>
      </c>
      <c r="N76" s="32" t="s">
        <v>78</v>
      </c>
      <c r="O76" s="31">
        <f>21075</f>
        <v>21075</v>
      </c>
      <c r="P76" s="32" t="s">
        <v>56</v>
      </c>
      <c r="Q76" s="31">
        <f>21525</f>
        <v>21525</v>
      </c>
      <c r="R76" s="32" t="s">
        <v>997</v>
      </c>
      <c r="S76" s="33">
        <f>21315.26</f>
        <v>21315.26</v>
      </c>
      <c r="T76" s="30">
        <f>94774</f>
        <v>94774</v>
      </c>
      <c r="U76" s="30">
        <f>2</f>
        <v>2</v>
      </c>
      <c r="V76" s="30">
        <f>2026361180</f>
        <v>2026361180</v>
      </c>
      <c r="W76" s="30">
        <f>42710</f>
        <v>42710</v>
      </c>
      <c r="X76" s="34">
        <f>19</f>
        <v>19</v>
      </c>
    </row>
    <row r="77" spans="1:24" ht="13.5" customHeight="1" x14ac:dyDescent="0.15">
      <c r="A77" s="25" t="s">
        <v>994</v>
      </c>
      <c r="B77" s="25" t="s">
        <v>256</v>
      </c>
      <c r="C77" s="25" t="s">
        <v>257</v>
      </c>
      <c r="D77" s="25" t="s">
        <v>258</v>
      </c>
      <c r="E77" s="26" t="s">
        <v>45</v>
      </c>
      <c r="F77" s="27" t="s">
        <v>45</v>
      </c>
      <c r="G77" s="28" t="s">
        <v>45</v>
      </c>
      <c r="H77" s="29"/>
      <c r="I77" s="29" t="s">
        <v>46</v>
      </c>
      <c r="J77" s="30">
        <v>1</v>
      </c>
      <c r="K77" s="31">
        <f>14905</f>
        <v>14905</v>
      </c>
      <c r="L77" s="32" t="s">
        <v>995</v>
      </c>
      <c r="M77" s="31">
        <f>15095</f>
        <v>15095</v>
      </c>
      <c r="N77" s="32" t="s">
        <v>996</v>
      </c>
      <c r="O77" s="31">
        <f>14340</f>
        <v>14340</v>
      </c>
      <c r="P77" s="32" t="s">
        <v>255</v>
      </c>
      <c r="Q77" s="31">
        <f>14360</f>
        <v>14360</v>
      </c>
      <c r="R77" s="32" t="s">
        <v>997</v>
      </c>
      <c r="S77" s="33">
        <f>14652.11</f>
        <v>14652.11</v>
      </c>
      <c r="T77" s="30">
        <f>281176</f>
        <v>281176</v>
      </c>
      <c r="U77" s="30">
        <f>191901</f>
        <v>191901</v>
      </c>
      <c r="V77" s="30">
        <f>4087892890</f>
        <v>4087892890</v>
      </c>
      <c r="W77" s="30">
        <f>2776328190</f>
        <v>2776328190</v>
      </c>
      <c r="X77" s="34">
        <f>19</f>
        <v>19</v>
      </c>
    </row>
    <row r="78" spans="1:24" ht="13.5" customHeight="1" x14ac:dyDescent="0.15">
      <c r="A78" s="25" t="s">
        <v>994</v>
      </c>
      <c r="B78" s="25" t="s">
        <v>259</v>
      </c>
      <c r="C78" s="25" t="s">
        <v>260</v>
      </c>
      <c r="D78" s="25" t="s">
        <v>261</v>
      </c>
      <c r="E78" s="26" t="s">
        <v>45</v>
      </c>
      <c r="F78" s="27" t="s">
        <v>45</v>
      </c>
      <c r="G78" s="28" t="s">
        <v>45</v>
      </c>
      <c r="H78" s="29"/>
      <c r="I78" s="29" t="s">
        <v>46</v>
      </c>
      <c r="J78" s="30">
        <v>10</v>
      </c>
      <c r="K78" s="31">
        <f>1904.5</f>
        <v>1904.5</v>
      </c>
      <c r="L78" s="32" t="s">
        <v>995</v>
      </c>
      <c r="M78" s="31">
        <f>1926</f>
        <v>1926</v>
      </c>
      <c r="N78" s="32" t="s">
        <v>997</v>
      </c>
      <c r="O78" s="31">
        <f>1872</f>
        <v>1872</v>
      </c>
      <c r="P78" s="32" t="s">
        <v>1002</v>
      </c>
      <c r="Q78" s="31">
        <f>1922</f>
        <v>1922</v>
      </c>
      <c r="R78" s="32" t="s">
        <v>997</v>
      </c>
      <c r="S78" s="33">
        <f>1896.68</f>
        <v>1896.68</v>
      </c>
      <c r="T78" s="30">
        <f>636910</f>
        <v>636910</v>
      </c>
      <c r="U78" s="30">
        <f>151560</f>
        <v>151560</v>
      </c>
      <c r="V78" s="30">
        <f>1208703507</f>
        <v>1208703507</v>
      </c>
      <c r="W78" s="30">
        <f>288286312</f>
        <v>288286312</v>
      </c>
      <c r="X78" s="34">
        <f>19</f>
        <v>19</v>
      </c>
    </row>
    <row r="79" spans="1:24" ht="13.5" customHeight="1" x14ac:dyDescent="0.15">
      <c r="A79" s="25" t="s">
        <v>994</v>
      </c>
      <c r="B79" s="25" t="s">
        <v>262</v>
      </c>
      <c r="C79" s="25" t="s">
        <v>263</v>
      </c>
      <c r="D79" s="25" t="s">
        <v>264</v>
      </c>
      <c r="E79" s="26" t="s">
        <v>45</v>
      </c>
      <c r="F79" s="27" t="s">
        <v>45</v>
      </c>
      <c r="G79" s="28" t="s">
        <v>45</v>
      </c>
      <c r="H79" s="29"/>
      <c r="I79" s="29" t="s">
        <v>46</v>
      </c>
      <c r="J79" s="30">
        <v>1</v>
      </c>
      <c r="K79" s="31">
        <f>44910</f>
        <v>44910</v>
      </c>
      <c r="L79" s="32" t="s">
        <v>995</v>
      </c>
      <c r="M79" s="31">
        <f>47320</f>
        <v>47320</v>
      </c>
      <c r="N79" s="32" t="s">
        <v>997</v>
      </c>
      <c r="O79" s="31">
        <f>43630</f>
        <v>43630</v>
      </c>
      <c r="P79" s="32" t="s">
        <v>996</v>
      </c>
      <c r="Q79" s="31">
        <f>46850</f>
        <v>46850</v>
      </c>
      <c r="R79" s="32" t="s">
        <v>997</v>
      </c>
      <c r="S79" s="33">
        <f>45667.37</f>
        <v>45667.37</v>
      </c>
      <c r="T79" s="30">
        <f>277486</f>
        <v>277486</v>
      </c>
      <c r="U79" s="30">
        <f>21719</f>
        <v>21719</v>
      </c>
      <c r="V79" s="30">
        <f>12762462644</f>
        <v>12762462644</v>
      </c>
      <c r="W79" s="30">
        <f>991470114</f>
        <v>991470114</v>
      </c>
      <c r="X79" s="34">
        <f>19</f>
        <v>19</v>
      </c>
    </row>
    <row r="80" spans="1:24" ht="13.5" customHeight="1" x14ac:dyDescent="0.15">
      <c r="A80" s="25" t="s">
        <v>994</v>
      </c>
      <c r="B80" s="25" t="s">
        <v>265</v>
      </c>
      <c r="C80" s="25" t="s">
        <v>266</v>
      </c>
      <c r="D80" s="25" t="s">
        <v>267</v>
      </c>
      <c r="E80" s="26" t="s">
        <v>45</v>
      </c>
      <c r="F80" s="27" t="s">
        <v>45</v>
      </c>
      <c r="G80" s="28" t="s">
        <v>45</v>
      </c>
      <c r="H80" s="29"/>
      <c r="I80" s="29" t="s">
        <v>46</v>
      </c>
      <c r="J80" s="30">
        <v>10</v>
      </c>
      <c r="K80" s="31">
        <f>7525</f>
        <v>7525</v>
      </c>
      <c r="L80" s="32" t="s">
        <v>80</v>
      </c>
      <c r="M80" s="31">
        <f>7659</f>
        <v>7659</v>
      </c>
      <c r="N80" s="32" t="s">
        <v>997</v>
      </c>
      <c r="O80" s="31">
        <f>7525</f>
        <v>7525</v>
      </c>
      <c r="P80" s="32" t="s">
        <v>80</v>
      </c>
      <c r="Q80" s="31">
        <f>7659</f>
        <v>7659</v>
      </c>
      <c r="R80" s="32" t="s">
        <v>997</v>
      </c>
      <c r="S80" s="33">
        <f>7592</f>
        <v>7592</v>
      </c>
      <c r="T80" s="30">
        <f>30</f>
        <v>30</v>
      </c>
      <c r="U80" s="30" t="str">
        <f>"－"</f>
        <v>－</v>
      </c>
      <c r="V80" s="30">
        <f>228430</f>
        <v>228430</v>
      </c>
      <c r="W80" s="30" t="str">
        <f>"－"</f>
        <v>－</v>
      </c>
      <c r="X80" s="34">
        <f>2</f>
        <v>2</v>
      </c>
    </row>
    <row r="81" spans="1:24" ht="13.5" customHeight="1" x14ac:dyDescent="0.15">
      <c r="A81" s="25" t="s">
        <v>994</v>
      </c>
      <c r="B81" s="25" t="s">
        <v>268</v>
      </c>
      <c r="C81" s="25" t="s">
        <v>269</v>
      </c>
      <c r="D81" s="25" t="s">
        <v>270</v>
      </c>
      <c r="E81" s="26" t="s">
        <v>45</v>
      </c>
      <c r="F81" s="27" t="s">
        <v>45</v>
      </c>
      <c r="G81" s="28" t="s">
        <v>45</v>
      </c>
      <c r="H81" s="29"/>
      <c r="I81" s="29" t="s">
        <v>46</v>
      </c>
      <c r="J81" s="30">
        <v>1</v>
      </c>
      <c r="K81" s="31">
        <f>15875</f>
        <v>15875</v>
      </c>
      <c r="L81" s="32" t="s">
        <v>995</v>
      </c>
      <c r="M81" s="31">
        <f>15975</f>
        <v>15975</v>
      </c>
      <c r="N81" s="32" t="s">
        <v>875</v>
      </c>
      <c r="O81" s="31">
        <f>15655</f>
        <v>15655</v>
      </c>
      <c r="P81" s="32" t="s">
        <v>1004</v>
      </c>
      <c r="Q81" s="31">
        <f>15935</f>
        <v>15935</v>
      </c>
      <c r="R81" s="32" t="s">
        <v>997</v>
      </c>
      <c r="S81" s="33">
        <f>15800</f>
        <v>15800</v>
      </c>
      <c r="T81" s="30">
        <f>280</f>
        <v>280</v>
      </c>
      <c r="U81" s="30" t="str">
        <f>"－"</f>
        <v>－</v>
      </c>
      <c r="V81" s="30">
        <f>4429265</f>
        <v>4429265</v>
      </c>
      <c r="W81" s="30" t="str">
        <f>"－"</f>
        <v>－</v>
      </c>
      <c r="X81" s="34">
        <f>19</f>
        <v>19</v>
      </c>
    </row>
    <row r="82" spans="1:24" ht="13.5" customHeight="1" x14ac:dyDescent="0.15">
      <c r="A82" s="25" t="s">
        <v>994</v>
      </c>
      <c r="B82" s="25" t="s">
        <v>271</v>
      </c>
      <c r="C82" s="25" t="s">
        <v>272</v>
      </c>
      <c r="D82" s="25" t="s">
        <v>273</v>
      </c>
      <c r="E82" s="26" t="s">
        <v>45</v>
      </c>
      <c r="F82" s="27" t="s">
        <v>45</v>
      </c>
      <c r="G82" s="28" t="s">
        <v>45</v>
      </c>
      <c r="H82" s="29"/>
      <c r="I82" s="29" t="s">
        <v>46</v>
      </c>
      <c r="J82" s="30">
        <v>1</v>
      </c>
      <c r="K82" s="31">
        <f>15955</f>
        <v>15955</v>
      </c>
      <c r="L82" s="32" t="s">
        <v>995</v>
      </c>
      <c r="M82" s="31">
        <f>15960</f>
        <v>15960</v>
      </c>
      <c r="N82" s="32" t="s">
        <v>995</v>
      </c>
      <c r="O82" s="31">
        <f>15575</f>
        <v>15575</v>
      </c>
      <c r="P82" s="32" t="s">
        <v>56</v>
      </c>
      <c r="Q82" s="31">
        <f>15840</f>
        <v>15840</v>
      </c>
      <c r="R82" s="32" t="s">
        <v>997</v>
      </c>
      <c r="S82" s="33">
        <f>15741.58</f>
        <v>15741.58</v>
      </c>
      <c r="T82" s="30">
        <f>1035</f>
        <v>1035</v>
      </c>
      <c r="U82" s="30" t="str">
        <f>"－"</f>
        <v>－</v>
      </c>
      <c r="V82" s="30">
        <f>16392420</f>
        <v>16392420</v>
      </c>
      <c r="W82" s="30" t="str">
        <f>"－"</f>
        <v>－</v>
      </c>
      <c r="X82" s="34">
        <f>19</f>
        <v>19</v>
      </c>
    </row>
    <row r="83" spans="1:24" ht="13.5" customHeight="1" x14ac:dyDescent="0.15">
      <c r="A83" s="25" t="s">
        <v>994</v>
      </c>
      <c r="B83" s="25" t="s">
        <v>274</v>
      </c>
      <c r="C83" s="25" t="s">
        <v>275</v>
      </c>
      <c r="D83" s="25" t="s">
        <v>276</v>
      </c>
      <c r="E83" s="26" t="s">
        <v>45</v>
      </c>
      <c r="F83" s="27" t="s">
        <v>45</v>
      </c>
      <c r="G83" s="28" t="s">
        <v>45</v>
      </c>
      <c r="H83" s="29"/>
      <c r="I83" s="29" t="s">
        <v>46</v>
      </c>
      <c r="J83" s="30">
        <v>1</v>
      </c>
      <c r="K83" s="31">
        <f>21500</f>
        <v>21500</v>
      </c>
      <c r="L83" s="32" t="s">
        <v>995</v>
      </c>
      <c r="M83" s="31">
        <f>22120</f>
        <v>22120</v>
      </c>
      <c r="N83" s="32" t="s">
        <v>997</v>
      </c>
      <c r="O83" s="31">
        <f>20760</f>
        <v>20760</v>
      </c>
      <c r="P83" s="32" t="s">
        <v>996</v>
      </c>
      <c r="Q83" s="31">
        <f>21985</f>
        <v>21985</v>
      </c>
      <c r="R83" s="32" t="s">
        <v>997</v>
      </c>
      <c r="S83" s="33">
        <f>21467.11</f>
        <v>21467.11</v>
      </c>
      <c r="T83" s="30">
        <f>7153</f>
        <v>7153</v>
      </c>
      <c r="U83" s="30">
        <f>2</f>
        <v>2</v>
      </c>
      <c r="V83" s="30">
        <f>152137355</f>
        <v>152137355</v>
      </c>
      <c r="W83" s="30">
        <f>44140</f>
        <v>44140</v>
      </c>
      <c r="X83" s="34">
        <f>19</f>
        <v>19</v>
      </c>
    </row>
    <row r="84" spans="1:24" ht="13.5" customHeight="1" x14ac:dyDescent="0.15">
      <c r="A84" s="25" t="s">
        <v>994</v>
      </c>
      <c r="B84" s="25" t="s">
        <v>277</v>
      </c>
      <c r="C84" s="25" t="s">
        <v>278</v>
      </c>
      <c r="D84" s="25" t="s">
        <v>279</v>
      </c>
      <c r="E84" s="26" t="s">
        <v>45</v>
      </c>
      <c r="F84" s="27" t="s">
        <v>45</v>
      </c>
      <c r="G84" s="28" t="s">
        <v>45</v>
      </c>
      <c r="H84" s="29"/>
      <c r="I84" s="29" t="s">
        <v>46</v>
      </c>
      <c r="J84" s="30">
        <v>10</v>
      </c>
      <c r="K84" s="31">
        <f>10510</f>
        <v>10510</v>
      </c>
      <c r="L84" s="32" t="s">
        <v>995</v>
      </c>
      <c r="M84" s="31">
        <f>10800</f>
        <v>10800</v>
      </c>
      <c r="N84" s="32" t="s">
        <v>999</v>
      </c>
      <c r="O84" s="31">
        <f>10460</f>
        <v>10460</v>
      </c>
      <c r="P84" s="32" t="s">
        <v>80</v>
      </c>
      <c r="Q84" s="31">
        <f>10600</f>
        <v>10600</v>
      </c>
      <c r="R84" s="32" t="s">
        <v>997</v>
      </c>
      <c r="S84" s="33">
        <f>10630.83</f>
        <v>10630.83</v>
      </c>
      <c r="T84" s="30">
        <f>5150</f>
        <v>5150</v>
      </c>
      <c r="U84" s="30">
        <f>50</f>
        <v>50</v>
      </c>
      <c r="V84" s="30">
        <f>54696550</f>
        <v>54696550</v>
      </c>
      <c r="W84" s="30">
        <f>531500</f>
        <v>531500</v>
      </c>
      <c r="X84" s="34">
        <f>18</f>
        <v>18</v>
      </c>
    </row>
    <row r="85" spans="1:24" ht="13.5" customHeight="1" x14ac:dyDescent="0.15">
      <c r="A85" s="25" t="s">
        <v>994</v>
      </c>
      <c r="B85" s="25" t="s">
        <v>280</v>
      </c>
      <c r="C85" s="25" t="s">
        <v>281</v>
      </c>
      <c r="D85" s="25" t="s">
        <v>282</v>
      </c>
      <c r="E85" s="26" t="s">
        <v>45</v>
      </c>
      <c r="F85" s="27" t="s">
        <v>45</v>
      </c>
      <c r="G85" s="28" t="s">
        <v>45</v>
      </c>
      <c r="H85" s="29"/>
      <c r="I85" s="29" t="s">
        <v>46</v>
      </c>
      <c r="J85" s="30">
        <v>1</v>
      </c>
      <c r="K85" s="31">
        <f>2045</f>
        <v>2045</v>
      </c>
      <c r="L85" s="32" t="s">
        <v>995</v>
      </c>
      <c r="M85" s="31">
        <f>2072</f>
        <v>2072</v>
      </c>
      <c r="N85" s="32" t="s">
        <v>996</v>
      </c>
      <c r="O85" s="31">
        <f>1945</f>
        <v>1945</v>
      </c>
      <c r="P85" s="32" t="s">
        <v>1001</v>
      </c>
      <c r="Q85" s="31">
        <f>1947</f>
        <v>1947</v>
      </c>
      <c r="R85" s="32" t="s">
        <v>997</v>
      </c>
      <c r="S85" s="33">
        <f>2001.53</f>
        <v>2001.53</v>
      </c>
      <c r="T85" s="30">
        <f>449211</f>
        <v>449211</v>
      </c>
      <c r="U85" s="30">
        <f>24630</f>
        <v>24630</v>
      </c>
      <c r="V85" s="30">
        <f>900998220</f>
        <v>900998220</v>
      </c>
      <c r="W85" s="30">
        <f>49998407</f>
        <v>49998407</v>
      </c>
      <c r="X85" s="34">
        <f>19</f>
        <v>19</v>
      </c>
    </row>
    <row r="86" spans="1:24" ht="13.5" customHeight="1" x14ac:dyDescent="0.15">
      <c r="A86" s="25" t="s">
        <v>994</v>
      </c>
      <c r="B86" s="25" t="s">
        <v>283</v>
      </c>
      <c r="C86" s="25" t="s">
        <v>284</v>
      </c>
      <c r="D86" s="25" t="s">
        <v>285</v>
      </c>
      <c r="E86" s="26" t="s">
        <v>45</v>
      </c>
      <c r="F86" s="27" t="s">
        <v>45</v>
      </c>
      <c r="G86" s="28" t="s">
        <v>45</v>
      </c>
      <c r="H86" s="29"/>
      <c r="I86" s="29" t="s">
        <v>46</v>
      </c>
      <c r="J86" s="30">
        <v>1</v>
      </c>
      <c r="K86" s="31">
        <f>1966</f>
        <v>1966</v>
      </c>
      <c r="L86" s="32" t="s">
        <v>995</v>
      </c>
      <c r="M86" s="31">
        <f>2004</f>
        <v>2004</v>
      </c>
      <c r="N86" s="32" t="s">
        <v>996</v>
      </c>
      <c r="O86" s="31">
        <f>1903</f>
        <v>1903</v>
      </c>
      <c r="P86" s="32" t="s">
        <v>1001</v>
      </c>
      <c r="Q86" s="31">
        <f>1936</f>
        <v>1936</v>
      </c>
      <c r="R86" s="32" t="s">
        <v>997</v>
      </c>
      <c r="S86" s="33">
        <f>1955.89</f>
        <v>1955.89</v>
      </c>
      <c r="T86" s="30">
        <f>473056</f>
        <v>473056</v>
      </c>
      <c r="U86" s="30" t="str">
        <f>"－"</f>
        <v>－</v>
      </c>
      <c r="V86" s="30">
        <f>921204971</f>
        <v>921204971</v>
      </c>
      <c r="W86" s="30" t="str">
        <f>"－"</f>
        <v>－</v>
      </c>
      <c r="X86" s="34">
        <f>19</f>
        <v>19</v>
      </c>
    </row>
    <row r="87" spans="1:24" ht="13.5" customHeight="1" x14ac:dyDescent="0.15">
      <c r="A87" s="25" t="s">
        <v>994</v>
      </c>
      <c r="B87" s="25" t="s">
        <v>286</v>
      </c>
      <c r="C87" s="25" t="s">
        <v>287</v>
      </c>
      <c r="D87" s="25" t="s">
        <v>288</v>
      </c>
      <c r="E87" s="26" t="s">
        <v>45</v>
      </c>
      <c r="F87" s="27" t="s">
        <v>45</v>
      </c>
      <c r="G87" s="28" t="s">
        <v>45</v>
      </c>
      <c r="H87" s="29"/>
      <c r="I87" s="29" t="s">
        <v>46</v>
      </c>
      <c r="J87" s="30">
        <v>1</v>
      </c>
      <c r="K87" s="31">
        <f>15075</f>
        <v>15075</v>
      </c>
      <c r="L87" s="32" t="s">
        <v>995</v>
      </c>
      <c r="M87" s="31">
        <f>15215</f>
        <v>15215</v>
      </c>
      <c r="N87" s="32" t="s">
        <v>998</v>
      </c>
      <c r="O87" s="31">
        <f>14860</f>
        <v>14860</v>
      </c>
      <c r="P87" s="32" t="s">
        <v>999</v>
      </c>
      <c r="Q87" s="31">
        <f>15145</f>
        <v>15145</v>
      </c>
      <c r="R87" s="32" t="s">
        <v>997</v>
      </c>
      <c r="S87" s="33">
        <f>15081.32</f>
        <v>15081.32</v>
      </c>
      <c r="T87" s="30">
        <f>35556</f>
        <v>35556</v>
      </c>
      <c r="U87" s="30">
        <f>28000</f>
        <v>28000</v>
      </c>
      <c r="V87" s="30">
        <f>535469000</f>
        <v>535469000</v>
      </c>
      <c r="W87" s="30">
        <f>421232000</f>
        <v>421232000</v>
      </c>
      <c r="X87" s="34">
        <f>19</f>
        <v>19</v>
      </c>
    </row>
    <row r="88" spans="1:24" ht="13.5" customHeight="1" x14ac:dyDescent="0.15">
      <c r="A88" s="25" t="s">
        <v>994</v>
      </c>
      <c r="B88" s="25" t="s">
        <v>289</v>
      </c>
      <c r="C88" s="25" t="s">
        <v>290</v>
      </c>
      <c r="D88" s="25" t="s">
        <v>291</v>
      </c>
      <c r="E88" s="26" t="s">
        <v>45</v>
      </c>
      <c r="F88" s="27" t="s">
        <v>45</v>
      </c>
      <c r="G88" s="28" t="s">
        <v>45</v>
      </c>
      <c r="H88" s="29"/>
      <c r="I88" s="29" t="s">
        <v>46</v>
      </c>
      <c r="J88" s="30">
        <v>1</v>
      </c>
      <c r="K88" s="31">
        <f>8775</f>
        <v>8775</v>
      </c>
      <c r="L88" s="32" t="s">
        <v>995</v>
      </c>
      <c r="M88" s="31">
        <f>8990</f>
        <v>8990</v>
      </c>
      <c r="N88" s="32" t="s">
        <v>996</v>
      </c>
      <c r="O88" s="31">
        <f>8321</f>
        <v>8321</v>
      </c>
      <c r="P88" s="32" t="s">
        <v>996</v>
      </c>
      <c r="Q88" s="31">
        <f>8785</f>
        <v>8785</v>
      </c>
      <c r="R88" s="32" t="s">
        <v>997</v>
      </c>
      <c r="S88" s="33">
        <f>8750.84</f>
        <v>8750.84</v>
      </c>
      <c r="T88" s="30">
        <f>4020</f>
        <v>4020</v>
      </c>
      <c r="U88" s="30" t="str">
        <f>"－"</f>
        <v>－</v>
      </c>
      <c r="V88" s="30">
        <f>35078895</f>
        <v>35078895</v>
      </c>
      <c r="W88" s="30" t="str">
        <f>"－"</f>
        <v>－</v>
      </c>
      <c r="X88" s="34">
        <f>19</f>
        <v>19</v>
      </c>
    </row>
    <row r="89" spans="1:24" ht="13.5" customHeight="1" x14ac:dyDescent="0.15">
      <c r="A89" s="25" t="s">
        <v>994</v>
      </c>
      <c r="B89" s="25" t="s">
        <v>292</v>
      </c>
      <c r="C89" s="25" t="s">
        <v>293</v>
      </c>
      <c r="D89" s="25" t="s">
        <v>294</v>
      </c>
      <c r="E89" s="26" t="s">
        <v>45</v>
      </c>
      <c r="F89" s="27" t="s">
        <v>45</v>
      </c>
      <c r="G89" s="28" t="s">
        <v>45</v>
      </c>
      <c r="H89" s="29"/>
      <c r="I89" s="29" t="s">
        <v>46</v>
      </c>
      <c r="J89" s="30">
        <v>1</v>
      </c>
      <c r="K89" s="31">
        <f>7645</f>
        <v>7645</v>
      </c>
      <c r="L89" s="32" t="s">
        <v>995</v>
      </c>
      <c r="M89" s="31">
        <f>7675</f>
        <v>7675</v>
      </c>
      <c r="N89" s="32" t="s">
        <v>999</v>
      </c>
      <c r="O89" s="31">
        <f>7464</f>
        <v>7464</v>
      </c>
      <c r="P89" s="32" t="s">
        <v>875</v>
      </c>
      <c r="Q89" s="31">
        <f>7549</f>
        <v>7549</v>
      </c>
      <c r="R89" s="32" t="s">
        <v>997</v>
      </c>
      <c r="S89" s="33">
        <f>7541.37</f>
        <v>7541.37</v>
      </c>
      <c r="T89" s="30">
        <f>1072543</f>
        <v>1072543</v>
      </c>
      <c r="U89" s="30">
        <f>65915</f>
        <v>65915</v>
      </c>
      <c r="V89" s="30">
        <f>8083551265</f>
        <v>8083551265</v>
      </c>
      <c r="W89" s="30">
        <f>494771041</f>
        <v>494771041</v>
      </c>
      <c r="X89" s="34">
        <f>19</f>
        <v>19</v>
      </c>
    </row>
    <row r="90" spans="1:24" ht="13.5" customHeight="1" x14ac:dyDescent="0.15">
      <c r="A90" s="25" t="s">
        <v>994</v>
      </c>
      <c r="B90" s="25" t="s">
        <v>295</v>
      </c>
      <c r="C90" s="25" t="s">
        <v>296</v>
      </c>
      <c r="D90" s="25" t="s">
        <v>297</v>
      </c>
      <c r="E90" s="26" t="s">
        <v>45</v>
      </c>
      <c r="F90" s="27" t="s">
        <v>45</v>
      </c>
      <c r="G90" s="28" t="s">
        <v>45</v>
      </c>
      <c r="H90" s="29"/>
      <c r="I90" s="29" t="s">
        <v>46</v>
      </c>
      <c r="J90" s="30">
        <v>1</v>
      </c>
      <c r="K90" s="31">
        <f>3965</f>
        <v>3965</v>
      </c>
      <c r="L90" s="32" t="s">
        <v>995</v>
      </c>
      <c r="M90" s="31">
        <f>3975</f>
        <v>3975</v>
      </c>
      <c r="N90" s="32" t="s">
        <v>995</v>
      </c>
      <c r="O90" s="31">
        <f>3715</f>
        <v>3715</v>
      </c>
      <c r="P90" s="32" t="s">
        <v>876</v>
      </c>
      <c r="Q90" s="31">
        <f>3840</f>
        <v>3840</v>
      </c>
      <c r="R90" s="32" t="s">
        <v>997</v>
      </c>
      <c r="S90" s="33">
        <f>3836.58</f>
        <v>3836.58</v>
      </c>
      <c r="T90" s="30">
        <f>492487</f>
        <v>492487</v>
      </c>
      <c r="U90" s="30" t="str">
        <f>"－"</f>
        <v>－</v>
      </c>
      <c r="V90" s="30">
        <f>1883137530</f>
        <v>1883137530</v>
      </c>
      <c r="W90" s="30" t="str">
        <f>"－"</f>
        <v>－</v>
      </c>
      <c r="X90" s="34">
        <f>19</f>
        <v>19</v>
      </c>
    </row>
    <row r="91" spans="1:24" ht="13.5" customHeight="1" x14ac:dyDescent="0.15">
      <c r="A91" s="25" t="s">
        <v>994</v>
      </c>
      <c r="B91" s="25" t="s">
        <v>298</v>
      </c>
      <c r="C91" s="25" t="s">
        <v>299</v>
      </c>
      <c r="D91" s="25" t="s">
        <v>300</v>
      </c>
      <c r="E91" s="26" t="s">
        <v>45</v>
      </c>
      <c r="F91" s="27" t="s">
        <v>45</v>
      </c>
      <c r="G91" s="28" t="s">
        <v>45</v>
      </c>
      <c r="H91" s="29"/>
      <c r="I91" s="29" t="s">
        <v>46</v>
      </c>
      <c r="J91" s="30">
        <v>1</v>
      </c>
      <c r="K91" s="31">
        <f>8924</f>
        <v>8924</v>
      </c>
      <c r="L91" s="32" t="s">
        <v>995</v>
      </c>
      <c r="M91" s="31">
        <f>9030</f>
        <v>9030</v>
      </c>
      <c r="N91" s="32" t="s">
        <v>999</v>
      </c>
      <c r="O91" s="31">
        <f>8380</f>
        <v>8380</v>
      </c>
      <c r="P91" s="32" t="s">
        <v>255</v>
      </c>
      <c r="Q91" s="31">
        <f>8411</f>
        <v>8411</v>
      </c>
      <c r="R91" s="32" t="s">
        <v>997</v>
      </c>
      <c r="S91" s="33">
        <f>8615.42</f>
        <v>8615.42</v>
      </c>
      <c r="T91" s="30">
        <f>116447</f>
        <v>116447</v>
      </c>
      <c r="U91" s="30">
        <f>4</f>
        <v>4</v>
      </c>
      <c r="V91" s="30">
        <f>1004051524</f>
        <v>1004051524</v>
      </c>
      <c r="W91" s="30">
        <f>35649</f>
        <v>35649</v>
      </c>
      <c r="X91" s="34">
        <f>19</f>
        <v>19</v>
      </c>
    </row>
    <row r="92" spans="1:24" ht="13.5" customHeight="1" x14ac:dyDescent="0.15">
      <c r="A92" s="25" t="s">
        <v>994</v>
      </c>
      <c r="B92" s="25" t="s">
        <v>301</v>
      </c>
      <c r="C92" s="25" t="s">
        <v>302</v>
      </c>
      <c r="D92" s="25" t="s">
        <v>303</v>
      </c>
      <c r="E92" s="26" t="s">
        <v>45</v>
      </c>
      <c r="F92" s="27" t="s">
        <v>45</v>
      </c>
      <c r="G92" s="28" t="s">
        <v>45</v>
      </c>
      <c r="H92" s="29"/>
      <c r="I92" s="29" t="s">
        <v>46</v>
      </c>
      <c r="J92" s="30">
        <v>1</v>
      </c>
      <c r="K92" s="31">
        <f>65730</f>
        <v>65730</v>
      </c>
      <c r="L92" s="32" t="s">
        <v>995</v>
      </c>
      <c r="M92" s="31">
        <f>66000</f>
        <v>66000</v>
      </c>
      <c r="N92" s="32" t="s">
        <v>1004</v>
      </c>
      <c r="O92" s="31">
        <f>59500</f>
        <v>59500</v>
      </c>
      <c r="P92" s="32" t="s">
        <v>793</v>
      </c>
      <c r="Q92" s="31">
        <f>60220</f>
        <v>60220</v>
      </c>
      <c r="R92" s="32" t="s">
        <v>997</v>
      </c>
      <c r="S92" s="33">
        <f>62881.05</f>
        <v>62881.05</v>
      </c>
      <c r="T92" s="30">
        <f>8773</f>
        <v>8773</v>
      </c>
      <c r="U92" s="30">
        <f>1</f>
        <v>1</v>
      </c>
      <c r="V92" s="30">
        <f>548652340</f>
        <v>548652340</v>
      </c>
      <c r="W92" s="30">
        <f>55800</f>
        <v>55800</v>
      </c>
      <c r="X92" s="34">
        <f>19</f>
        <v>19</v>
      </c>
    </row>
    <row r="93" spans="1:24" ht="13.5" customHeight="1" x14ac:dyDescent="0.15">
      <c r="A93" s="25" t="s">
        <v>994</v>
      </c>
      <c r="B93" s="25" t="s">
        <v>304</v>
      </c>
      <c r="C93" s="25" t="s">
        <v>895</v>
      </c>
      <c r="D93" s="25" t="s">
        <v>896</v>
      </c>
      <c r="E93" s="26" t="s">
        <v>45</v>
      </c>
      <c r="F93" s="27" t="s">
        <v>45</v>
      </c>
      <c r="G93" s="28" t="s">
        <v>45</v>
      </c>
      <c r="H93" s="29"/>
      <c r="I93" s="29" t="s">
        <v>46</v>
      </c>
      <c r="J93" s="30">
        <v>1</v>
      </c>
      <c r="K93" s="31">
        <f>15900</f>
        <v>15900</v>
      </c>
      <c r="L93" s="32" t="s">
        <v>995</v>
      </c>
      <c r="M93" s="31">
        <f>17335</f>
        <v>17335</v>
      </c>
      <c r="N93" s="32" t="s">
        <v>876</v>
      </c>
      <c r="O93" s="31">
        <f>15850</f>
        <v>15850</v>
      </c>
      <c r="P93" s="32" t="s">
        <v>995</v>
      </c>
      <c r="Q93" s="31">
        <f>16690</f>
        <v>16690</v>
      </c>
      <c r="R93" s="32" t="s">
        <v>997</v>
      </c>
      <c r="S93" s="33">
        <f>16665.53</f>
        <v>16665.53</v>
      </c>
      <c r="T93" s="30">
        <f>1030992</f>
        <v>1030992</v>
      </c>
      <c r="U93" s="30">
        <f>4</f>
        <v>4</v>
      </c>
      <c r="V93" s="30">
        <f>17193366950</f>
        <v>17193366950</v>
      </c>
      <c r="W93" s="30">
        <f>66940</f>
        <v>66940</v>
      </c>
      <c r="X93" s="34">
        <f>19</f>
        <v>19</v>
      </c>
    </row>
    <row r="94" spans="1:24" ht="13.5" customHeight="1" x14ac:dyDescent="0.15">
      <c r="A94" s="25" t="s">
        <v>994</v>
      </c>
      <c r="B94" s="25" t="s">
        <v>305</v>
      </c>
      <c r="C94" s="25" t="s">
        <v>897</v>
      </c>
      <c r="D94" s="25" t="s">
        <v>898</v>
      </c>
      <c r="E94" s="26" t="s">
        <v>45</v>
      </c>
      <c r="F94" s="27" t="s">
        <v>45</v>
      </c>
      <c r="G94" s="28" t="s">
        <v>45</v>
      </c>
      <c r="H94" s="29"/>
      <c r="I94" s="29" t="s">
        <v>46</v>
      </c>
      <c r="J94" s="30">
        <v>1</v>
      </c>
      <c r="K94" s="31">
        <f>43250</f>
        <v>43250</v>
      </c>
      <c r="L94" s="32" t="s">
        <v>995</v>
      </c>
      <c r="M94" s="31">
        <f>44750</f>
        <v>44750</v>
      </c>
      <c r="N94" s="32" t="s">
        <v>876</v>
      </c>
      <c r="O94" s="31">
        <f>42630</f>
        <v>42630</v>
      </c>
      <c r="P94" s="32" t="s">
        <v>999</v>
      </c>
      <c r="Q94" s="31">
        <f>43860</f>
        <v>43860</v>
      </c>
      <c r="R94" s="32" t="s">
        <v>997</v>
      </c>
      <c r="S94" s="33">
        <f>43735.79</f>
        <v>43735.79</v>
      </c>
      <c r="T94" s="30">
        <f>90933</f>
        <v>90933</v>
      </c>
      <c r="U94" s="30">
        <f>5416</f>
        <v>5416</v>
      </c>
      <c r="V94" s="30">
        <f>3980879320</f>
        <v>3980879320</v>
      </c>
      <c r="W94" s="30">
        <f>236919720</f>
        <v>236919720</v>
      </c>
      <c r="X94" s="34">
        <f>19</f>
        <v>19</v>
      </c>
    </row>
    <row r="95" spans="1:24" ht="13.5" customHeight="1" x14ac:dyDescent="0.15">
      <c r="A95" s="25" t="s">
        <v>994</v>
      </c>
      <c r="B95" s="25" t="s">
        <v>306</v>
      </c>
      <c r="C95" s="25" t="s">
        <v>307</v>
      </c>
      <c r="D95" s="25" t="s">
        <v>308</v>
      </c>
      <c r="E95" s="26" t="s">
        <v>45</v>
      </c>
      <c r="F95" s="27" t="s">
        <v>45</v>
      </c>
      <c r="G95" s="28" t="s">
        <v>45</v>
      </c>
      <c r="H95" s="29"/>
      <c r="I95" s="29" t="s">
        <v>46</v>
      </c>
      <c r="J95" s="30">
        <v>10</v>
      </c>
      <c r="K95" s="31">
        <f>5737</f>
        <v>5737</v>
      </c>
      <c r="L95" s="32" t="s">
        <v>995</v>
      </c>
      <c r="M95" s="31">
        <f>6049</f>
        <v>6049</v>
      </c>
      <c r="N95" s="32" t="s">
        <v>876</v>
      </c>
      <c r="O95" s="31">
        <f>5721</f>
        <v>5721</v>
      </c>
      <c r="P95" s="32" t="s">
        <v>995</v>
      </c>
      <c r="Q95" s="31">
        <f>5891</f>
        <v>5891</v>
      </c>
      <c r="R95" s="32" t="s">
        <v>997</v>
      </c>
      <c r="S95" s="33">
        <f>5881.11</f>
        <v>5881.11</v>
      </c>
      <c r="T95" s="30">
        <f>1900470</f>
        <v>1900470</v>
      </c>
      <c r="U95" s="30">
        <f>40</f>
        <v>40</v>
      </c>
      <c r="V95" s="30">
        <f>11168695520</f>
        <v>11168695520</v>
      </c>
      <c r="W95" s="30">
        <f>235400</f>
        <v>235400</v>
      </c>
      <c r="X95" s="34">
        <f>19</f>
        <v>19</v>
      </c>
    </row>
    <row r="96" spans="1:24" ht="13.5" customHeight="1" x14ac:dyDescent="0.15">
      <c r="A96" s="25" t="s">
        <v>994</v>
      </c>
      <c r="B96" s="25" t="s">
        <v>309</v>
      </c>
      <c r="C96" s="25" t="s">
        <v>310</v>
      </c>
      <c r="D96" s="25" t="s">
        <v>311</v>
      </c>
      <c r="E96" s="26" t="s">
        <v>45</v>
      </c>
      <c r="F96" s="27" t="s">
        <v>45</v>
      </c>
      <c r="G96" s="28" t="s">
        <v>45</v>
      </c>
      <c r="H96" s="29"/>
      <c r="I96" s="29" t="s">
        <v>46</v>
      </c>
      <c r="J96" s="30">
        <v>10</v>
      </c>
      <c r="K96" s="31">
        <f>3740</f>
        <v>3740</v>
      </c>
      <c r="L96" s="32" t="s">
        <v>995</v>
      </c>
      <c r="M96" s="31">
        <f>3912</f>
        <v>3912</v>
      </c>
      <c r="N96" s="32" t="s">
        <v>876</v>
      </c>
      <c r="O96" s="31">
        <f>3680</f>
        <v>3680</v>
      </c>
      <c r="P96" s="32" t="s">
        <v>56</v>
      </c>
      <c r="Q96" s="31">
        <f>3831</f>
        <v>3831</v>
      </c>
      <c r="R96" s="32" t="s">
        <v>997</v>
      </c>
      <c r="S96" s="33">
        <f>3816.32</f>
        <v>3816.32</v>
      </c>
      <c r="T96" s="30">
        <f>112610</f>
        <v>112610</v>
      </c>
      <c r="U96" s="30">
        <f>40030</f>
        <v>40030</v>
      </c>
      <c r="V96" s="30">
        <f>430008808</f>
        <v>430008808</v>
      </c>
      <c r="W96" s="30">
        <f>153258878</f>
        <v>153258878</v>
      </c>
      <c r="X96" s="34">
        <f>19</f>
        <v>19</v>
      </c>
    </row>
    <row r="97" spans="1:24" ht="13.5" customHeight="1" x14ac:dyDescent="0.15">
      <c r="A97" s="25" t="s">
        <v>994</v>
      </c>
      <c r="B97" s="25" t="s">
        <v>312</v>
      </c>
      <c r="C97" s="25" t="s">
        <v>970</v>
      </c>
      <c r="D97" s="25" t="s">
        <v>971</v>
      </c>
      <c r="E97" s="26" t="s">
        <v>45</v>
      </c>
      <c r="F97" s="27" t="s">
        <v>45</v>
      </c>
      <c r="G97" s="28" t="s">
        <v>45</v>
      </c>
      <c r="H97" s="29"/>
      <c r="I97" s="29" t="s">
        <v>46</v>
      </c>
      <c r="J97" s="30">
        <v>10</v>
      </c>
      <c r="K97" s="31">
        <f>4376</f>
        <v>4376</v>
      </c>
      <c r="L97" s="32" t="s">
        <v>995</v>
      </c>
      <c r="M97" s="31">
        <f>4429</f>
        <v>4429</v>
      </c>
      <c r="N97" s="32" t="s">
        <v>793</v>
      </c>
      <c r="O97" s="31">
        <f>4158</f>
        <v>4158</v>
      </c>
      <c r="P97" s="32" t="s">
        <v>78</v>
      </c>
      <c r="Q97" s="31">
        <f>4356</f>
        <v>4356</v>
      </c>
      <c r="R97" s="32" t="s">
        <v>997</v>
      </c>
      <c r="S97" s="33">
        <f>4364.78</f>
        <v>4364.78</v>
      </c>
      <c r="T97" s="30">
        <f>3010</f>
        <v>3010</v>
      </c>
      <c r="U97" s="30" t="str">
        <f>"－"</f>
        <v>－</v>
      </c>
      <c r="V97" s="30">
        <f>13169290</f>
        <v>13169290</v>
      </c>
      <c r="W97" s="30" t="str">
        <f>"－"</f>
        <v>－</v>
      </c>
      <c r="X97" s="34">
        <f>18</f>
        <v>18</v>
      </c>
    </row>
    <row r="98" spans="1:24" ht="13.5" customHeight="1" x14ac:dyDescent="0.15">
      <c r="A98" s="25" t="s">
        <v>994</v>
      </c>
      <c r="B98" s="25" t="s">
        <v>313</v>
      </c>
      <c r="C98" s="25" t="s">
        <v>314</v>
      </c>
      <c r="D98" s="25" t="s">
        <v>315</v>
      </c>
      <c r="E98" s="26" t="s">
        <v>45</v>
      </c>
      <c r="F98" s="27" t="s">
        <v>45</v>
      </c>
      <c r="G98" s="28" t="s">
        <v>45</v>
      </c>
      <c r="H98" s="29" t="s">
        <v>316</v>
      </c>
      <c r="I98" s="29" t="s">
        <v>46</v>
      </c>
      <c r="J98" s="30">
        <v>1</v>
      </c>
      <c r="K98" s="31">
        <f>1170</f>
        <v>1170</v>
      </c>
      <c r="L98" s="32" t="s">
        <v>995</v>
      </c>
      <c r="M98" s="31">
        <f>1353</f>
        <v>1353</v>
      </c>
      <c r="N98" s="32" t="s">
        <v>1001</v>
      </c>
      <c r="O98" s="31">
        <f>1109</f>
        <v>1109</v>
      </c>
      <c r="P98" s="32" t="s">
        <v>999</v>
      </c>
      <c r="Q98" s="31">
        <f>1279</f>
        <v>1279</v>
      </c>
      <c r="R98" s="32" t="s">
        <v>997</v>
      </c>
      <c r="S98" s="33">
        <f>1231.47</f>
        <v>1231.47</v>
      </c>
      <c r="T98" s="30">
        <f>28724764</f>
        <v>28724764</v>
      </c>
      <c r="U98" s="30">
        <f>20166</f>
        <v>20166</v>
      </c>
      <c r="V98" s="30">
        <f>35261861491</f>
        <v>35261861491</v>
      </c>
      <c r="W98" s="30">
        <f>24451734</f>
        <v>24451734</v>
      </c>
      <c r="X98" s="34">
        <f>19</f>
        <v>19</v>
      </c>
    </row>
    <row r="99" spans="1:24" ht="13.5" customHeight="1" x14ac:dyDescent="0.15">
      <c r="A99" s="25" t="s">
        <v>994</v>
      </c>
      <c r="B99" s="25" t="s">
        <v>317</v>
      </c>
      <c r="C99" s="25" t="s">
        <v>318</v>
      </c>
      <c r="D99" s="25" t="s">
        <v>319</v>
      </c>
      <c r="E99" s="26" t="s">
        <v>45</v>
      </c>
      <c r="F99" s="27" t="s">
        <v>45</v>
      </c>
      <c r="G99" s="28" t="s">
        <v>45</v>
      </c>
      <c r="H99" s="29"/>
      <c r="I99" s="29" t="s">
        <v>46</v>
      </c>
      <c r="J99" s="30">
        <v>10</v>
      </c>
      <c r="K99" s="31">
        <f>3148</f>
        <v>3148</v>
      </c>
      <c r="L99" s="32" t="s">
        <v>995</v>
      </c>
      <c r="M99" s="31">
        <f>3284</f>
        <v>3284</v>
      </c>
      <c r="N99" s="32" t="s">
        <v>876</v>
      </c>
      <c r="O99" s="31">
        <f>3134</f>
        <v>3134</v>
      </c>
      <c r="P99" s="32" t="s">
        <v>995</v>
      </c>
      <c r="Q99" s="31">
        <f>3212</f>
        <v>3212</v>
      </c>
      <c r="R99" s="32" t="s">
        <v>997</v>
      </c>
      <c r="S99" s="33">
        <f>3204.58</f>
        <v>3204.58</v>
      </c>
      <c r="T99" s="30">
        <f>100080</f>
        <v>100080</v>
      </c>
      <c r="U99" s="30" t="str">
        <f>"－"</f>
        <v>－</v>
      </c>
      <c r="V99" s="30">
        <f>321213010</f>
        <v>321213010</v>
      </c>
      <c r="W99" s="30" t="str">
        <f>"－"</f>
        <v>－</v>
      </c>
      <c r="X99" s="34">
        <f>19</f>
        <v>19</v>
      </c>
    </row>
    <row r="100" spans="1:24" ht="13.5" customHeight="1" x14ac:dyDescent="0.15">
      <c r="A100" s="25" t="s">
        <v>994</v>
      </c>
      <c r="B100" s="25" t="s">
        <v>320</v>
      </c>
      <c r="C100" s="25" t="s">
        <v>321</v>
      </c>
      <c r="D100" s="25" t="s">
        <v>322</v>
      </c>
      <c r="E100" s="26" t="s">
        <v>45</v>
      </c>
      <c r="F100" s="27" t="s">
        <v>45</v>
      </c>
      <c r="G100" s="28" t="s">
        <v>45</v>
      </c>
      <c r="H100" s="29"/>
      <c r="I100" s="29" t="s">
        <v>46</v>
      </c>
      <c r="J100" s="30">
        <v>10</v>
      </c>
      <c r="K100" s="31">
        <f>1769</f>
        <v>1769</v>
      </c>
      <c r="L100" s="32" t="s">
        <v>995</v>
      </c>
      <c r="M100" s="31">
        <f>1814.5</f>
        <v>1814.5</v>
      </c>
      <c r="N100" s="32" t="s">
        <v>996</v>
      </c>
      <c r="O100" s="31">
        <f>1711</f>
        <v>1711</v>
      </c>
      <c r="P100" s="32" t="s">
        <v>875</v>
      </c>
      <c r="Q100" s="31">
        <f>1742</f>
        <v>1742</v>
      </c>
      <c r="R100" s="32" t="s">
        <v>997</v>
      </c>
      <c r="S100" s="33">
        <f>1758.97</f>
        <v>1758.97</v>
      </c>
      <c r="T100" s="30">
        <f>58700</f>
        <v>58700</v>
      </c>
      <c r="U100" s="30">
        <f>30</f>
        <v>30</v>
      </c>
      <c r="V100" s="30">
        <f>103762515</f>
        <v>103762515</v>
      </c>
      <c r="W100" s="30">
        <f>52480</f>
        <v>52480</v>
      </c>
      <c r="X100" s="34">
        <f>19</f>
        <v>19</v>
      </c>
    </row>
    <row r="101" spans="1:24" ht="13.5" customHeight="1" x14ac:dyDescent="0.15">
      <c r="A101" s="25" t="s">
        <v>994</v>
      </c>
      <c r="B101" s="25" t="s">
        <v>323</v>
      </c>
      <c r="C101" s="25" t="s">
        <v>324</v>
      </c>
      <c r="D101" s="25" t="s">
        <v>325</v>
      </c>
      <c r="E101" s="26" t="s">
        <v>45</v>
      </c>
      <c r="F101" s="27" t="s">
        <v>45</v>
      </c>
      <c r="G101" s="28" t="s">
        <v>45</v>
      </c>
      <c r="H101" s="29"/>
      <c r="I101" s="29" t="s">
        <v>46</v>
      </c>
      <c r="J101" s="30">
        <v>1</v>
      </c>
      <c r="K101" s="31">
        <f>52750</f>
        <v>52750</v>
      </c>
      <c r="L101" s="32" t="s">
        <v>995</v>
      </c>
      <c r="M101" s="31">
        <f>55640</f>
        <v>55640</v>
      </c>
      <c r="N101" s="32" t="s">
        <v>876</v>
      </c>
      <c r="O101" s="31">
        <f>52600</f>
        <v>52600</v>
      </c>
      <c r="P101" s="32" t="s">
        <v>995</v>
      </c>
      <c r="Q101" s="31">
        <f>54180</f>
        <v>54180</v>
      </c>
      <c r="R101" s="32" t="s">
        <v>997</v>
      </c>
      <c r="S101" s="33">
        <f>54129.47</f>
        <v>54129.47</v>
      </c>
      <c r="T101" s="30">
        <f>101314</f>
        <v>101314</v>
      </c>
      <c r="U101" s="30">
        <f>4574</f>
        <v>4574</v>
      </c>
      <c r="V101" s="30">
        <f>5486827730</f>
        <v>5486827730</v>
      </c>
      <c r="W101" s="30">
        <f>250723810</f>
        <v>250723810</v>
      </c>
      <c r="X101" s="34">
        <f>19</f>
        <v>19</v>
      </c>
    </row>
    <row r="102" spans="1:24" ht="13.5" customHeight="1" x14ac:dyDescent="0.15">
      <c r="A102" s="25" t="s">
        <v>994</v>
      </c>
      <c r="B102" s="25" t="s">
        <v>326</v>
      </c>
      <c r="C102" s="25" t="s">
        <v>327</v>
      </c>
      <c r="D102" s="25" t="s">
        <v>328</v>
      </c>
      <c r="E102" s="26" t="s">
        <v>45</v>
      </c>
      <c r="F102" s="27" t="s">
        <v>45</v>
      </c>
      <c r="G102" s="28" t="s">
        <v>45</v>
      </c>
      <c r="H102" s="29"/>
      <c r="I102" s="29" t="s">
        <v>46</v>
      </c>
      <c r="J102" s="30">
        <v>1</v>
      </c>
      <c r="K102" s="31">
        <f>3500</f>
        <v>3500</v>
      </c>
      <c r="L102" s="32" t="s">
        <v>995</v>
      </c>
      <c r="M102" s="31">
        <f>3545</f>
        <v>3545</v>
      </c>
      <c r="N102" s="32" t="s">
        <v>999</v>
      </c>
      <c r="O102" s="31">
        <f>3435</f>
        <v>3435</v>
      </c>
      <c r="P102" s="32" t="s">
        <v>997</v>
      </c>
      <c r="Q102" s="31">
        <f>3450</f>
        <v>3450</v>
      </c>
      <c r="R102" s="32" t="s">
        <v>997</v>
      </c>
      <c r="S102" s="33">
        <f>3501.05</f>
        <v>3501.05</v>
      </c>
      <c r="T102" s="30">
        <f>9774</f>
        <v>9774</v>
      </c>
      <c r="U102" s="30" t="str">
        <f>"－"</f>
        <v>－</v>
      </c>
      <c r="V102" s="30">
        <f>34122485</f>
        <v>34122485</v>
      </c>
      <c r="W102" s="30" t="str">
        <f>"－"</f>
        <v>－</v>
      </c>
      <c r="X102" s="34">
        <f>19</f>
        <v>19</v>
      </c>
    </row>
    <row r="103" spans="1:24" ht="13.5" customHeight="1" x14ac:dyDescent="0.15">
      <c r="A103" s="25" t="s">
        <v>994</v>
      </c>
      <c r="B103" s="25" t="s">
        <v>329</v>
      </c>
      <c r="C103" s="25" t="s">
        <v>330</v>
      </c>
      <c r="D103" s="25" t="s">
        <v>331</v>
      </c>
      <c r="E103" s="26" t="s">
        <v>45</v>
      </c>
      <c r="F103" s="27" t="s">
        <v>45</v>
      </c>
      <c r="G103" s="28" t="s">
        <v>45</v>
      </c>
      <c r="H103" s="29"/>
      <c r="I103" s="29" t="s">
        <v>46</v>
      </c>
      <c r="J103" s="30">
        <v>1</v>
      </c>
      <c r="K103" s="31">
        <f>4445</f>
        <v>4445</v>
      </c>
      <c r="L103" s="32" t="s">
        <v>995</v>
      </c>
      <c r="M103" s="31">
        <f>4470</f>
        <v>4470</v>
      </c>
      <c r="N103" s="32" t="s">
        <v>78</v>
      </c>
      <c r="O103" s="31">
        <f>4290</f>
        <v>4290</v>
      </c>
      <c r="P103" s="32" t="s">
        <v>997</v>
      </c>
      <c r="Q103" s="31">
        <f>4300</f>
        <v>4300</v>
      </c>
      <c r="R103" s="32" t="s">
        <v>997</v>
      </c>
      <c r="S103" s="33">
        <f>4409.74</f>
        <v>4409.74</v>
      </c>
      <c r="T103" s="30">
        <f>4606</f>
        <v>4606</v>
      </c>
      <c r="U103" s="30" t="str">
        <f>"－"</f>
        <v>－</v>
      </c>
      <c r="V103" s="30">
        <f>20087325</f>
        <v>20087325</v>
      </c>
      <c r="W103" s="30" t="str">
        <f>"－"</f>
        <v>－</v>
      </c>
      <c r="X103" s="34">
        <f>19</f>
        <v>19</v>
      </c>
    </row>
    <row r="104" spans="1:24" ht="13.5" customHeight="1" x14ac:dyDescent="0.15">
      <c r="A104" s="25" t="s">
        <v>994</v>
      </c>
      <c r="B104" s="25" t="s">
        <v>332</v>
      </c>
      <c r="C104" s="25" t="s">
        <v>972</v>
      </c>
      <c r="D104" s="25" t="s">
        <v>973</v>
      </c>
      <c r="E104" s="26" t="s">
        <v>45</v>
      </c>
      <c r="F104" s="27" t="s">
        <v>45</v>
      </c>
      <c r="G104" s="28" t="s">
        <v>45</v>
      </c>
      <c r="H104" s="29"/>
      <c r="I104" s="29" t="s">
        <v>46</v>
      </c>
      <c r="J104" s="30">
        <v>1</v>
      </c>
      <c r="K104" s="31">
        <f>2535</f>
        <v>2535</v>
      </c>
      <c r="L104" s="32" t="s">
        <v>995</v>
      </c>
      <c r="M104" s="31">
        <f>2640</f>
        <v>2640</v>
      </c>
      <c r="N104" s="32" t="s">
        <v>1004</v>
      </c>
      <c r="O104" s="31">
        <f>2365</f>
        <v>2365</v>
      </c>
      <c r="P104" s="32" t="s">
        <v>255</v>
      </c>
      <c r="Q104" s="31">
        <f>2430</f>
        <v>2430</v>
      </c>
      <c r="R104" s="32" t="s">
        <v>997</v>
      </c>
      <c r="S104" s="33">
        <f>2537.95</f>
        <v>2537.9499999999998</v>
      </c>
      <c r="T104" s="30">
        <f>441507</f>
        <v>441507</v>
      </c>
      <c r="U104" s="30" t="str">
        <f>"－"</f>
        <v>－</v>
      </c>
      <c r="V104" s="30">
        <f>1118728273</f>
        <v>1118728273</v>
      </c>
      <c r="W104" s="30" t="str">
        <f>"－"</f>
        <v>－</v>
      </c>
      <c r="X104" s="34">
        <f>19</f>
        <v>19</v>
      </c>
    </row>
    <row r="105" spans="1:24" ht="13.5" customHeight="1" x14ac:dyDescent="0.15">
      <c r="A105" s="25" t="s">
        <v>994</v>
      </c>
      <c r="B105" s="25" t="s">
        <v>333</v>
      </c>
      <c r="C105" s="25" t="s">
        <v>334</v>
      </c>
      <c r="D105" s="25" t="s">
        <v>335</v>
      </c>
      <c r="E105" s="26" t="s">
        <v>45</v>
      </c>
      <c r="F105" s="27" t="s">
        <v>45</v>
      </c>
      <c r="G105" s="28" t="s">
        <v>45</v>
      </c>
      <c r="H105" s="29"/>
      <c r="I105" s="29" t="s">
        <v>46</v>
      </c>
      <c r="J105" s="30">
        <v>1</v>
      </c>
      <c r="K105" s="31">
        <f>43510</f>
        <v>43510</v>
      </c>
      <c r="L105" s="32" t="s">
        <v>995</v>
      </c>
      <c r="M105" s="31">
        <f>43990</f>
        <v>43990</v>
      </c>
      <c r="N105" s="32" t="s">
        <v>78</v>
      </c>
      <c r="O105" s="31">
        <f>43210</f>
        <v>43210</v>
      </c>
      <c r="P105" s="32" t="s">
        <v>56</v>
      </c>
      <c r="Q105" s="31">
        <f>43890</f>
        <v>43890</v>
      </c>
      <c r="R105" s="32" t="s">
        <v>997</v>
      </c>
      <c r="S105" s="33">
        <f>43606.84</f>
        <v>43606.84</v>
      </c>
      <c r="T105" s="30">
        <f>7501</f>
        <v>7501</v>
      </c>
      <c r="U105" s="30">
        <f>7</f>
        <v>7</v>
      </c>
      <c r="V105" s="30">
        <f>326582430</f>
        <v>326582430</v>
      </c>
      <c r="W105" s="30">
        <f>317320</f>
        <v>317320</v>
      </c>
      <c r="X105" s="34">
        <f>19</f>
        <v>19</v>
      </c>
    </row>
    <row r="106" spans="1:24" ht="13.5" customHeight="1" x14ac:dyDescent="0.15">
      <c r="A106" s="25" t="s">
        <v>994</v>
      </c>
      <c r="B106" s="25" t="s">
        <v>336</v>
      </c>
      <c r="C106" s="25" t="s">
        <v>337</v>
      </c>
      <c r="D106" s="25" t="s">
        <v>338</v>
      </c>
      <c r="E106" s="26" t="s">
        <v>45</v>
      </c>
      <c r="F106" s="27" t="s">
        <v>45</v>
      </c>
      <c r="G106" s="28" t="s">
        <v>45</v>
      </c>
      <c r="H106" s="29"/>
      <c r="I106" s="29" t="s">
        <v>46</v>
      </c>
      <c r="J106" s="30">
        <v>10</v>
      </c>
      <c r="K106" s="31">
        <f>25235</f>
        <v>25235</v>
      </c>
      <c r="L106" s="32" t="s">
        <v>995</v>
      </c>
      <c r="M106" s="31">
        <f>25635</f>
        <v>25635</v>
      </c>
      <c r="N106" s="32" t="s">
        <v>998</v>
      </c>
      <c r="O106" s="31">
        <f>24550</f>
        <v>24550</v>
      </c>
      <c r="P106" s="32" t="s">
        <v>996</v>
      </c>
      <c r="Q106" s="31">
        <f>25370</f>
        <v>25370</v>
      </c>
      <c r="R106" s="32" t="s">
        <v>997</v>
      </c>
      <c r="S106" s="33">
        <f>25163.68</f>
        <v>25163.68</v>
      </c>
      <c r="T106" s="30">
        <f>1008660</f>
        <v>1008660</v>
      </c>
      <c r="U106" s="30">
        <f>160</f>
        <v>160</v>
      </c>
      <c r="V106" s="30">
        <f>25407838600</f>
        <v>25407838600</v>
      </c>
      <c r="W106" s="30">
        <f>4012200</f>
        <v>4012200</v>
      </c>
      <c r="X106" s="34">
        <f>19</f>
        <v>19</v>
      </c>
    </row>
    <row r="107" spans="1:24" ht="13.5" customHeight="1" x14ac:dyDescent="0.15">
      <c r="A107" s="25" t="s">
        <v>994</v>
      </c>
      <c r="B107" s="25" t="s">
        <v>339</v>
      </c>
      <c r="C107" s="25" t="s">
        <v>340</v>
      </c>
      <c r="D107" s="25" t="s">
        <v>341</v>
      </c>
      <c r="E107" s="26" t="s">
        <v>45</v>
      </c>
      <c r="F107" s="27" t="s">
        <v>45</v>
      </c>
      <c r="G107" s="28" t="s">
        <v>45</v>
      </c>
      <c r="H107" s="29"/>
      <c r="I107" s="29" t="s">
        <v>46</v>
      </c>
      <c r="J107" s="30">
        <v>10</v>
      </c>
      <c r="K107" s="31">
        <f>1966</f>
        <v>1966</v>
      </c>
      <c r="L107" s="32" t="s">
        <v>995</v>
      </c>
      <c r="M107" s="31">
        <f>1994.5</f>
        <v>1994.5</v>
      </c>
      <c r="N107" s="32" t="s">
        <v>996</v>
      </c>
      <c r="O107" s="31">
        <f>1950.5</f>
        <v>1950.5</v>
      </c>
      <c r="P107" s="32" t="s">
        <v>998</v>
      </c>
      <c r="Q107" s="31">
        <f>1961</f>
        <v>1961</v>
      </c>
      <c r="R107" s="32" t="s">
        <v>997</v>
      </c>
      <c r="S107" s="33">
        <f>1968.68</f>
        <v>1968.68</v>
      </c>
      <c r="T107" s="30">
        <f>142430</f>
        <v>142430</v>
      </c>
      <c r="U107" s="30">
        <f>24500</f>
        <v>24500</v>
      </c>
      <c r="V107" s="30">
        <f>280091980</f>
        <v>280091980</v>
      </c>
      <c r="W107" s="30">
        <f>48087640</f>
        <v>48087640</v>
      </c>
      <c r="X107" s="34">
        <f>19</f>
        <v>19</v>
      </c>
    </row>
    <row r="108" spans="1:24" ht="13.5" customHeight="1" x14ac:dyDescent="0.15">
      <c r="A108" s="25" t="s">
        <v>994</v>
      </c>
      <c r="B108" s="25" t="s">
        <v>342</v>
      </c>
      <c r="C108" s="25" t="s">
        <v>343</v>
      </c>
      <c r="D108" s="25" t="s">
        <v>344</v>
      </c>
      <c r="E108" s="26" t="s">
        <v>45</v>
      </c>
      <c r="F108" s="27" t="s">
        <v>45</v>
      </c>
      <c r="G108" s="28" t="s">
        <v>45</v>
      </c>
      <c r="H108" s="29"/>
      <c r="I108" s="29" t="s">
        <v>46</v>
      </c>
      <c r="J108" s="30">
        <v>1</v>
      </c>
      <c r="K108" s="31">
        <f>14140</f>
        <v>14140</v>
      </c>
      <c r="L108" s="32" t="s">
        <v>995</v>
      </c>
      <c r="M108" s="31">
        <f>14465</f>
        <v>14465</v>
      </c>
      <c r="N108" s="32" t="s">
        <v>78</v>
      </c>
      <c r="O108" s="31">
        <f>13655</f>
        <v>13655</v>
      </c>
      <c r="P108" s="32" t="s">
        <v>1001</v>
      </c>
      <c r="Q108" s="31">
        <f>14070</f>
        <v>14070</v>
      </c>
      <c r="R108" s="32" t="s">
        <v>997</v>
      </c>
      <c r="S108" s="33">
        <f>14136.05</f>
        <v>14136.05</v>
      </c>
      <c r="T108" s="30">
        <f>86644384</f>
        <v>86644384</v>
      </c>
      <c r="U108" s="30">
        <f>34622</f>
        <v>34622</v>
      </c>
      <c r="V108" s="30">
        <f>1225705216427</f>
        <v>1225705216427</v>
      </c>
      <c r="W108" s="30">
        <f>488512167</f>
        <v>488512167</v>
      </c>
      <c r="X108" s="34">
        <f>19</f>
        <v>19</v>
      </c>
    </row>
    <row r="109" spans="1:24" ht="13.5" customHeight="1" x14ac:dyDescent="0.15">
      <c r="A109" s="25" t="s">
        <v>994</v>
      </c>
      <c r="B109" s="25" t="s">
        <v>345</v>
      </c>
      <c r="C109" s="25" t="s">
        <v>346</v>
      </c>
      <c r="D109" s="25" t="s">
        <v>347</v>
      </c>
      <c r="E109" s="26" t="s">
        <v>45</v>
      </c>
      <c r="F109" s="27" t="s">
        <v>45</v>
      </c>
      <c r="G109" s="28" t="s">
        <v>45</v>
      </c>
      <c r="H109" s="29"/>
      <c r="I109" s="29" t="s">
        <v>46</v>
      </c>
      <c r="J109" s="30">
        <v>1</v>
      </c>
      <c r="K109" s="31">
        <f>953</f>
        <v>953</v>
      </c>
      <c r="L109" s="32" t="s">
        <v>995</v>
      </c>
      <c r="M109" s="31">
        <f>968</f>
        <v>968</v>
      </c>
      <c r="N109" s="32" t="s">
        <v>1001</v>
      </c>
      <c r="O109" s="31">
        <f>941</f>
        <v>941</v>
      </c>
      <c r="P109" s="32" t="s">
        <v>78</v>
      </c>
      <c r="Q109" s="31">
        <f>953</f>
        <v>953</v>
      </c>
      <c r="R109" s="32" t="s">
        <v>997</v>
      </c>
      <c r="S109" s="33">
        <f>951.89</f>
        <v>951.89</v>
      </c>
      <c r="T109" s="30">
        <f>33534262</f>
        <v>33534262</v>
      </c>
      <c r="U109" s="30">
        <f>3147764</f>
        <v>3147764</v>
      </c>
      <c r="V109" s="30">
        <f>31889377589</f>
        <v>31889377589</v>
      </c>
      <c r="W109" s="30">
        <f>2996412400</f>
        <v>2996412400</v>
      </c>
      <c r="X109" s="34">
        <f>19</f>
        <v>19</v>
      </c>
    </row>
    <row r="110" spans="1:24" ht="13.5" customHeight="1" x14ac:dyDescent="0.15">
      <c r="A110" s="25" t="s">
        <v>994</v>
      </c>
      <c r="B110" s="25" t="s">
        <v>348</v>
      </c>
      <c r="C110" s="25" t="s">
        <v>349</v>
      </c>
      <c r="D110" s="25" t="s">
        <v>350</v>
      </c>
      <c r="E110" s="26" t="s">
        <v>45</v>
      </c>
      <c r="F110" s="27" t="s">
        <v>45</v>
      </c>
      <c r="G110" s="28" t="s">
        <v>45</v>
      </c>
      <c r="H110" s="29"/>
      <c r="I110" s="29" t="s">
        <v>46</v>
      </c>
      <c r="J110" s="30">
        <v>10</v>
      </c>
      <c r="K110" s="31">
        <f>5600</f>
        <v>5600</v>
      </c>
      <c r="L110" s="32" t="s">
        <v>995</v>
      </c>
      <c r="M110" s="31">
        <f>5896</f>
        <v>5896</v>
      </c>
      <c r="N110" s="32" t="s">
        <v>999</v>
      </c>
      <c r="O110" s="31">
        <f>4538</f>
        <v>4538</v>
      </c>
      <c r="P110" s="32" t="s">
        <v>997</v>
      </c>
      <c r="Q110" s="31">
        <f>4593</f>
        <v>4593</v>
      </c>
      <c r="R110" s="32" t="s">
        <v>997</v>
      </c>
      <c r="S110" s="33">
        <f>5190.32</f>
        <v>5190.32</v>
      </c>
      <c r="T110" s="30">
        <f>243750</f>
        <v>243750</v>
      </c>
      <c r="U110" s="30">
        <f>90</f>
        <v>90</v>
      </c>
      <c r="V110" s="30">
        <f>1275034150</f>
        <v>1275034150</v>
      </c>
      <c r="W110" s="30">
        <f>478720</f>
        <v>478720</v>
      </c>
      <c r="X110" s="34">
        <f>19</f>
        <v>19</v>
      </c>
    </row>
    <row r="111" spans="1:24" ht="13.5" customHeight="1" x14ac:dyDescent="0.15">
      <c r="A111" s="25" t="s">
        <v>994</v>
      </c>
      <c r="B111" s="25" t="s">
        <v>351</v>
      </c>
      <c r="C111" s="25" t="s">
        <v>352</v>
      </c>
      <c r="D111" s="25" t="s">
        <v>353</v>
      </c>
      <c r="E111" s="26" t="s">
        <v>45</v>
      </c>
      <c r="F111" s="27" t="s">
        <v>45</v>
      </c>
      <c r="G111" s="28" t="s">
        <v>45</v>
      </c>
      <c r="H111" s="29"/>
      <c r="I111" s="29" t="s">
        <v>46</v>
      </c>
      <c r="J111" s="30">
        <v>10</v>
      </c>
      <c r="K111" s="31">
        <f>9070</f>
        <v>9070</v>
      </c>
      <c r="L111" s="32" t="s">
        <v>995</v>
      </c>
      <c r="M111" s="31">
        <f>10740</f>
        <v>10740</v>
      </c>
      <c r="N111" s="32" t="s">
        <v>255</v>
      </c>
      <c r="O111" s="31">
        <f>8723</f>
        <v>8723</v>
      </c>
      <c r="P111" s="32" t="s">
        <v>999</v>
      </c>
      <c r="Q111" s="31">
        <f>10615</f>
        <v>10615</v>
      </c>
      <c r="R111" s="32" t="s">
        <v>997</v>
      </c>
      <c r="S111" s="33">
        <f>9700.11</f>
        <v>9700.11</v>
      </c>
      <c r="T111" s="30">
        <f>23440</f>
        <v>23440</v>
      </c>
      <c r="U111" s="30" t="str">
        <f>"－"</f>
        <v>－</v>
      </c>
      <c r="V111" s="30">
        <f>228990000</f>
        <v>228990000</v>
      </c>
      <c r="W111" s="30" t="str">
        <f>"－"</f>
        <v>－</v>
      </c>
      <c r="X111" s="34">
        <f>19</f>
        <v>19</v>
      </c>
    </row>
    <row r="112" spans="1:24" ht="13.5" customHeight="1" x14ac:dyDescent="0.15">
      <c r="A112" s="25" t="s">
        <v>994</v>
      </c>
      <c r="B112" s="25" t="s">
        <v>354</v>
      </c>
      <c r="C112" s="25" t="s">
        <v>355</v>
      </c>
      <c r="D112" s="25" t="s">
        <v>356</v>
      </c>
      <c r="E112" s="26" t="s">
        <v>45</v>
      </c>
      <c r="F112" s="27" t="s">
        <v>45</v>
      </c>
      <c r="G112" s="28" t="s">
        <v>45</v>
      </c>
      <c r="H112" s="29"/>
      <c r="I112" s="29" t="s">
        <v>46</v>
      </c>
      <c r="J112" s="30">
        <v>1</v>
      </c>
      <c r="K112" s="31">
        <f>25605</f>
        <v>25605</v>
      </c>
      <c r="L112" s="32" t="s">
        <v>995</v>
      </c>
      <c r="M112" s="31">
        <f>26700</f>
        <v>26700</v>
      </c>
      <c r="N112" s="32" t="s">
        <v>997</v>
      </c>
      <c r="O112" s="31">
        <f>24930</f>
        <v>24930</v>
      </c>
      <c r="P112" s="32" t="s">
        <v>996</v>
      </c>
      <c r="Q112" s="31">
        <f>26485</f>
        <v>26485</v>
      </c>
      <c r="R112" s="32" t="s">
        <v>997</v>
      </c>
      <c r="S112" s="33">
        <f>25874.47</f>
        <v>25874.47</v>
      </c>
      <c r="T112" s="30">
        <f>112964</f>
        <v>112964</v>
      </c>
      <c r="U112" s="30">
        <f>75618</f>
        <v>75618</v>
      </c>
      <c r="V112" s="30">
        <f>2942738179</f>
        <v>2942738179</v>
      </c>
      <c r="W112" s="30">
        <f>1976793124</f>
        <v>1976793124</v>
      </c>
      <c r="X112" s="34">
        <f>19</f>
        <v>19</v>
      </c>
    </row>
    <row r="113" spans="1:24" ht="13.5" customHeight="1" x14ac:dyDescent="0.15">
      <c r="A113" s="25" t="s">
        <v>994</v>
      </c>
      <c r="B113" s="25" t="s">
        <v>357</v>
      </c>
      <c r="C113" s="25" t="s">
        <v>358</v>
      </c>
      <c r="D113" s="25" t="s">
        <v>359</v>
      </c>
      <c r="E113" s="26" t="s">
        <v>45</v>
      </c>
      <c r="F113" s="27" t="s">
        <v>45</v>
      </c>
      <c r="G113" s="28" t="s">
        <v>45</v>
      </c>
      <c r="H113" s="29"/>
      <c r="I113" s="29" t="s">
        <v>46</v>
      </c>
      <c r="J113" s="30">
        <v>1</v>
      </c>
      <c r="K113" s="31">
        <f>2186</f>
        <v>2186</v>
      </c>
      <c r="L113" s="32" t="s">
        <v>995</v>
      </c>
      <c r="M113" s="31">
        <f>2213</f>
        <v>2213</v>
      </c>
      <c r="N113" s="32" t="s">
        <v>78</v>
      </c>
      <c r="O113" s="31">
        <f>2152</f>
        <v>2152</v>
      </c>
      <c r="P113" s="32" t="s">
        <v>1001</v>
      </c>
      <c r="Q113" s="31">
        <f>2186</f>
        <v>2186</v>
      </c>
      <c r="R113" s="32" t="s">
        <v>997</v>
      </c>
      <c r="S113" s="33">
        <f>2188.53</f>
        <v>2188.5300000000002</v>
      </c>
      <c r="T113" s="30">
        <f>237135</f>
        <v>237135</v>
      </c>
      <c r="U113" s="30">
        <f>221184</f>
        <v>221184</v>
      </c>
      <c r="V113" s="30">
        <f>517602093</f>
        <v>517602093</v>
      </c>
      <c r="W113" s="30">
        <f>482778316</f>
        <v>482778316</v>
      </c>
      <c r="X113" s="34">
        <f>19</f>
        <v>19</v>
      </c>
    </row>
    <row r="114" spans="1:24" ht="13.5" customHeight="1" x14ac:dyDescent="0.15">
      <c r="A114" s="25" t="s">
        <v>994</v>
      </c>
      <c r="B114" s="25" t="s">
        <v>360</v>
      </c>
      <c r="C114" s="25" t="s">
        <v>361</v>
      </c>
      <c r="D114" s="25" t="s">
        <v>362</v>
      </c>
      <c r="E114" s="26" t="s">
        <v>45</v>
      </c>
      <c r="F114" s="27" t="s">
        <v>45</v>
      </c>
      <c r="G114" s="28" t="s">
        <v>45</v>
      </c>
      <c r="H114" s="29"/>
      <c r="I114" s="29" t="s">
        <v>46</v>
      </c>
      <c r="J114" s="30">
        <v>10</v>
      </c>
      <c r="K114" s="31">
        <f>15115</f>
        <v>15115</v>
      </c>
      <c r="L114" s="32" t="s">
        <v>995</v>
      </c>
      <c r="M114" s="31">
        <f>15480</f>
        <v>15480</v>
      </c>
      <c r="N114" s="32" t="s">
        <v>78</v>
      </c>
      <c r="O114" s="31">
        <f>14605</f>
        <v>14605</v>
      </c>
      <c r="P114" s="32" t="s">
        <v>1001</v>
      </c>
      <c r="Q114" s="31">
        <f>15035</f>
        <v>15035</v>
      </c>
      <c r="R114" s="32" t="s">
        <v>997</v>
      </c>
      <c r="S114" s="33">
        <f>15115.53</f>
        <v>15115.53</v>
      </c>
      <c r="T114" s="30">
        <f>11333910</f>
        <v>11333910</v>
      </c>
      <c r="U114" s="30">
        <f>60140</f>
        <v>60140</v>
      </c>
      <c r="V114" s="30">
        <f>171414744050</f>
        <v>171414744050</v>
      </c>
      <c r="W114" s="30">
        <f>908404600</f>
        <v>908404600</v>
      </c>
      <c r="X114" s="34">
        <f>19</f>
        <v>19</v>
      </c>
    </row>
    <row r="115" spans="1:24" ht="13.5" customHeight="1" x14ac:dyDescent="0.15">
      <c r="A115" s="25" t="s">
        <v>994</v>
      </c>
      <c r="B115" s="25" t="s">
        <v>363</v>
      </c>
      <c r="C115" s="25" t="s">
        <v>364</v>
      </c>
      <c r="D115" s="25" t="s">
        <v>365</v>
      </c>
      <c r="E115" s="26" t="s">
        <v>45</v>
      </c>
      <c r="F115" s="27" t="s">
        <v>45</v>
      </c>
      <c r="G115" s="28" t="s">
        <v>45</v>
      </c>
      <c r="H115" s="29"/>
      <c r="I115" s="29" t="s">
        <v>46</v>
      </c>
      <c r="J115" s="30">
        <v>10</v>
      </c>
      <c r="K115" s="31">
        <f>2530</f>
        <v>2530</v>
      </c>
      <c r="L115" s="32" t="s">
        <v>995</v>
      </c>
      <c r="M115" s="31">
        <f>2568.5</f>
        <v>2568.5</v>
      </c>
      <c r="N115" s="32" t="s">
        <v>1001</v>
      </c>
      <c r="O115" s="31">
        <f>2499</f>
        <v>2499</v>
      </c>
      <c r="P115" s="32" t="s">
        <v>78</v>
      </c>
      <c r="Q115" s="31">
        <f>2532</f>
        <v>2532</v>
      </c>
      <c r="R115" s="32" t="s">
        <v>997</v>
      </c>
      <c r="S115" s="33">
        <f>2527.18</f>
        <v>2527.1799999999998</v>
      </c>
      <c r="T115" s="30">
        <f>556920</f>
        <v>556920</v>
      </c>
      <c r="U115" s="30" t="str">
        <f>"－"</f>
        <v>－</v>
      </c>
      <c r="V115" s="30">
        <f>1406269745</f>
        <v>1406269745</v>
      </c>
      <c r="W115" s="30" t="str">
        <f>"－"</f>
        <v>－</v>
      </c>
      <c r="X115" s="34">
        <f>19</f>
        <v>19</v>
      </c>
    </row>
    <row r="116" spans="1:24" ht="13.5" customHeight="1" x14ac:dyDescent="0.15">
      <c r="A116" s="25" t="s">
        <v>994</v>
      </c>
      <c r="B116" s="25" t="s">
        <v>366</v>
      </c>
      <c r="C116" s="25" t="s">
        <v>367</v>
      </c>
      <c r="D116" s="25" t="s">
        <v>368</v>
      </c>
      <c r="E116" s="26" t="s">
        <v>45</v>
      </c>
      <c r="F116" s="27" t="s">
        <v>45</v>
      </c>
      <c r="G116" s="28" t="s">
        <v>45</v>
      </c>
      <c r="H116" s="29" t="s">
        <v>877</v>
      </c>
      <c r="I116" s="29"/>
      <c r="J116" s="30">
        <v>10</v>
      </c>
      <c r="K116" s="31">
        <f>957</f>
        <v>957</v>
      </c>
      <c r="L116" s="32" t="s">
        <v>995</v>
      </c>
      <c r="M116" s="31">
        <f>965</f>
        <v>965</v>
      </c>
      <c r="N116" s="32" t="s">
        <v>78</v>
      </c>
      <c r="O116" s="31">
        <f>902</f>
        <v>902</v>
      </c>
      <c r="P116" s="32" t="s">
        <v>997</v>
      </c>
      <c r="Q116" s="31">
        <f>907</f>
        <v>907</v>
      </c>
      <c r="R116" s="32" t="s">
        <v>997</v>
      </c>
      <c r="S116" s="33">
        <f>939.75</f>
        <v>939.75</v>
      </c>
      <c r="T116" s="30">
        <f>9230</f>
        <v>9230</v>
      </c>
      <c r="U116" s="30">
        <f>1720</f>
        <v>1720</v>
      </c>
      <c r="V116" s="30">
        <f>8600196</f>
        <v>8600196</v>
      </c>
      <c r="W116" s="30">
        <f>1554880</f>
        <v>1554880</v>
      </c>
      <c r="X116" s="34">
        <f>19</f>
        <v>19</v>
      </c>
    </row>
    <row r="117" spans="1:24" ht="13.5" customHeight="1" x14ac:dyDescent="0.15">
      <c r="A117" s="25" t="s">
        <v>994</v>
      </c>
      <c r="B117" s="25" t="s">
        <v>369</v>
      </c>
      <c r="C117" s="25" t="s">
        <v>370</v>
      </c>
      <c r="D117" s="25" t="s">
        <v>371</v>
      </c>
      <c r="E117" s="26" t="s">
        <v>45</v>
      </c>
      <c r="F117" s="27" t="s">
        <v>45</v>
      </c>
      <c r="G117" s="28" t="s">
        <v>45</v>
      </c>
      <c r="H117" s="29"/>
      <c r="I117" s="29" t="s">
        <v>46</v>
      </c>
      <c r="J117" s="30">
        <v>10</v>
      </c>
      <c r="K117" s="31">
        <f>1515</f>
        <v>1515</v>
      </c>
      <c r="L117" s="32" t="s">
        <v>996</v>
      </c>
      <c r="M117" s="31">
        <f>1533</f>
        <v>1533</v>
      </c>
      <c r="N117" s="32" t="s">
        <v>1003</v>
      </c>
      <c r="O117" s="31">
        <f>1515</f>
        <v>1515</v>
      </c>
      <c r="P117" s="32" t="s">
        <v>996</v>
      </c>
      <c r="Q117" s="31">
        <f>1520</f>
        <v>1520</v>
      </c>
      <c r="R117" s="32" t="s">
        <v>1001</v>
      </c>
      <c r="S117" s="33">
        <f>1524</f>
        <v>1524</v>
      </c>
      <c r="T117" s="30">
        <f>660</f>
        <v>660</v>
      </c>
      <c r="U117" s="30" t="str">
        <f>"－"</f>
        <v>－</v>
      </c>
      <c r="V117" s="30">
        <f>1002730</f>
        <v>1002730</v>
      </c>
      <c r="W117" s="30" t="str">
        <f>"－"</f>
        <v>－</v>
      </c>
      <c r="X117" s="34">
        <f>5</f>
        <v>5</v>
      </c>
    </row>
    <row r="118" spans="1:24" ht="13.5" customHeight="1" x14ac:dyDescent="0.15">
      <c r="A118" s="25" t="s">
        <v>994</v>
      </c>
      <c r="B118" s="25" t="s">
        <v>372</v>
      </c>
      <c r="C118" s="25" t="s">
        <v>373</v>
      </c>
      <c r="D118" s="25" t="s">
        <v>374</v>
      </c>
      <c r="E118" s="26" t="s">
        <v>45</v>
      </c>
      <c r="F118" s="27" t="s">
        <v>45</v>
      </c>
      <c r="G118" s="28" t="s">
        <v>45</v>
      </c>
      <c r="H118" s="29"/>
      <c r="I118" s="29" t="s">
        <v>46</v>
      </c>
      <c r="J118" s="30">
        <v>1</v>
      </c>
      <c r="K118" s="31">
        <f>1617</f>
        <v>1617</v>
      </c>
      <c r="L118" s="32" t="s">
        <v>995</v>
      </c>
      <c r="M118" s="31">
        <f>1619</f>
        <v>1619</v>
      </c>
      <c r="N118" s="32" t="s">
        <v>875</v>
      </c>
      <c r="O118" s="31">
        <f>1597</f>
        <v>1597</v>
      </c>
      <c r="P118" s="32" t="s">
        <v>999</v>
      </c>
      <c r="Q118" s="31">
        <f>1615</f>
        <v>1615</v>
      </c>
      <c r="R118" s="32" t="s">
        <v>997</v>
      </c>
      <c r="S118" s="33">
        <f>1609.63</f>
        <v>1609.63</v>
      </c>
      <c r="T118" s="30">
        <f>186776</f>
        <v>186776</v>
      </c>
      <c r="U118" s="30">
        <f>180000</f>
        <v>180000</v>
      </c>
      <c r="V118" s="30">
        <f>302084996</f>
        <v>302084996</v>
      </c>
      <c r="W118" s="30">
        <f>291187800</f>
        <v>291187800</v>
      </c>
      <c r="X118" s="34">
        <f>19</f>
        <v>19</v>
      </c>
    </row>
    <row r="119" spans="1:24" ht="13.5" customHeight="1" x14ac:dyDescent="0.15">
      <c r="A119" s="25" t="s">
        <v>994</v>
      </c>
      <c r="B119" s="25" t="s">
        <v>375</v>
      </c>
      <c r="C119" s="25" t="s">
        <v>376</v>
      </c>
      <c r="D119" s="25" t="s">
        <v>377</v>
      </c>
      <c r="E119" s="26" t="s">
        <v>45</v>
      </c>
      <c r="F119" s="27" t="s">
        <v>45</v>
      </c>
      <c r="G119" s="28" t="s">
        <v>45</v>
      </c>
      <c r="H119" s="29"/>
      <c r="I119" s="29" t="s">
        <v>46</v>
      </c>
      <c r="J119" s="30">
        <v>1</v>
      </c>
      <c r="K119" s="31">
        <f>18015</f>
        <v>18015</v>
      </c>
      <c r="L119" s="32" t="s">
        <v>995</v>
      </c>
      <c r="M119" s="31">
        <f>18300</f>
        <v>18300</v>
      </c>
      <c r="N119" s="32" t="s">
        <v>1001</v>
      </c>
      <c r="O119" s="31">
        <f>17785</f>
        <v>17785</v>
      </c>
      <c r="P119" s="32" t="s">
        <v>999</v>
      </c>
      <c r="Q119" s="31">
        <f>18085</f>
        <v>18085</v>
      </c>
      <c r="R119" s="32" t="s">
        <v>997</v>
      </c>
      <c r="S119" s="33">
        <f>17998.95</f>
        <v>17998.95</v>
      </c>
      <c r="T119" s="30">
        <f>13276</f>
        <v>13276</v>
      </c>
      <c r="U119" s="30">
        <f>4000</f>
        <v>4000</v>
      </c>
      <c r="V119" s="30">
        <f>238613880</f>
        <v>238613880</v>
      </c>
      <c r="W119" s="30">
        <f>71367600</f>
        <v>71367600</v>
      </c>
      <c r="X119" s="34">
        <f>19</f>
        <v>19</v>
      </c>
    </row>
    <row r="120" spans="1:24" ht="13.5" customHeight="1" x14ac:dyDescent="0.15">
      <c r="A120" s="25" t="s">
        <v>994</v>
      </c>
      <c r="B120" s="25" t="s">
        <v>378</v>
      </c>
      <c r="C120" s="25" t="s">
        <v>379</v>
      </c>
      <c r="D120" s="25" t="s">
        <v>380</v>
      </c>
      <c r="E120" s="26" t="s">
        <v>45</v>
      </c>
      <c r="F120" s="27" t="s">
        <v>45</v>
      </c>
      <c r="G120" s="28" t="s">
        <v>45</v>
      </c>
      <c r="H120" s="29"/>
      <c r="I120" s="29" t="s">
        <v>46</v>
      </c>
      <c r="J120" s="30">
        <v>1</v>
      </c>
      <c r="K120" s="31">
        <f>1641</f>
        <v>1641</v>
      </c>
      <c r="L120" s="32" t="s">
        <v>995</v>
      </c>
      <c r="M120" s="31">
        <f>1654</f>
        <v>1654</v>
      </c>
      <c r="N120" s="32" t="s">
        <v>998</v>
      </c>
      <c r="O120" s="31">
        <f>1620</f>
        <v>1620</v>
      </c>
      <c r="P120" s="32" t="s">
        <v>999</v>
      </c>
      <c r="Q120" s="31">
        <f>1645</f>
        <v>1645</v>
      </c>
      <c r="R120" s="32" t="s">
        <v>997</v>
      </c>
      <c r="S120" s="33">
        <f>1639.68</f>
        <v>1639.68</v>
      </c>
      <c r="T120" s="30">
        <f>24509</f>
        <v>24509</v>
      </c>
      <c r="U120" s="30" t="str">
        <f>"－"</f>
        <v>－</v>
      </c>
      <c r="V120" s="30">
        <f>40108523</f>
        <v>40108523</v>
      </c>
      <c r="W120" s="30" t="str">
        <f>"－"</f>
        <v>－</v>
      </c>
      <c r="X120" s="34">
        <f>19</f>
        <v>19</v>
      </c>
    </row>
    <row r="121" spans="1:24" ht="13.5" customHeight="1" x14ac:dyDescent="0.15">
      <c r="A121" s="25" t="s">
        <v>994</v>
      </c>
      <c r="B121" s="25" t="s">
        <v>381</v>
      </c>
      <c r="C121" s="25" t="s">
        <v>382</v>
      </c>
      <c r="D121" s="25" t="s">
        <v>383</v>
      </c>
      <c r="E121" s="26" t="s">
        <v>45</v>
      </c>
      <c r="F121" s="27" t="s">
        <v>45</v>
      </c>
      <c r="G121" s="28" t="s">
        <v>45</v>
      </c>
      <c r="H121" s="29"/>
      <c r="I121" s="29" t="s">
        <v>46</v>
      </c>
      <c r="J121" s="30">
        <v>1</v>
      </c>
      <c r="K121" s="31">
        <f>18225</f>
        <v>18225</v>
      </c>
      <c r="L121" s="32" t="s">
        <v>995</v>
      </c>
      <c r="M121" s="31">
        <f>18480</f>
        <v>18480</v>
      </c>
      <c r="N121" s="32" t="s">
        <v>1002</v>
      </c>
      <c r="O121" s="31">
        <f>18070</f>
        <v>18070</v>
      </c>
      <c r="P121" s="32" t="s">
        <v>999</v>
      </c>
      <c r="Q121" s="31">
        <f>18315</f>
        <v>18315</v>
      </c>
      <c r="R121" s="32" t="s">
        <v>997</v>
      </c>
      <c r="S121" s="33">
        <f>18294.47</f>
        <v>18294.47</v>
      </c>
      <c r="T121" s="30">
        <f>52891</f>
        <v>52891</v>
      </c>
      <c r="U121" s="30">
        <f>20033</f>
        <v>20033</v>
      </c>
      <c r="V121" s="30">
        <f>972913850</f>
        <v>972913850</v>
      </c>
      <c r="W121" s="30">
        <f>369938775</f>
        <v>369938775</v>
      </c>
      <c r="X121" s="34">
        <f>19</f>
        <v>19</v>
      </c>
    </row>
    <row r="122" spans="1:24" ht="13.5" customHeight="1" x14ac:dyDescent="0.15">
      <c r="A122" s="25" t="s">
        <v>994</v>
      </c>
      <c r="B122" s="25" t="s">
        <v>384</v>
      </c>
      <c r="C122" s="25" t="s">
        <v>385</v>
      </c>
      <c r="D122" s="25" t="s">
        <v>386</v>
      </c>
      <c r="E122" s="26" t="s">
        <v>45</v>
      </c>
      <c r="F122" s="27" t="s">
        <v>45</v>
      </c>
      <c r="G122" s="28" t="s">
        <v>45</v>
      </c>
      <c r="H122" s="29"/>
      <c r="I122" s="29" t="s">
        <v>46</v>
      </c>
      <c r="J122" s="30">
        <v>10</v>
      </c>
      <c r="K122" s="31">
        <f>1876</f>
        <v>1876</v>
      </c>
      <c r="L122" s="32" t="s">
        <v>995</v>
      </c>
      <c r="M122" s="31">
        <f>1895.5</f>
        <v>1895.5</v>
      </c>
      <c r="N122" s="32" t="s">
        <v>996</v>
      </c>
      <c r="O122" s="31">
        <f>1843.5</f>
        <v>1843.5</v>
      </c>
      <c r="P122" s="32" t="s">
        <v>1002</v>
      </c>
      <c r="Q122" s="31">
        <f>1889</f>
        <v>1889</v>
      </c>
      <c r="R122" s="32" t="s">
        <v>997</v>
      </c>
      <c r="S122" s="33">
        <f>1866.08</f>
        <v>1866.08</v>
      </c>
      <c r="T122" s="30">
        <f>1451700</f>
        <v>1451700</v>
      </c>
      <c r="U122" s="30">
        <f>192000</f>
        <v>192000</v>
      </c>
      <c r="V122" s="30">
        <f>2700443800</f>
        <v>2700443800</v>
      </c>
      <c r="W122" s="30">
        <f>358846750</f>
        <v>358846750</v>
      </c>
      <c r="X122" s="34">
        <f>19</f>
        <v>19</v>
      </c>
    </row>
    <row r="123" spans="1:24" ht="13.5" customHeight="1" x14ac:dyDescent="0.15">
      <c r="A123" s="25" t="s">
        <v>994</v>
      </c>
      <c r="B123" s="25" t="s">
        <v>387</v>
      </c>
      <c r="C123" s="25" t="s">
        <v>388</v>
      </c>
      <c r="D123" s="25" t="s">
        <v>389</v>
      </c>
      <c r="E123" s="26" t="s">
        <v>45</v>
      </c>
      <c r="F123" s="27" t="s">
        <v>45</v>
      </c>
      <c r="G123" s="28" t="s">
        <v>45</v>
      </c>
      <c r="H123" s="29"/>
      <c r="I123" s="29" t="s">
        <v>46</v>
      </c>
      <c r="J123" s="30">
        <v>10</v>
      </c>
      <c r="K123" s="31">
        <f>1674</f>
        <v>1674</v>
      </c>
      <c r="L123" s="32" t="s">
        <v>999</v>
      </c>
      <c r="M123" s="31">
        <f>1687</f>
        <v>1687</v>
      </c>
      <c r="N123" s="32" t="s">
        <v>875</v>
      </c>
      <c r="O123" s="31">
        <f>1663</f>
        <v>1663</v>
      </c>
      <c r="P123" s="32" t="s">
        <v>999</v>
      </c>
      <c r="Q123" s="31">
        <f>1687</f>
        <v>1687</v>
      </c>
      <c r="R123" s="32" t="s">
        <v>875</v>
      </c>
      <c r="S123" s="33">
        <f>1675</f>
        <v>1675</v>
      </c>
      <c r="T123" s="30">
        <f>270</f>
        <v>270</v>
      </c>
      <c r="U123" s="30" t="str">
        <f>"－"</f>
        <v>－</v>
      </c>
      <c r="V123" s="30">
        <f>451790</f>
        <v>451790</v>
      </c>
      <c r="W123" s="30" t="str">
        <f>"－"</f>
        <v>－</v>
      </c>
      <c r="X123" s="34">
        <f>2</f>
        <v>2</v>
      </c>
    </row>
    <row r="124" spans="1:24" ht="13.5" customHeight="1" x14ac:dyDescent="0.15">
      <c r="A124" s="25" t="s">
        <v>994</v>
      </c>
      <c r="B124" s="25" t="s">
        <v>390</v>
      </c>
      <c r="C124" s="25" t="s">
        <v>391</v>
      </c>
      <c r="D124" s="25" t="s">
        <v>392</v>
      </c>
      <c r="E124" s="26" t="s">
        <v>45</v>
      </c>
      <c r="F124" s="27" t="s">
        <v>45</v>
      </c>
      <c r="G124" s="28" t="s">
        <v>45</v>
      </c>
      <c r="H124" s="29"/>
      <c r="I124" s="29" t="s">
        <v>46</v>
      </c>
      <c r="J124" s="30">
        <v>10</v>
      </c>
      <c r="K124" s="31">
        <f>1886.5</f>
        <v>1886.5</v>
      </c>
      <c r="L124" s="32" t="s">
        <v>995</v>
      </c>
      <c r="M124" s="31">
        <f>1916</f>
        <v>1916</v>
      </c>
      <c r="N124" s="32" t="s">
        <v>997</v>
      </c>
      <c r="O124" s="31">
        <f>1862</f>
        <v>1862</v>
      </c>
      <c r="P124" s="32" t="s">
        <v>1002</v>
      </c>
      <c r="Q124" s="31">
        <f>1907</f>
        <v>1907</v>
      </c>
      <c r="R124" s="32" t="s">
        <v>997</v>
      </c>
      <c r="S124" s="33">
        <f>1886.21</f>
        <v>1886.21</v>
      </c>
      <c r="T124" s="30">
        <f>1443910</f>
        <v>1443910</v>
      </c>
      <c r="U124" s="30">
        <f>891200</f>
        <v>891200</v>
      </c>
      <c r="V124" s="30">
        <f>2725702197</f>
        <v>2725702197</v>
      </c>
      <c r="W124" s="30">
        <f>1681197637</f>
        <v>1681197637</v>
      </c>
      <c r="X124" s="34">
        <f>19</f>
        <v>19</v>
      </c>
    </row>
    <row r="125" spans="1:24" ht="13.5" customHeight="1" x14ac:dyDescent="0.15">
      <c r="A125" s="25" t="s">
        <v>994</v>
      </c>
      <c r="B125" s="25" t="s">
        <v>393</v>
      </c>
      <c r="C125" s="25" t="s">
        <v>394</v>
      </c>
      <c r="D125" s="25" t="s">
        <v>395</v>
      </c>
      <c r="E125" s="26" t="s">
        <v>45</v>
      </c>
      <c r="F125" s="27" t="s">
        <v>45</v>
      </c>
      <c r="G125" s="28" t="s">
        <v>45</v>
      </c>
      <c r="H125" s="29"/>
      <c r="I125" s="29" t="s">
        <v>46</v>
      </c>
      <c r="J125" s="30">
        <v>1</v>
      </c>
      <c r="K125" s="31">
        <f>18190</f>
        <v>18190</v>
      </c>
      <c r="L125" s="32" t="s">
        <v>995</v>
      </c>
      <c r="M125" s="31">
        <f>18300</f>
        <v>18300</v>
      </c>
      <c r="N125" s="32" t="s">
        <v>1005</v>
      </c>
      <c r="O125" s="31">
        <f>17840</f>
        <v>17840</v>
      </c>
      <c r="P125" s="32" t="s">
        <v>996</v>
      </c>
      <c r="Q125" s="31">
        <f>18155</f>
        <v>18155</v>
      </c>
      <c r="R125" s="32" t="s">
        <v>997</v>
      </c>
      <c r="S125" s="33">
        <f>18142.5</f>
        <v>18142.5</v>
      </c>
      <c r="T125" s="30">
        <f>512</f>
        <v>512</v>
      </c>
      <c r="U125" s="30">
        <f>2</f>
        <v>2</v>
      </c>
      <c r="V125" s="30">
        <f>9308700</f>
        <v>9308700</v>
      </c>
      <c r="W125" s="30">
        <f>36250</f>
        <v>36250</v>
      </c>
      <c r="X125" s="34">
        <f>16</f>
        <v>16</v>
      </c>
    </row>
    <row r="126" spans="1:24" ht="13.5" customHeight="1" x14ac:dyDescent="0.15">
      <c r="A126" s="25" t="s">
        <v>994</v>
      </c>
      <c r="B126" s="25" t="s">
        <v>396</v>
      </c>
      <c r="C126" s="25" t="s">
        <v>397</v>
      </c>
      <c r="D126" s="25" t="s">
        <v>398</v>
      </c>
      <c r="E126" s="26" t="s">
        <v>45</v>
      </c>
      <c r="F126" s="27" t="s">
        <v>45</v>
      </c>
      <c r="G126" s="28" t="s">
        <v>45</v>
      </c>
      <c r="H126" s="29"/>
      <c r="I126" s="29" t="s">
        <v>46</v>
      </c>
      <c r="J126" s="30">
        <v>100</v>
      </c>
      <c r="K126" s="31">
        <f>215.2</f>
        <v>215.2</v>
      </c>
      <c r="L126" s="32" t="s">
        <v>995</v>
      </c>
      <c r="M126" s="31">
        <f>224.8</f>
        <v>224.8</v>
      </c>
      <c r="N126" s="32" t="s">
        <v>998</v>
      </c>
      <c r="O126" s="31">
        <f>204.7</f>
        <v>204.7</v>
      </c>
      <c r="P126" s="32" t="s">
        <v>78</v>
      </c>
      <c r="Q126" s="31">
        <f>221.4</f>
        <v>221.4</v>
      </c>
      <c r="R126" s="32" t="s">
        <v>997</v>
      </c>
      <c r="S126" s="33">
        <f>217.86</f>
        <v>217.86</v>
      </c>
      <c r="T126" s="30">
        <f>65659800</f>
        <v>65659800</v>
      </c>
      <c r="U126" s="30">
        <f>2801700</f>
        <v>2801700</v>
      </c>
      <c r="V126" s="30">
        <f>14336686605</f>
        <v>14336686605</v>
      </c>
      <c r="W126" s="30">
        <f>604821605</f>
        <v>604821605</v>
      </c>
      <c r="X126" s="34">
        <f>19</f>
        <v>19</v>
      </c>
    </row>
    <row r="127" spans="1:24" ht="13.5" customHeight="1" x14ac:dyDescent="0.15">
      <c r="A127" s="25" t="s">
        <v>994</v>
      </c>
      <c r="B127" s="25" t="s">
        <v>399</v>
      </c>
      <c r="C127" s="25" t="s">
        <v>400</v>
      </c>
      <c r="D127" s="25" t="s">
        <v>401</v>
      </c>
      <c r="E127" s="26" t="s">
        <v>45</v>
      </c>
      <c r="F127" s="27" t="s">
        <v>45</v>
      </c>
      <c r="G127" s="28" t="s">
        <v>45</v>
      </c>
      <c r="H127" s="29"/>
      <c r="I127" s="29" t="s">
        <v>46</v>
      </c>
      <c r="J127" s="30">
        <v>1</v>
      </c>
      <c r="K127" s="31">
        <f>29590</f>
        <v>29590</v>
      </c>
      <c r="L127" s="32" t="s">
        <v>995</v>
      </c>
      <c r="M127" s="31">
        <f>30080</f>
        <v>30080</v>
      </c>
      <c r="N127" s="32" t="s">
        <v>998</v>
      </c>
      <c r="O127" s="31">
        <f>28955</f>
        <v>28955</v>
      </c>
      <c r="P127" s="32" t="s">
        <v>995</v>
      </c>
      <c r="Q127" s="31">
        <f>29950</f>
        <v>29950</v>
      </c>
      <c r="R127" s="32" t="s">
        <v>997</v>
      </c>
      <c r="S127" s="33">
        <f>29542.11</f>
        <v>29542.11</v>
      </c>
      <c r="T127" s="30">
        <f>1293</f>
        <v>1293</v>
      </c>
      <c r="U127" s="30" t="str">
        <f>"－"</f>
        <v>－</v>
      </c>
      <c r="V127" s="30">
        <f>37991355</f>
        <v>37991355</v>
      </c>
      <c r="W127" s="30" t="str">
        <f>"－"</f>
        <v>－</v>
      </c>
      <c r="X127" s="34">
        <f>19</f>
        <v>19</v>
      </c>
    </row>
    <row r="128" spans="1:24" ht="13.5" customHeight="1" x14ac:dyDescent="0.15">
      <c r="A128" s="25" t="s">
        <v>994</v>
      </c>
      <c r="B128" s="25" t="s">
        <v>402</v>
      </c>
      <c r="C128" s="25" t="s">
        <v>403</v>
      </c>
      <c r="D128" s="25" t="s">
        <v>404</v>
      </c>
      <c r="E128" s="26" t="s">
        <v>45</v>
      </c>
      <c r="F128" s="27" t="s">
        <v>45</v>
      </c>
      <c r="G128" s="28" t="s">
        <v>45</v>
      </c>
      <c r="H128" s="29"/>
      <c r="I128" s="29" t="s">
        <v>46</v>
      </c>
      <c r="J128" s="30">
        <v>1</v>
      </c>
      <c r="K128" s="31">
        <f>13290</f>
        <v>13290</v>
      </c>
      <c r="L128" s="32" t="s">
        <v>995</v>
      </c>
      <c r="M128" s="31">
        <f>13600</f>
        <v>13600</v>
      </c>
      <c r="N128" s="32" t="s">
        <v>998</v>
      </c>
      <c r="O128" s="31">
        <f>12715</f>
        <v>12715</v>
      </c>
      <c r="P128" s="32" t="s">
        <v>996</v>
      </c>
      <c r="Q128" s="31">
        <f>13365</f>
        <v>13365</v>
      </c>
      <c r="R128" s="32" t="s">
        <v>997</v>
      </c>
      <c r="S128" s="33">
        <f>13237.37</f>
        <v>13237.37</v>
      </c>
      <c r="T128" s="30">
        <f>4079</f>
        <v>4079</v>
      </c>
      <c r="U128" s="30" t="str">
        <f>"－"</f>
        <v>－</v>
      </c>
      <c r="V128" s="30">
        <f>54025290</f>
        <v>54025290</v>
      </c>
      <c r="W128" s="30" t="str">
        <f>"－"</f>
        <v>－</v>
      </c>
      <c r="X128" s="34">
        <f>19</f>
        <v>19</v>
      </c>
    </row>
    <row r="129" spans="1:24" ht="13.5" customHeight="1" x14ac:dyDescent="0.15">
      <c r="A129" s="25" t="s">
        <v>994</v>
      </c>
      <c r="B129" s="25" t="s">
        <v>405</v>
      </c>
      <c r="C129" s="25" t="s">
        <v>406</v>
      </c>
      <c r="D129" s="25" t="s">
        <v>407</v>
      </c>
      <c r="E129" s="26" t="s">
        <v>45</v>
      </c>
      <c r="F129" s="27" t="s">
        <v>45</v>
      </c>
      <c r="G129" s="28" t="s">
        <v>45</v>
      </c>
      <c r="H129" s="29"/>
      <c r="I129" s="29" t="s">
        <v>46</v>
      </c>
      <c r="J129" s="30">
        <v>1</v>
      </c>
      <c r="K129" s="31">
        <f>21760</f>
        <v>21760</v>
      </c>
      <c r="L129" s="32" t="s">
        <v>995</v>
      </c>
      <c r="M129" s="31">
        <f>22505</f>
        <v>22505</v>
      </c>
      <c r="N129" s="32" t="s">
        <v>997</v>
      </c>
      <c r="O129" s="31">
        <f>21200</f>
        <v>21200</v>
      </c>
      <c r="P129" s="32" t="s">
        <v>996</v>
      </c>
      <c r="Q129" s="31">
        <f>22305</f>
        <v>22305</v>
      </c>
      <c r="R129" s="32" t="s">
        <v>997</v>
      </c>
      <c r="S129" s="33">
        <f>21774.41</f>
        <v>21774.41</v>
      </c>
      <c r="T129" s="30">
        <f>1902</f>
        <v>1902</v>
      </c>
      <c r="U129" s="30" t="str">
        <f>"－"</f>
        <v>－</v>
      </c>
      <c r="V129" s="30">
        <f>41186620</f>
        <v>41186620</v>
      </c>
      <c r="W129" s="30" t="str">
        <f>"－"</f>
        <v>－</v>
      </c>
      <c r="X129" s="34">
        <f>17</f>
        <v>17</v>
      </c>
    </row>
    <row r="130" spans="1:24" ht="13.5" customHeight="1" x14ac:dyDescent="0.15">
      <c r="A130" s="25" t="s">
        <v>994</v>
      </c>
      <c r="B130" s="25" t="s">
        <v>408</v>
      </c>
      <c r="C130" s="25" t="s">
        <v>409</v>
      </c>
      <c r="D130" s="25" t="s">
        <v>410</v>
      </c>
      <c r="E130" s="26" t="s">
        <v>45</v>
      </c>
      <c r="F130" s="27" t="s">
        <v>45</v>
      </c>
      <c r="G130" s="28" t="s">
        <v>45</v>
      </c>
      <c r="H130" s="29"/>
      <c r="I130" s="29" t="s">
        <v>46</v>
      </c>
      <c r="J130" s="30">
        <v>1</v>
      </c>
      <c r="K130" s="31">
        <f>25200</f>
        <v>25200</v>
      </c>
      <c r="L130" s="32" t="s">
        <v>995</v>
      </c>
      <c r="M130" s="31">
        <f>25225</f>
        <v>25225</v>
      </c>
      <c r="N130" s="32" t="s">
        <v>995</v>
      </c>
      <c r="O130" s="31">
        <f>24605</f>
        <v>24605</v>
      </c>
      <c r="P130" s="32" t="s">
        <v>996</v>
      </c>
      <c r="Q130" s="31">
        <f>25100</f>
        <v>25100</v>
      </c>
      <c r="R130" s="32" t="s">
        <v>997</v>
      </c>
      <c r="S130" s="33">
        <f>24995.79</f>
        <v>24995.79</v>
      </c>
      <c r="T130" s="30">
        <f>2046</f>
        <v>2046</v>
      </c>
      <c r="U130" s="30" t="str">
        <f>"－"</f>
        <v>－</v>
      </c>
      <c r="V130" s="30">
        <f>51154160</f>
        <v>51154160</v>
      </c>
      <c r="W130" s="30" t="str">
        <f>"－"</f>
        <v>－</v>
      </c>
      <c r="X130" s="34">
        <f>19</f>
        <v>19</v>
      </c>
    </row>
    <row r="131" spans="1:24" ht="13.5" customHeight="1" x14ac:dyDescent="0.15">
      <c r="A131" s="25" t="s">
        <v>994</v>
      </c>
      <c r="B131" s="25" t="s">
        <v>411</v>
      </c>
      <c r="C131" s="25" t="s">
        <v>412</v>
      </c>
      <c r="D131" s="25" t="s">
        <v>413</v>
      </c>
      <c r="E131" s="26" t="s">
        <v>45</v>
      </c>
      <c r="F131" s="27" t="s">
        <v>45</v>
      </c>
      <c r="G131" s="28" t="s">
        <v>45</v>
      </c>
      <c r="H131" s="29"/>
      <c r="I131" s="29" t="s">
        <v>46</v>
      </c>
      <c r="J131" s="30">
        <v>1</v>
      </c>
      <c r="K131" s="31">
        <f>24780</f>
        <v>24780</v>
      </c>
      <c r="L131" s="32" t="s">
        <v>995</v>
      </c>
      <c r="M131" s="31">
        <f>25400</f>
        <v>25400</v>
      </c>
      <c r="N131" s="32" t="s">
        <v>1001</v>
      </c>
      <c r="O131" s="31">
        <f>24450</f>
        <v>24450</v>
      </c>
      <c r="P131" s="32" t="s">
        <v>999</v>
      </c>
      <c r="Q131" s="31">
        <f>24935</f>
        <v>24935</v>
      </c>
      <c r="R131" s="32" t="s">
        <v>997</v>
      </c>
      <c r="S131" s="33">
        <f>25041.05</f>
        <v>25041.05</v>
      </c>
      <c r="T131" s="30">
        <f>2332</f>
        <v>2332</v>
      </c>
      <c r="U131" s="30" t="str">
        <f>"－"</f>
        <v>－</v>
      </c>
      <c r="V131" s="30">
        <f>58342715</f>
        <v>58342715</v>
      </c>
      <c r="W131" s="30" t="str">
        <f>"－"</f>
        <v>－</v>
      </c>
      <c r="X131" s="34">
        <f>19</f>
        <v>19</v>
      </c>
    </row>
    <row r="132" spans="1:24" ht="13.5" customHeight="1" x14ac:dyDescent="0.15">
      <c r="A132" s="25" t="s">
        <v>994</v>
      </c>
      <c r="B132" s="25" t="s">
        <v>414</v>
      </c>
      <c r="C132" s="25" t="s">
        <v>415</v>
      </c>
      <c r="D132" s="25" t="s">
        <v>416</v>
      </c>
      <c r="E132" s="26" t="s">
        <v>45</v>
      </c>
      <c r="F132" s="27" t="s">
        <v>45</v>
      </c>
      <c r="G132" s="28" t="s">
        <v>45</v>
      </c>
      <c r="H132" s="29"/>
      <c r="I132" s="29" t="s">
        <v>46</v>
      </c>
      <c r="J132" s="30">
        <v>1</v>
      </c>
      <c r="K132" s="31">
        <f>22780</f>
        <v>22780</v>
      </c>
      <c r="L132" s="32" t="s">
        <v>995</v>
      </c>
      <c r="M132" s="31">
        <f>23325</f>
        <v>23325</v>
      </c>
      <c r="N132" s="32" t="s">
        <v>998</v>
      </c>
      <c r="O132" s="31">
        <f>22440</f>
        <v>22440</v>
      </c>
      <c r="P132" s="32" t="s">
        <v>56</v>
      </c>
      <c r="Q132" s="31">
        <f>23085</f>
        <v>23085</v>
      </c>
      <c r="R132" s="32" t="s">
        <v>997</v>
      </c>
      <c r="S132" s="33">
        <f>22874.74</f>
        <v>22874.74</v>
      </c>
      <c r="T132" s="30">
        <f>3801</f>
        <v>3801</v>
      </c>
      <c r="U132" s="30">
        <f>5</f>
        <v>5</v>
      </c>
      <c r="V132" s="30">
        <f>86927355</f>
        <v>86927355</v>
      </c>
      <c r="W132" s="30">
        <f>114200</f>
        <v>114200</v>
      </c>
      <c r="X132" s="34">
        <f>19</f>
        <v>19</v>
      </c>
    </row>
    <row r="133" spans="1:24" ht="13.5" customHeight="1" x14ac:dyDescent="0.15">
      <c r="A133" s="25" t="s">
        <v>994</v>
      </c>
      <c r="B133" s="25" t="s">
        <v>417</v>
      </c>
      <c r="C133" s="25" t="s">
        <v>418</v>
      </c>
      <c r="D133" s="25" t="s">
        <v>419</v>
      </c>
      <c r="E133" s="26" t="s">
        <v>45</v>
      </c>
      <c r="F133" s="27" t="s">
        <v>45</v>
      </c>
      <c r="G133" s="28" t="s">
        <v>45</v>
      </c>
      <c r="H133" s="29"/>
      <c r="I133" s="29" t="s">
        <v>46</v>
      </c>
      <c r="J133" s="30">
        <v>1</v>
      </c>
      <c r="K133" s="31">
        <f>19270</f>
        <v>19270</v>
      </c>
      <c r="L133" s="32" t="s">
        <v>995</v>
      </c>
      <c r="M133" s="31">
        <f>20700</f>
        <v>20700</v>
      </c>
      <c r="N133" s="32" t="s">
        <v>997</v>
      </c>
      <c r="O133" s="31">
        <f>18690</f>
        <v>18690</v>
      </c>
      <c r="P133" s="32" t="s">
        <v>1000</v>
      </c>
      <c r="Q133" s="31">
        <f>20195</f>
        <v>20195</v>
      </c>
      <c r="R133" s="32" t="s">
        <v>997</v>
      </c>
      <c r="S133" s="33">
        <f>19676.58</f>
        <v>19676.580000000002</v>
      </c>
      <c r="T133" s="30">
        <f>8925</f>
        <v>8925</v>
      </c>
      <c r="U133" s="30" t="str">
        <f>"－"</f>
        <v>－</v>
      </c>
      <c r="V133" s="30">
        <f>176972495</f>
        <v>176972495</v>
      </c>
      <c r="W133" s="30" t="str">
        <f>"－"</f>
        <v>－</v>
      </c>
      <c r="X133" s="34">
        <f>19</f>
        <v>19</v>
      </c>
    </row>
    <row r="134" spans="1:24" ht="13.5" customHeight="1" x14ac:dyDescent="0.15">
      <c r="A134" s="25" t="s">
        <v>994</v>
      </c>
      <c r="B134" s="25" t="s">
        <v>420</v>
      </c>
      <c r="C134" s="25" t="s">
        <v>421</v>
      </c>
      <c r="D134" s="25" t="s">
        <v>422</v>
      </c>
      <c r="E134" s="26" t="s">
        <v>45</v>
      </c>
      <c r="F134" s="27" t="s">
        <v>45</v>
      </c>
      <c r="G134" s="28" t="s">
        <v>45</v>
      </c>
      <c r="H134" s="29"/>
      <c r="I134" s="29" t="s">
        <v>46</v>
      </c>
      <c r="J134" s="30">
        <v>1</v>
      </c>
      <c r="K134" s="31">
        <f>39590</f>
        <v>39590</v>
      </c>
      <c r="L134" s="32" t="s">
        <v>995</v>
      </c>
      <c r="M134" s="31">
        <f>41350</f>
        <v>41350</v>
      </c>
      <c r="N134" s="32" t="s">
        <v>997</v>
      </c>
      <c r="O134" s="31">
        <f>39230</f>
        <v>39230</v>
      </c>
      <c r="P134" s="32" t="s">
        <v>996</v>
      </c>
      <c r="Q134" s="31">
        <f>41110</f>
        <v>41110</v>
      </c>
      <c r="R134" s="32" t="s">
        <v>997</v>
      </c>
      <c r="S134" s="33">
        <f>40248.42</f>
        <v>40248.42</v>
      </c>
      <c r="T134" s="30">
        <f>5440</f>
        <v>5440</v>
      </c>
      <c r="U134" s="30">
        <f>1</f>
        <v>1</v>
      </c>
      <c r="V134" s="30">
        <f>217673120</f>
        <v>217673120</v>
      </c>
      <c r="W134" s="30">
        <f>41110</f>
        <v>41110</v>
      </c>
      <c r="X134" s="34">
        <f>19</f>
        <v>19</v>
      </c>
    </row>
    <row r="135" spans="1:24" ht="13.5" customHeight="1" x14ac:dyDescent="0.15">
      <c r="A135" s="25" t="s">
        <v>994</v>
      </c>
      <c r="B135" s="25" t="s">
        <v>423</v>
      </c>
      <c r="C135" s="25" t="s">
        <v>424</v>
      </c>
      <c r="D135" s="25" t="s">
        <v>425</v>
      </c>
      <c r="E135" s="26" t="s">
        <v>45</v>
      </c>
      <c r="F135" s="27" t="s">
        <v>45</v>
      </c>
      <c r="G135" s="28" t="s">
        <v>45</v>
      </c>
      <c r="H135" s="29"/>
      <c r="I135" s="29" t="s">
        <v>46</v>
      </c>
      <c r="J135" s="30">
        <v>1</v>
      </c>
      <c r="K135" s="31">
        <f>27275</f>
        <v>27275</v>
      </c>
      <c r="L135" s="32" t="s">
        <v>995</v>
      </c>
      <c r="M135" s="31">
        <f>27925</f>
        <v>27925</v>
      </c>
      <c r="N135" s="32" t="s">
        <v>78</v>
      </c>
      <c r="O135" s="31">
        <f>26490</f>
        <v>26490</v>
      </c>
      <c r="P135" s="32" t="s">
        <v>1001</v>
      </c>
      <c r="Q135" s="31">
        <f>27140</f>
        <v>27140</v>
      </c>
      <c r="R135" s="32" t="s">
        <v>997</v>
      </c>
      <c r="S135" s="33">
        <f>27294.21</f>
        <v>27294.21</v>
      </c>
      <c r="T135" s="30">
        <f>5188</f>
        <v>5188</v>
      </c>
      <c r="U135" s="30" t="str">
        <f t="shared" ref="U135:U140" si="2">"－"</f>
        <v>－</v>
      </c>
      <c r="V135" s="30">
        <f>142702225</f>
        <v>142702225</v>
      </c>
      <c r="W135" s="30" t="str">
        <f t="shared" ref="W135:W140" si="3">"－"</f>
        <v>－</v>
      </c>
      <c r="X135" s="34">
        <f>19</f>
        <v>19</v>
      </c>
    </row>
    <row r="136" spans="1:24" ht="13.5" customHeight="1" x14ac:dyDescent="0.15">
      <c r="A136" s="25" t="s">
        <v>994</v>
      </c>
      <c r="B136" s="25" t="s">
        <v>426</v>
      </c>
      <c r="C136" s="25" t="s">
        <v>427</v>
      </c>
      <c r="D136" s="25" t="s">
        <v>428</v>
      </c>
      <c r="E136" s="26" t="s">
        <v>45</v>
      </c>
      <c r="F136" s="27" t="s">
        <v>45</v>
      </c>
      <c r="G136" s="28" t="s">
        <v>45</v>
      </c>
      <c r="H136" s="29"/>
      <c r="I136" s="29" t="s">
        <v>46</v>
      </c>
      <c r="J136" s="30">
        <v>1</v>
      </c>
      <c r="K136" s="31">
        <f>28130</f>
        <v>28130</v>
      </c>
      <c r="L136" s="32" t="s">
        <v>995</v>
      </c>
      <c r="M136" s="31">
        <f>28300</f>
        <v>28300</v>
      </c>
      <c r="N136" s="32" t="s">
        <v>996</v>
      </c>
      <c r="O136" s="31">
        <f>27255</f>
        <v>27255</v>
      </c>
      <c r="P136" s="32" t="s">
        <v>793</v>
      </c>
      <c r="Q136" s="31">
        <f>27470</f>
        <v>27470</v>
      </c>
      <c r="R136" s="32" t="s">
        <v>997</v>
      </c>
      <c r="S136" s="33">
        <f>27844.47</f>
        <v>27844.47</v>
      </c>
      <c r="T136" s="30">
        <f>1946</f>
        <v>1946</v>
      </c>
      <c r="U136" s="30" t="str">
        <f t="shared" si="2"/>
        <v>－</v>
      </c>
      <c r="V136" s="30">
        <f>54388235</f>
        <v>54388235</v>
      </c>
      <c r="W136" s="30" t="str">
        <f t="shared" si="3"/>
        <v>－</v>
      </c>
      <c r="X136" s="34">
        <f>19</f>
        <v>19</v>
      </c>
    </row>
    <row r="137" spans="1:24" ht="13.5" customHeight="1" x14ac:dyDescent="0.15">
      <c r="A137" s="25" t="s">
        <v>994</v>
      </c>
      <c r="B137" s="25" t="s">
        <v>429</v>
      </c>
      <c r="C137" s="25" t="s">
        <v>430</v>
      </c>
      <c r="D137" s="25" t="s">
        <v>431</v>
      </c>
      <c r="E137" s="26" t="s">
        <v>45</v>
      </c>
      <c r="F137" s="27" t="s">
        <v>45</v>
      </c>
      <c r="G137" s="28" t="s">
        <v>45</v>
      </c>
      <c r="H137" s="29"/>
      <c r="I137" s="29" t="s">
        <v>46</v>
      </c>
      <c r="J137" s="30">
        <v>1</v>
      </c>
      <c r="K137" s="31">
        <f>6137</f>
        <v>6137</v>
      </c>
      <c r="L137" s="32" t="s">
        <v>995</v>
      </c>
      <c r="M137" s="31">
        <f>6240</f>
        <v>6240</v>
      </c>
      <c r="N137" s="32" t="s">
        <v>80</v>
      </c>
      <c r="O137" s="31">
        <f>5951</f>
        <v>5951</v>
      </c>
      <c r="P137" s="32" t="s">
        <v>996</v>
      </c>
      <c r="Q137" s="31">
        <f>6085</f>
        <v>6085</v>
      </c>
      <c r="R137" s="32" t="s">
        <v>997</v>
      </c>
      <c r="S137" s="33">
        <f>6093.68</f>
        <v>6093.68</v>
      </c>
      <c r="T137" s="30">
        <f>18389</f>
        <v>18389</v>
      </c>
      <c r="U137" s="30" t="str">
        <f t="shared" si="2"/>
        <v>－</v>
      </c>
      <c r="V137" s="30">
        <f>112515099</f>
        <v>112515099</v>
      </c>
      <c r="W137" s="30" t="str">
        <f t="shared" si="3"/>
        <v>－</v>
      </c>
      <c r="X137" s="34">
        <f>19</f>
        <v>19</v>
      </c>
    </row>
    <row r="138" spans="1:24" ht="13.5" customHeight="1" x14ac:dyDescent="0.15">
      <c r="A138" s="25" t="s">
        <v>994</v>
      </c>
      <c r="B138" s="25" t="s">
        <v>432</v>
      </c>
      <c r="C138" s="25" t="s">
        <v>433</v>
      </c>
      <c r="D138" s="25" t="s">
        <v>434</v>
      </c>
      <c r="E138" s="26" t="s">
        <v>45</v>
      </c>
      <c r="F138" s="27" t="s">
        <v>45</v>
      </c>
      <c r="G138" s="28" t="s">
        <v>45</v>
      </c>
      <c r="H138" s="29"/>
      <c r="I138" s="29" t="s">
        <v>46</v>
      </c>
      <c r="J138" s="30">
        <v>1</v>
      </c>
      <c r="K138" s="31">
        <f>15865</f>
        <v>15865</v>
      </c>
      <c r="L138" s="32" t="s">
        <v>995</v>
      </c>
      <c r="M138" s="31">
        <f>16000</f>
        <v>16000</v>
      </c>
      <c r="N138" s="32" t="s">
        <v>997</v>
      </c>
      <c r="O138" s="31">
        <f>15470</f>
        <v>15470</v>
      </c>
      <c r="P138" s="32" t="s">
        <v>1001</v>
      </c>
      <c r="Q138" s="31">
        <f>15845</f>
        <v>15845</v>
      </c>
      <c r="R138" s="32" t="s">
        <v>997</v>
      </c>
      <c r="S138" s="33">
        <f>15703.95</f>
        <v>15703.95</v>
      </c>
      <c r="T138" s="30">
        <f>6228</f>
        <v>6228</v>
      </c>
      <c r="U138" s="30" t="str">
        <f t="shared" si="2"/>
        <v>－</v>
      </c>
      <c r="V138" s="30">
        <f>97852155</f>
        <v>97852155</v>
      </c>
      <c r="W138" s="30" t="str">
        <f t="shared" si="3"/>
        <v>－</v>
      </c>
      <c r="X138" s="34">
        <f>19</f>
        <v>19</v>
      </c>
    </row>
    <row r="139" spans="1:24" ht="13.5" customHeight="1" x14ac:dyDescent="0.15">
      <c r="A139" s="25" t="s">
        <v>994</v>
      </c>
      <c r="B139" s="25" t="s">
        <v>435</v>
      </c>
      <c r="C139" s="25" t="s">
        <v>436</v>
      </c>
      <c r="D139" s="25" t="s">
        <v>437</v>
      </c>
      <c r="E139" s="26" t="s">
        <v>45</v>
      </c>
      <c r="F139" s="27" t="s">
        <v>45</v>
      </c>
      <c r="G139" s="28" t="s">
        <v>45</v>
      </c>
      <c r="H139" s="29"/>
      <c r="I139" s="29" t="s">
        <v>46</v>
      </c>
      <c r="J139" s="30">
        <v>1</v>
      </c>
      <c r="K139" s="31">
        <f>51780</f>
        <v>51780</v>
      </c>
      <c r="L139" s="32" t="s">
        <v>995</v>
      </c>
      <c r="M139" s="31">
        <f>53300</f>
        <v>53300</v>
      </c>
      <c r="N139" s="32" t="s">
        <v>875</v>
      </c>
      <c r="O139" s="31">
        <f>50000</f>
        <v>50000</v>
      </c>
      <c r="P139" s="32" t="s">
        <v>996</v>
      </c>
      <c r="Q139" s="31">
        <f>52220</f>
        <v>52220</v>
      </c>
      <c r="R139" s="32" t="s">
        <v>997</v>
      </c>
      <c r="S139" s="33">
        <f>52248.42</f>
        <v>52248.42</v>
      </c>
      <c r="T139" s="30">
        <f>4905</f>
        <v>4905</v>
      </c>
      <c r="U139" s="30" t="str">
        <f t="shared" si="2"/>
        <v>－</v>
      </c>
      <c r="V139" s="30">
        <f>255645820</f>
        <v>255645820</v>
      </c>
      <c r="W139" s="30" t="str">
        <f t="shared" si="3"/>
        <v>－</v>
      </c>
      <c r="X139" s="34">
        <f>19</f>
        <v>19</v>
      </c>
    </row>
    <row r="140" spans="1:24" ht="13.5" customHeight="1" x14ac:dyDescent="0.15">
      <c r="A140" s="25" t="s">
        <v>994</v>
      </c>
      <c r="B140" s="25" t="s">
        <v>438</v>
      </c>
      <c r="C140" s="25" t="s">
        <v>439</v>
      </c>
      <c r="D140" s="25" t="s">
        <v>440</v>
      </c>
      <c r="E140" s="26" t="s">
        <v>45</v>
      </c>
      <c r="F140" s="27" t="s">
        <v>45</v>
      </c>
      <c r="G140" s="28" t="s">
        <v>45</v>
      </c>
      <c r="H140" s="29"/>
      <c r="I140" s="29" t="s">
        <v>46</v>
      </c>
      <c r="J140" s="30">
        <v>1</v>
      </c>
      <c r="K140" s="31">
        <f>23155</f>
        <v>23155</v>
      </c>
      <c r="L140" s="32" t="s">
        <v>995</v>
      </c>
      <c r="M140" s="31">
        <f>23430</f>
        <v>23430</v>
      </c>
      <c r="N140" s="32" t="s">
        <v>80</v>
      </c>
      <c r="O140" s="31">
        <f>22700</f>
        <v>22700</v>
      </c>
      <c r="P140" s="32" t="s">
        <v>1004</v>
      </c>
      <c r="Q140" s="31">
        <f>23135</f>
        <v>23135</v>
      </c>
      <c r="R140" s="32" t="s">
        <v>997</v>
      </c>
      <c r="S140" s="33">
        <f>23045</f>
        <v>23045</v>
      </c>
      <c r="T140" s="30">
        <f>925</f>
        <v>925</v>
      </c>
      <c r="U140" s="30" t="str">
        <f t="shared" si="2"/>
        <v>－</v>
      </c>
      <c r="V140" s="30">
        <f>21341960</f>
        <v>21341960</v>
      </c>
      <c r="W140" s="30" t="str">
        <f t="shared" si="3"/>
        <v>－</v>
      </c>
      <c r="X140" s="34">
        <f>19</f>
        <v>19</v>
      </c>
    </row>
    <row r="141" spans="1:24" ht="13.5" customHeight="1" x14ac:dyDescent="0.15">
      <c r="A141" s="25" t="s">
        <v>994</v>
      </c>
      <c r="B141" s="25" t="s">
        <v>441</v>
      </c>
      <c r="C141" s="25" t="s">
        <v>442</v>
      </c>
      <c r="D141" s="25" t="s">
        <v>443</v>
      </c>
      <c r="E141" s="26" t="s">
        <v>45</v>
      </c>
      <c r="F141" s="27" t="s">
        <v>45</v>
      </c>
      <c r="G141" s="28" t="s">
        <v>45</v>
      </c>
      <c r="H141" s="29"/>
      <c r="I141" s="29" t="s">
        <v>46</v>
      </c>
      <c r="J141" s="30">
        <v>1</v>
      </c>
      <c r="K141" s="31">
        <f>11140</f>
        <v>11140</v>
      </c>
      <c r="L141" s="32" t="s">
        <v>995</v>
      </c>
      <c r="M141" s="31">
        <f>11665</f>
        <v>11665</v>
      </c>
      <c r="N141" s="32" t="s">
        <v>998</v>
      </c>
      <c r="O141" s="31">
        <f>10615</f>
        <v>10615</v>
      </c>
      <c r="P141" s="32" t="s">
        <v>78</v>
      </c>
      <c r="Q141" s="31">
        <f>11490</f>
        <v>11490</v>
      </c>
      <c r="R141" s="32" t="s">
        <v>997</v>
      </c>
      <c r="S141" s="33">
        <f>11308.42</f>
        <v>11308.42</v>
      </c>
      <c r="T141" s="30">
        <f>39480</f>
        <v>39480</v>
      </c>
      <c r="U141" s="30">
        <f>3600</f>
        <v>3600</v>
      </c>
      <c r="V141" s="30">
        <f>446659874</f>
        <v>446659874</v>
      </c>
      <c r="W141" s="30">
        <f>41162634</f>
        <v>41162634</v>
      </c>
      <c r="X141" s="34">
        <f>19</f>
        <v>19</v>
      </c>
    </row>
    <row r="142" spans="1:24" ht="13.5" customHeight="1" x14ac:dyDescent="0.15">
      <c r="A142" s="25" t="s">
        <v>994</v>
      </c>
      <c r="B142" s="25" t="s">
        <v>444</v>
      </c>
      <c r="C142" s="25" t="s">
        <v>445</v>
      </c>
      <c r="D142" s="25" t="s">
        <v>446</v>
      </c>
      <c r="E142" s="26" t="s">
        <v>45</v>
      </c>
      <c r="F142" s="27" t="s">
        <v>45</v>
      </c>
      <c r="G142" s="28" t="s">
        <v>45</v>
      </c>
      <c r="H142" s="29"/>
      <c r="I142" s="29" t="s">
        <v>46</v>
      </c>
      <c r="J142" s="30">
        <v>1</v>
      </c>
      <c r="K142" s="31">
        <f>15790</f>
        <v>15790</v>
      </c>
      <c r="L142" s="32" t="s">
        <v>995</v>
      </c>
      <c r="M142" s="31">
        <f>16495</f>
        <v>16495</v>
      </c>
      <c r="N142" s="32" t="s">
        <v>793</v>
      </c>
      <c r="O142" s="31">
        <f>15200</f>
        <v>15200</v>
      </c>
      <c r="P142" s="32" t="s">
        <v>78</v>
      </c>
      <c r="Q142" s="31">
        <f>16355</f>
        <v>16355</v>
      </c>
      <c r="R142" s="32" t="s">
        <v>997</v>
      </c>
      <c r="S142" s="33">
        <f>15948.68</f>
        <v>15948.68</v>
      </c>
      <c r="T142" s="30">
        <f>5283</f>
        <v>5283</v>
      </c>
      <c r="U142" s="30" t="str">
        <f>"－"</f>
        <v>－</v>
      </c>
      <c r="V142" s="30">
        <f>84477660</f>
        <v>84477660</v>
      </c>
      <c r="W142" s="30" t="str">
        <f>"－"</f>
        <v>－</v>
      </c>
      <c r="X142" s="34">
        <f>19</f>
        <v>19</v>
      </c>
    </row>
    <row r="143" spans="1:24" ht="13.5" customHeight="1" x14ac:dyDescent="0.15">
      <c r="A143" s="25" t="s">
        <v>994</v>
      </c>
      <c r="B143" s="25" t="s">
        <v>447</v>
      </c>
      <c r="C143" s="25" t="s">
        <v>448</v>
      </c>
      <c r="D143" s="25" t="s">
        <v>449</v>
      </c>
      <c r="E143" s="26" t="s">
        <v>45</v>
      </c>
      <c r="F143" s="27" t="s">
        <v>45</v>
      </c>
      <c r="G143" s="28" t="s">
        <v>45</v>
      </c>
      <c r="H143" s="29"/>
      <c r="I143" s="29" t="s">
        <v>46</v>
      </c>
      <c r="J143" s="30">
        <v>1</v>
      </c>
      <c r="K143" s="31">
        <f>28385</f>
        <v>28385</v>
      </c>
      <c r="L143" s="32" t="s">
        <v>995</v>
      </c>
      <c r="M143" s="31">
        <f>28760</f>
        <v>28760</v>
      </c>
      <c r="N143" s="32" t="s">
        <v>997</v>
      </c>
      <c r="O143" s="31">
        <f>27350</f>
        <v>27350</v>
      </c>
      <c r="P143" s="32" t="s">
        <v>875</v>
      </c>
      <c r="Q143" s="31">
        <f>28675</f>
        <v>28675</v>
      </c>
      <c r="R143" s="32" t="s">
        <v>997</v>
      </c>
      <c r="S143" s="33">
        <f>27873.16</f>
        <v>27873.16</v>
      </c>
      <c r="T143" s="30">
        <f>1701</f>
        <v>1701</v>
      </c>
      <c r="U143" s="30" t="str">
        <f>"－"</f>
        <v>－</v>
      </c>
      <c r="V143" s="30">
        <f>47386305</f>
        <v>47386305</v>
      </c>
      <c r="W143" s="30" t="str">
        <f>"－"</f>
        <v>－</v>
      </c>
      <c r="X143" s="34">
        <f>19</f>
        <v>19</v>
      </c>
    </row>
    <row r="144" spans="1:24" ht="13.5" customHeight="1" x14ac:dyDescent="0.15">
      <c r="A144" s="25" t="s">
        <v>994</v>
      </c>
      <c r="B144" s="25" t="s">
        <v>450</v>
      </c>
      <c r="C144" s="25" t="s">
        <v>451</v>
      </c>
      <c r="D144" s="25" t="s">
        <v>452</v>
      </c>
      <c r="E144" s="26" t="s">
        <v>45</v>
      </c>
      <c r="F144" s="27" t="s">
        <v>45</v>
      </c>
      <c r="G144" s="28" t="s">
        <v>45</v>
      </c>
      <c r="H144" s="29"/>
      <c r="I144" s="29" t="s">
        <v>46</v>
      </c>
      <c r="J144" s="30">
        <v>10</v>
      </c>
      <c r="K144" s="31">
        <f>1314</f>
        <v>1314</v>
      </c>
      <c r="L144" s="32" t="s">
        <v>995</v>
      </c>
      <c r="M144" s="31">
        <f>1358.5</f>
        <v>1358.5</v>
      </c>
      <c r="N144" s="32" t="s">
        <v>998</v>
      </c>
      <c r="O144" s="31">
        <f>1285</f>
        <v>1285</v>
      </c>
      <c r="P144" s="32" t="s">
        <v>996</v>
      </c>
      <c r="Q144" s="31">
        <f>1340</f>
        <v>1340</v>
      </c>
      <c r="R144" s="32" t="s">
        <v>997</v>
      </c>
      <c r="S144" s="33">
        <f>1327.71</f>
        <v>1327.71</v>
      </c>
      <c r="T144" s="30">
        <f>505230</f>
        <v>505230</v>
      </c>
      <c r="U144" s="30">
        <f>121920</f>
        <v>121920</v>
      </c>
      <c r="V144" s="30">
        <f>668513772</f>
        <v>668513772</v>
      </c>
      <c r="W144" s="30">
        <f>161972222</f>
        <v>161972222</v>
      </c>
      <c r="X144" s="34">
        <f>19</f>
        <v>19</v>
      </c>
    </row>
    <row r="145" spans="1:24" ht="13.5" customHeight="1" x14ac:dyDescent="0.15">
      <c r="A145" s="25" t="s">
        <v>994</v>
      </c>
      <c r="B145" s="25" t="s">
        <v>453</v>
      </c>
      <c r="C145" s="25" t="s">
        <v>454</v>
      </c>
      <c r="D145" s="25" t="s">
        <v>455</v>
      </c>
      <c r="E145" s="26" t="s">
        <v>45</v>
      </c>
      <c r="F145" s="27" t="s">
        <v>45</v>
      </c>
      <c r="G145" s="28" t="s">
        <v>45</v>
      </c>
      <c r="H145" s="29"/>
      <c r="I145" s="29" t="s">
        <v>46</v>
      </c>
      <c r="J145" s="30">
        <v>10</v>
      </c>
      <c r="K145" s="31">
        <f>2317.5</f>
        <v>2317.5</v>
      </c>
      <c r="L145" s="32" t="s">
        <v>78</v>
      </c>
      <c r="M145" s="31">
        <f>2325</f>
        <v>2325</v>
      </c>
      <c r="N145" s="32" t="s">
        <v>875</v>
      </c>
      <c r="O145" s="31">
        <f>2307</f>
        <v>2307</v>
      </c>
      <c r="P145" s="32" t="s">
        <v>255</v>
      </c>
      <c r="Q145" s="31">
        <f>2311</f>
        <v>2311</v>
      </c>
      <c r="R145" s="32" t="s">
        <v>997</v>
      </c>
      <c r="S145" s="33">
        <f>2314.17</f>
        <v>2314.17</v>
      </c>
      <c r="T145" s="30">
        <f>3550</f>
        <v>3550</v>
      </c>
      <c r="U145" s="30" t="str">
        <f>"－"</f>
        <v>－</v>
      </c>
      <c r="V145" s="30">
        <f>8245630</f>
        <v>8245630</v>
      </c>
      <c r="W145" s="30" t="str">
        <f>"－"</f>
        <v>－</v>
      </c>
      <c r="X145" s="34">
        <f>6</f>
        <v>6</v>
      </c>
    </row>
    <row r="146" spans="1:24" ht="13.5" customHeight="1" x14ac:dyDescent="0.15">
      <c r="A146" s="25" t="s">
        <v>994</v>
      </c>
      <c r="B146" s="25" t="s">
        <v>456</v>
      </c>
      <c r="C146" s="25" t="s">
        <v>457</v>
      </c>
      <c r="D146" s="25" t="s">
        <v>458</v>
      </c>
      <c r="E146" s="26" t="s">
        <v>45</v>
      </c>
      <c r="F146" s="27" t="s">
        <v>45</v>
      </c>
      <c r="G146" s="28" t="s">
        <v>45</v>
      </c>
      <c r="H146" s="29"/>
      <c r="I146" s="29" t="s">
        <v>46</v>
      </c>
      <c r="J146" s="30">
        <v>10</v>
      </c>
      <c r="K146" s="31">
        <f>2481.5</f>
        <v>2481.5</v>
      </c>
      <c r="L146" s="32" t="s">
        <v>995</v>
      </c>
      <c r="M146" s="31">
        <f>2517</f>
        <v>2517</v>
      </c>
      <c r="N146" s="32" t="s">
        <v>875</v>
      </c>
      <c r="O146" s="31">
        <f>2472.5</f>
        <v>2472.5</v>
      </c>
      <c r="P146" s="32" t="s">
        <v>999</v>
      </c>
      <c r="Q146" s="31">
        <f>2498</f>
        <v>2498</v>
      </c>
      <c r="R146" s="32" t="s">
        <v>997</v>
      </c>
      <c r="S146" s="33">
        <f>2495.5</f>
        <v>2495.5</v>
      </c>
      <c r="T146" s="30">
        <f>95730</f>
        <v>95730</v>
      </c>
      <c r="U146" s="30">
        <f>82000</f>
        <v>82000</v>
      </c>
      <c r="V146" s="30">
        <f>238969510</f>
        <v>238969510</v>
      </c>
      <c r="W146" s="30">
        <f>204672000</f>
        <v>204672000</v>
      </c>
      <c r="X146" s="34">
        <f>9</f>
        <v>9</v>
      </c>
    </row>
    <row r="147" spans="1:24" ht="13.5" customHeight="1" x14ac:dyDescent="0.15">
      <c r="A147" s="25" t="s">
        <v>994</v>
      </c>
      <c r="B147" s="25" t="s">
        <v>459</v>
      </c>
      <c r="C147" s="25" t="s">
        <v>460</v>
      </c>
      <c r="D147" s="25" t="s">
        <v>461</v>
      </c>
      <c r="E147" s="26" t="s">
        <v>45</v>
      </c>
      <c r="F147" s="27" t="s">
        <v>45</v>
      </c>
      <c r="G147" s="28" t="s">
        <v>45</v>
      </c>
      <c r="H147" s="29"/>
      <c r="I147" s="29" t="s">
        <v>46</v>
      </c>
      <c r="J147" s="30">
        <v>10</v>
      </c>
      <c r="K147" s="31">
        <f>1558.5</f>
        <v>1558.5</v>
      </c>
      <c r="L147" s="32" t="s">
        <v>995</v>
      </c>
      <c r="M147" s="31">
        <f>1567.5</f>
        <v>1567.5</v>
      </c>
      <c r="N147" s="32" t="s">
        <v>875</v>
      </c>
      <c r="O147" s="31">
        <f>1536</f>
        <v>1536</v>
      </c>
      <c r="P147" s="32" t="s">
        <v>996</v>
      </c>
      <c r="Q147" s="31">
        <f>1559.5</f>
        <v>1559.5</v>
      </c>
      <c r="R147" s="32" t="s">
        <v>255</v>
      </c>
      <c r="S147" s="33">
        <f>1555.38</f>
        <v>1555.38</v>
      </c>
      <c r="T147" s="30">
        <f>71990</f>
        <v>71990</v>
      </c>
      <c r="U147" s="30">
        <f>70000</f>
        <v>70000</v>
      </c>
      <c r="V147" s="30">
        <f>111894885</f>
        <v>111894885</v>
      </c>
      <c r="W147" s="30">
        <f>108787000</f>
        <v>108787000</v>
      </c>
      <c r="X147" s="34">
        <f>8</f>
        <v>8</v>
      </c>
    </row>
    <row r="148" spans="1:24" ht="13.5" customHeight="1" x14ac:dyDescent="0.15">
      <c r="A148" s="25" t="s">
        <v>994</v>
      </c>
      <c r="B148" s="25" t="s">
        <v>462</v>
      </c>
      <c r="C148" s="25" t="s">
        <v>463</v>
      </c>
      <c r="D148" s="25" t="s">
        <v>464</v>
      </c>
      <c r="E148" s="26" t="s">
        <v>45</v>
      </c>
      <c r="F148" s="27" t="s">
        <v>45</v>
      </c>
      <c r="G148" s="28" t="s">
        <v>45</v>
      </c>
      <c r="H148" s="29"/>
      <c r="I148" s="29" t="s">
        <v>46</v>
      </c>
      <c r="J148" s="30">
        <v>10</v>
      </c>
      <c r="K148" s="31">
        <f>382.1</f>
        <v>382.1</v>
      </c>
      <c r="L148" s="32" t="s">
        <v>995</v>
      </c>
      <c r="M148" s="31">
        <f>400.2</f>
        <v>400.2</v>
      </c>
      <c r="N148" s="32" t="s">
        <v>876</v>
      </c>
      <c r="O148" s="31">
        <f>381</f>
        <v>381</v>
      </c>
      <c r="P148" s="32" t="s">
        <v>995</v>
      </c>
      <c r="Q148" s="31">
        <f>389.7</f>
        <v>389.7</v>
      </c>
      <c r="R148" s="32" t="s">
        <v>997</v>
      </c>
      <c r="S148" s="33">
        <f>389.81</f>
        <v>389.81</v>
      </c>
      <c r="T148" s="30">
        <f>33915410</f>
        <v>33915410</v>
      </c>
      <c r="U148" s="30">
        <f>397960</f>
        <v>397960</v>
      </c>
      <c r="V148" s="30">
        <f>13222976550</f>
        <v>13222976550</v>
      </c>
      <c r="W148" s="30">
        <f>154533100</f>
        <v>154533100</v>
      </c>
      <c r="X148" s="34">
        <f>19</f>
        <v>19</v>
      </c>
    </row>
    <row r="149" spans="1:24" ht="13.5" customHeight="1" x14ac:dyDescent="0.15">
      <c r="A149" s="25" t="s">
        <v>994</v>
      </c>
      <c r="B149" s="25" t="s">
        <v>465</v>
      </c>
      <c r="C149" s="25" t="s">
        <v>466</v>
      </c>
      <c r="D149" s="25" t="s">
        <v>467</v>
      </c>
      <c r="E149" s="26" t="s">
        <v>45</v>
      </c>
      <c r="F149" s="27" t="s">
        <v>45</v>
      </c>
      <c r="G149" s="28" t="s">
        <v>45</v>
      </c>
      <c r="H149" s="29"/>
      <c r="I149" s="29" t="s">
        <v>46</v>
      </c>
      <c r="J149" s="30">
        <v>10</v>
      </c>
      <c r="K149" s="31">
        <f>267.7</f>
        <v>267.7</v>
      </c>
      <c r="L149" s="32" t="s">
        <v>995</v>
      </c>
      <c r="M149" s="31">
        <f>270</f>
        <v>270</v>
      </c>
      <c r="N149" s="32" t="s">
        <v>1003</v>
      </c>
      <c r="O149" s="31">
        <f>263.7</f>
        <v>263.7</v>
      </c>
      <c r="P149" s="32" t="s">
        <v>56</v>
      </c>
      <c r="Q149" s="31">
        <f>269.7</f>
        <v>269.7</v>
      </c>
      <c r="R149" s="32" t="s">
        <v>997</v>
      </c>
      <c r="S149" s="33">
        <f>266.99</f>
        <v>266.99</v>
      </c>
      <c r="T149" s="30">
        <f>18751960</f>
        <v>18751960</v>
      </c>
      <c r="U149" s="30">
        <f>16852120</f>
        <v>16852120</v>
      </c>
      <c r="V149" s="30">
        <f>5011916879</f>
        <v>5011916879</v>
      </c>
      <c r="W149" s="30">
        <f>4504544752</f>
        <v>4504544752</v>
      </c>
      <c r="X149" s="34">
        <f>19</f>
        <v>19</v>
      </c>
    </row>
    <row r="150" spans="1:24" ht="13.5" customHeight="1" x14ac:dyDescent="0.15">
      <c r="A150" s="25" t="s">
        <v>994</v>
      </c>
      <c r="B150" s="25" t="s">
        <v>468</v>
      </c>
      <c r="C150" s="25" t="s">
        <v>469</v>
      </c>
      <c r="D150" s="25" t="s">
        <v>470</v>
      </c>
      <c r="E150" s="26" t="s">
        <v>45</v>
      </c>
      <c r="F150" s="27" t="s">
        <v>45</v>
      </c>
      <c r="G150" s="28" t="s">
        <v>45</v>
      </c>
      <c r="H150" s="29"/>
      <c r="I150" s="29" t="s">
        <v>46</v>
      </c>
      <c r="J150" s="30">
        <v>1</v>
      </c>
      <c r="K150" s="31">
        <f>3370</f>
        <v>3370</v>
      </c>
      <c r="L150" s="32" t="s">
        <v>995</v>
      </c>
      <c r="M150" s="31">
        <f>3515</f>
        <v>3515</v>
      </c>
      <c r="N150" s="32" t="s">
        <v>876</v>
      </c>
      <c r="O150" s="31">
        <f>3325</f>
        <v>3325</v>
      </c>
      <c r="P150" s="32" t="s">
        <v>1000</v>
      </c>
      <c r="Q150" s="31">
        <f>3445</f>
        <v>3445</v>
      </c>
      <c r="R150" s="32" t="s">
        <v>997</v>
      </c>
      <c r="S150" s="33">
        <f>3435</f>
        <v>3435</v>
      </c>
      <c r="T150" s="30">
        <f>68629</f>
        <v>68629</v>
      </c>
      <c r="U150" s="30">
        <f>2502</f>
        <v>2502</v>
      </c>
      <c r="V150" s="30">
        <f>236592125</f>
        <v>236592125</v>
      </c>
      <c r="W150" s="30">
        <f>8666525</f>
        <v>8666525</v>
      </c>
      <c r="X150" s="34">
        <f>19</f>
        <v>19</v>
      </c>
    </row>
    <row r="151" spans="1:24" ht="13.5" customHeight="1" x14ac:dyDescent="0.15">
      <c r="A151" s="25" t="s">
        <v>994</v>
      </c>
      <c r="B151" s="25" t="s">
        <v>471</v>
      </c>
      <c r="C151" s="25" t="s">
        <v>472</v>
      </c>
      <c r="D151" s="25" t="s">
        <v>473</v>
      </c>
      <c r="E151" s="26" t="s">
        <v>45</v>
      </c>
      <c r="F151" s="27" t="s">
        <v>45</v>
      </c>
      <c r="G151" s="28" t="s">
        <v>45</v>
      </c>
      <c r="H151" s="29"/>
      <c r="I151" s="29" t="s">
        <v>46</v>
      </c>
      <c r="J151" s="30">
        <v>1</v>
      </c>
      <c r="K151" s="31">
        <f>2249</f>
        <v>2249</v>
      </c>
      <c r="L151" s="32" t="s">
        <v>995</v>
      </c>
      <c r="M151" s="31">
        <f>2273</f>
        <v>2273</v>
      </c>
      <c r="N151" s="32" t="s">
        <v>999</v>
      </c>
      <c r="O151" s="31">
        <f>2160</f>
        <v>2160</v>
      </c>
      <c r="P151" s="32" t="s">
        <v>255</v>
      </c>
      <c r="Q151" s="31">
        <f>2161</f>
        <v>2161</v>
      </c>
      <c r="R151" s="32" t="s">
        <v>997</v>
      </c>
      <c r="S151" s="33">
        <f>2208.32</f>
        <v>2208.3200000000002</v>
      </c>
      <c r="T151" s="30">
        <f>64645</f>
        <v>64645</v>
      </c>
      <c r="U151" s="30" t="str">
        <f>"－"</f>
        <v>－</v>
      </c>
      <c r="V151" s="30">
        <f>143109338</f>
        <v>143109338</v>
      </c>
      <c r="W151" s="30" t="str">
        <f>"－"</f>
        <v>－</v>
      </c>
      <c r="X151" s="34">
        <f>19</f>
        <v>19</v>
      </c>
    </row>
    <row r="152" spans="1:24" ht="13.5" customHeight="1" x14ac:dyDescent="0.15">
      <c r="A152" s="25" t="s">
        <v>994</v>
      </c>
      <c r="B152" s="25" t="s">
        <v>474</v>
      </c>
      <c r="C152" s="25" t="s">
        <v>475</v>
      </c>
      <c r="D152" s="25" t="s">
        <v>476</v>
      </c>
      <c r="E152" s="26" t="s">
        <v>45</v>
      </c>
      <c r="F152" s="27" t="s">
        <v>45</v>
      </c>
      <c r="G152" s="28" t="s">
        <v>45</v>
      </c>
      <c r="H152" s="29"/>
      <c r="I152" s="29" t="s">
        <v>46</v>
      </c>
      <c r="J152" s="30">
        <v>1</v>
      </c>
      <c r="K152" s="31">
        <f>2644</f>
        <v>2644</v>
      </c>
      <c r="L152" s="32" t="s">
        <v>995</v>
      </c>
      <c r="M152" s="31">
        <f>2727</f>
        <v>2727</v>
      </c>
      <c r="N152" s="32" t="s">
        <v>1003</v>
      </c>
      <c r="O152" s="31">
        <f>2630</f>
        <v>2630</v>
      </c>
      <c r="P152" s="32" t="s">
        <v>793</v>
      </c>
      <c r="Q152" s="31">
        <f>2640</f>
        <v>2640</v>
      </c>
      <c r="R152" s="32" t="s">
        <v>997</v>
      </c>
      <c r="S152" s="33">
        <f>2667.21</f>
        <v>2667.21</v>
      </c>
      <c r="T152" s="30">
        <f>150806</f>
        <v>150806</v>
      </c>
      <c r="U152" s="30">
        <f>15</f>
        <v>15</v>
      </c>
      <c r="V152" s="30">
        <f>403688640</f>
        <v>403688640</v>
      </c>
      <c r="W152" s="30">
        <f>40785</f>
        <v>40785</v>
      </c>
      <c r="X152" s="34">
        <f>19</f>
        <v>19</v>
      </c>
    </row>
    <row r="153" spans="1:24" ht="13.5" customHeight="1" x14ac:dyDescent="0.15">
      <c r="A153" s="25" t="s">
        <v>994</v>
      </c>
      <c r="B153" s="25" t="s">
        <v>477</v>
      </c>
      <c r="C153" s="25" t="s">
        <v>478</v>
      </c>
      <c r="D153" s="25" t="s">
        <v>479</v>
      </c>
      <c r="E153" s="26" t="s">
        <v>45</v>
      </c>
      <c r="F153" s="27" t="s">
        <v>45</v>
      </c>
      <c r="G153" s="28" t="s">
        <v>45</v>
      </c>
      <c r="H153" s="29"/>
      <c r="I153" s="29" t="s">
        <v>46</v>
      </c>
      <c r="J153" s="30">
        <v>1</v>
      </c>
      <c r="K153" s="31">
        <f>10385</f>
        <v>10385</v>
      </c>
      <c r="L153" s="32" t="s">
        <v>995</v>
      </c>
      <c r="M153" s="31">
        <f>10520</f>
        <v>10520</v>
      </c>
      <c r="N153" s="32" t="s">
        <v>997</v>
      </c>
      <c r="O153" s="31">
        <f>10215</f>
        <v>10215</v>
      </c>
      <c r="P153" s="32" t="s">
        <v>792</v>
      </c>
      <c r="Q153" s="31">
        <f>10520</f>
        <v>10520</v>
      </c>
      <c r="R153" s="32" t="s">
        <v>997</v>
      </c>
      <c r="S153" s="33">
        <f>10345.79</f>
        <v>10345.790000000001</v>
      </c>
      <c r="T153" s="30">
        <f>49517</f>
        <v>49517</v>
      </c>
      <c r="U153" s="30">
        <f>9743</f>
        <v>9743</v>
      </c>
      <c r="V153" s="30">
        <f>511725910</f>
        <v>511725910</v>
      </c>
      <c r="W153" s="30">
        <f>100095375</f>
        <v>100095375</v>
      </c>
      <c r="X153" s="34">
        <f>19</f>
        <v>19</v>
      </c>
    </row>
    <row r="154" spans="1:24" ht="13.5" customHeight="1" x14ac:dyDescent="0.15">
      <c r="A154" s="25" t="s">
        <v>994</v>
      </c>
      <c r="B154" s="25" t="s">
        <v>480</v>
      </c>
      <c r="C154" s="25" t="s">
        <v>481</v>
      </c>
      <c r="D154" s="25" t="s">
        <v>482</v>
      </c>
      <c r="E154" s="26" t="s">
        <v>45</v>
      </c>
      <c r="F154" s="27" t="s">
        <v>45</v>
      </c>
      <c r="G154" s="28" t="s">
        <v>45</v>
      </c>
      <c r="H154" s="29"/>
      <c r="I154" s="29" t="s">
        <v>46</v>
      </c>
      <c r="J154" s="30">
        <v>1</v>
      </c>
      <c r="K154" s="31">
        <f>2487</f>
        <v>2487</v>
      </c>
      <c r="L154" s="32" t="s">
        <v>995</v>
      </c>
      <c r="M154" s="31">
        <f>2567</f>
        <v>2567</v>
      </c>
      <c r="N154" s="32" t="s">
        <v>876</v>
      </c>
      <c r="O154" s="31">
        <f>2341</f>
        <v>2341</v>
      </c>
      <c r="P154" s="32" t="s">
        <v>78</v>
      </c>
      <c r="Q154" s="31">
        <f>2495</f>
        <v>2495</v>
      </c>
      <c r="R154" s="32" t="s">
        <v>997</v>
      </c>
      <c r="S154" s="33">
        <f>2471.37</f>
        <v>2471.37</v>
      </c>
      <c r="T154" s="30">
        <f>5382725</f>
        <v>5382725</v>
      </c>
      <c r="U154" s="30">
        <f>1220</f>
        <v>1220</v>
      </c>
      <c r="V154" s="30">
        <f>13233168272</f>
        <v>13233168272</v>
      </c>
      <c r="W154" s="30">
        <f>3011351</f>
        <v>3011351</v>
      </c>
      <c r="X154" s="34">
        <f>19</f>
        <v>19</v>
      </c>
    </row>
    <row r="155" spans="1:24" ht="13.5" customHeight="1" x14ac:dyDescent="0.15">
      <c r="A155" s="25" t="s">
        <v>994</v>
      </c>
      <c r="B155" s="25" t="s">
        <v>483</v>
      </c>
      <c r="C155" s="25" t="s">
        <v>484</v>
      </c>
      <c r="D155" s="25" t="s">
        <v>485</v>
      </c>
      <c r="E155" s="26" t="s">
        <v>45</v>
      </c>
      <c r="F155" s="27" t="s">
        <v>45</v>
      </c>
      <c r="G155" s="28" t="s">
        <v>45</v>
      </c>
      <c r="H155" s="29"/>
      <c r="I155" s="29" t="s">
        <v>46</v>
      </c>
      <c r="J155" s="30">
        <v>1</v>
      </c>
      <c r="K155" s="31">
        <f>23625</f>
        <v>23625</v>
      </c>
      <c r="L155" s="32" t="s">
        <v>995</v>
      </c>
      <c r="M155" s="31">
        <f>23635</f>
        <v>23635</v>
      </c>
      <c r="N155" s="32" t="s">
        <v>995</v>
      </c>
      <c r="O155" s="31">
        <f>22980</f>
        <v>22980</v>
      </c>
      <c r="P155" s="32" t="s">
        <v>875</v>
      </c>
      <c r="Q155" s="31">
        <f>23225</f>
        <v>23225</v>
      </c>
      <c r="R155" s="32" t="s">
        <v>997</v>
      </c>
      <c r="S155" s="33">
        <f>23219.47</f>
        <v>23219.47</v>
      </c>
      <c r="T155" s="30">
        <f>1668</f>
        <v>1668</v>
      </c>
      <c r="U155" s="30" t="str">
        <f>"－"</f>
        <v>－</v>
      </c>
      <c r="V155" s="30">
        <f>38685245</f>
        <v>38685245</v>
      </c>
      <c r="W155" s="30" t="str">
        <f>"－"</f>
        <v>－</v>
      </c>
      <c r="X155" s="34">
        <f>19</f>
        <v>19</v>
      </c>
    </row>
    <row r="156" spans="1:24" ht="13.5" customHeight="1" x14ac:dyDescent="0.15">
      <c r="A156" s="25" t="s">
        <v>994</v>
      </c>
      <c r="B156" s="25" t="s">
        <v>486</v>
      </c>
      <c r="C156" s="25" t="s">
        <v>487</v>
      </c>
      <c r="D156" s="25" t="s">
        <v>488</v>
      </c>
      <c r="E156" s="26" t="s">
        <v>45</v>
      </c>
      <c r="F156" s="27" t="s">
        <v>45</v>
      </c>
      <c r="G156" s="28" t="s">
        <v>45</v>
      </c>
      <c r="H156" s="29"/>
      <c r="I156" s="29" t="s">
        <v>46</v>
      </c>
      <c r="J156" s="30">
        <v>10</v>
      </c>
      <c r="K156" s="31">
        <f>2855</f>
        <v>2855</v>
      </c>
      <c r="L156" s="32" t="s">
        <v>995</v>
      </c>
      <c r="M156" s="31">
        <f>2877.5</f>
        <v>2877.5</v>
      </c>
      <c r="N156" s="32" t="s">
        <v>999</v>
      </c>
      <c r="O156" s="31">
        <f>2597.5</f>
        <v>2597.5</v>
      </c>
      <c r="P156" s="32" t="s">
        <v>997</v>
      </c>
      <c r="Q156" s="31">
        <f>2600</f>
        <v>2600</v>
      </c>
      <c r="R156" s="32" t="s">
        <v>997</v>
      </c>
      <c r="S156" s="33">
        <f>2719.05</f>
        <v>2719.05</v>
      </c>
      <c r="T156" s="30">
        <f>15580</f>
        <v>15580</v>
      </c>
      <c r="U156" s="30" t="str">
        <f>"－"</f>
        <v>－</v>
      </c>
      <c r="V156" s="30">
        <f>42308785</f>
        <v>42308785</v>
      </c>
      <c r="W156" s="30" t="str">
        <f>"－"</f>
        <v>－</v>
      </c>
      <c r="X156" s="34">
        <f>19</f>
        <v>19</v>
      </c>
    </row>
    <row r="157" spans="1:24" ht="13.5" customHeight="1" x14ac:dyDescent="0.15">
      <c r="A157" s="25" t="s">
        <v>994</v>
      </c>
      <c r="B157" s="25" t="s">
        <v>489</v>
      </c>
      <c r="C157" s="25" t="s">
        <v>490</v>
      </c>
      <c r="D157" s="25" t="s">
        <v>491</v>
      </c>
      <c r="E157" s="26" t="s">
        <v>45</v>
      </c>
      <c r="F157" s="27" t="s">
        <v>45</v>
      </c>
      <c r="G157" s="28" t="s">
        <v>45</v>
      </c>
      <c r="H157" s="29"/>
      <c r="I157" s="29" t="s">
        <v>46</v>
      </c>
      <c r="J157" s="30">
        <v>1</v>
      </c>
      <c r="K157" s="31">
        <f>12400</f>
        <v>12400</v>
      </c>
      <c r="L157" s="32" t="s">
        <v>995</v>
      </c>
      <c r="M157" s="31">
        <f>12400</f>
        <v>12400</v>
      </c>
      <c r="N157" s="32" t="s">
        <v>995</v>
      </c>
      <c r="O157" s="31">
        <f>11440</f>
        <v>11440</v>
      </c>
      <c r="P157" s="32" t="s">
        <v>876</v>
      </c>
      <c r="Q157" s="31">
        <f>11860</f>
        <v>11860</v>
      </c>
      <c r="R157" s="32" t="s">
        <v>997</v>
      </c>
      <c r="S157" s="33">
        <f>11827.89</f>
        <v>11827.89</v>
      </c>
      <c r="T157" s="30">
        <f>4064</f>
        <v>4064</v>
      </c>
      <c r="U157" s="30" t="str">
        <f>"－"</f>
        <v>－</v>
      </c>
      <c r="V157" s="30">
        <f>47788680</f>
        <v>47788680</v>
      </c>
      <c r="W157" s="30" t="str">
        <f>"－"</f>
        <v>－</v>
      </c>
      <c r="X157" s="34">
        <f>19</f>
        <v>19</v>
      </c>
    </row>
    <row r="158" spans="1:24" ht="13.5" customHeight="1" x14ac:dyDescent="0.15">
      <c r="A158" s="25" t="s">
        <v>994</v>
      </c>
      <c r="B158" s="25" t="s">
        <v>492</v>
      </c>
      <c r="C158" s="25" t="s">
        <v>493</v>
      </c>
      <c r="D158" s="25" t="s">
        <v>494</v>
      </c>
      <c r="E158" s="26" t="s">
        <v>45</v>
      </c>
      <c r="F158" s="27" t="s">
        <v>45</v>
      </c>
      <c r="G158" s="28" t="s">
        <v>45</v>
      </c>
      <c r="H158" s="29"/>
      <c r="I158" s="29" t="s">
        <v>46</v>
      </c>
      <c r="J158" s="30">
        <v>1</v>
      </c>
      <c r="K158" s="31">
        <f>19905</f>
        <v>19905</v>
      </c>
      <c r="L158" s="32" t="s">
        <v>995</v>
      </c>
      <c r="M158" s="31">
        <f>20380</f>
        <v>20380</v>
      </c>
      <c r="N158" s="32" t="s">
        <v>999</v>
      </c>
      <c r="O158" s="31">
        <f>17695</f>
        <v>17695</v>
      </c>
      <c r="P158" s="32" t="s">
        <v>255</v>
      </c>
      <c r="Q158" s="31">
        <f>17990</f>
        <v>17990</v>
      </c>
      <c r="R158" s="32" t="s">
        <v>997</v>
      </c>
      <c r="S158" s="33">
        <f>19296.84</f>
        <v>19296.84</v>
      </c>
      <c r="T158" s="30">
        <f>2866</f>
        <v>2866</v>
      </c>
      <c r="U158" s="30" t="str">
        <f>"－"</f>
        <v>－</v>
      </c>
      <c r="V158" s="30">
        <f>53937285</f>
        <v>53937285</v>
      </c>
      <c r="W158" s="30" t="str">
        <f>"－"</f>
        <v>－</v>
      </c>
      <c r="X158" s="34">
        <f>19</f>
        <v>19</v>
      </c>
    </row>
    <row r="159" spans="1:24" ht="13.5" customHeight="1" x14ac:dyDescent="0.15">
      <c r="A159" s="25" t="s">
        <v>994</v>
      </c>
      <c r="B159" s="25" t="s">
        <v>495</v>
      </c>
      <c r="C159" s="25" t="s">
        <v>496</v>
      </c>
      <c r="D159" s="25" t="s">
        <v>497</v>
      </c>
      <c r="E159" s="26" t="s">
        <v>45</v>
      </c>
      <c r="F159" s="27" t="s">
        <v>45</v>
      </c>
      <c r="G159" s="28" t="s">
        <v>45</v>
      </c>
      <c r="H159" s="29"/>
      <c r="I159" s="29" t="s">
        <v>46</v>
      </c>
      <c r="J159" s="30">
        <v>1</v>
      </c>
      <c r="K159" s="31">
        <f>17710</f>
        <v>17710</v>
      </c>
      <c r="L159" s="32" t="s">
        <v>1003</v>
      </c>
      <c r="M159" s="31">
        <f>17710</f>
        <v>17710</v>
      </c>
      <c r="N159" s="32" t="s">
        <v>1003</v>
      </c>
      <c r="O159" s="31">
        <f>17140</f>
        <v>17140</v>
      </c>
      <c r="P159" s="32" t="s">
        <v>876</v>
      </c>
      <c r="Q159" s="31">
        <f>17700</f>
        <v>17700</v>
      </c>
      <c r="R159" s="32" t="s">
        <v>1001</v>
      </c>
      <c r="S159" s="33">
        <f>17488.33</f>
        <v>17488.330000000002</v>
      </c>
      <c r="T159" s="30">
        <f>34</f>
        <v>34</v>
      </c>
      <c r="U159" s="30" t="str">
        <f>"－"</f>
        <v>－</v>
      </c>
      <c r="V159" s="30">
        <f>589745</f>
        <v>589745</v>
      </c>
      <c r="W159" s="30" t="str">
        <f>"－"</f>
        <v>－</v>
      </c>
      <c r="X159" s="34">
        <f>6</f>
        <v>6</v>
      </c>
    </row>
    <row r="160" spans="1:24" ht="13.5" customHeight="1" x14ac:dyDescent="0.15">
      <c r="A160" s="25" t="s">
        <v>994</v>
      </c>
      <c r="B160" s="25" t="s">
        <v>498</v>
      </c>
      <c r="C160" s="25" t="s">
        <v>499</v>
      </c>
      <c r="D160" s="25" t="s">
        <v>500</v>
      </c>
      <c r="E160" s="26" t="s">
        <v>45</v>
      </c>
      <c r="F160" s="27" t="s">
        <v>45</v>
      </c>
      <c r="G160" s="28" t="s">
        <v>45</v>
      </c>
      <c r="H160" s="29"/>
      <c r="I160" s="29" t="s">
        <v>46</v>
      </c>
      <c r="J160" s="30">
        <v>10</v>
      </c>
      <c r="K160" s="31">
        <f>48410</f>
        <v>48410</v>
      </c>
      <c r="L160" s="32" t="s">
        <v>995</v>
      </c>
      <c r="M160" s="31">
        <f>49500</f>
        <v>49500</v>
      </c>
      <c r="N160" s="32" t="s">
        <v>78</v>
      </c>
      <c r="O160" s="31">
        <f>48410</f>
        <v>48410</v>
      </c>
      <c r="P160" s="32" t="s">
        <v>995</v>
      </c>
      <c r="Q160" s="31">
        <f>49190</f>
        <v>49190</v>
      </c>
      <c r="R160" s="32" t="s">
        <v>997</v>
      </c>
      <c r="S160" s="33">
        <f>48905.56</f>
        <v>48905.56</v>
      </c>
      <c r="T160" s="30">
        <f>3100</f>
        <v>3100</v>
      </c>
      <c r="U160" s="30">
        <f>20</f>
        <v>20</v>
      </c>
      <c r="V160" s="30">
        <f>151422300</f>
        <v>151422300</v>
      </c>
      <c r="W160" s="30">
        <f>972600</f>
        <v>972600</v>
      </c>
      <c r="X160" s="34">
        <f>18</f>
        <v>18</v>
      </c>
    </row>
    <row r="161" spans="1:24" ht="13.5" customHeight="1" x14ac:dyDescent="0.15">
      <c r="A161" s="25" t="s">
        <v>994</v>
      </c>
      <c r="B161" s="25" t="s">
        <v>501</v>
      </c>
      <c r="C161" s="25" t="s">
        <v>502</v>
      </c>
      <c r="D161" s="25" t="s">
        <v>503</v>
      </c>
      <c r="E161" s="26" t="s">
        <v>45</v>
      </c>
      <c r="F161" s="27" t="s">
        <v>45</v>
      </c>
      <c r="G161" s="28" t="s">
        <v>45</v>
      </c>
      <c r="H161" s="29"/>
      <c r="I161" s="29" t="s">
        <v>46</v>
      </c>
      <c r="J161" s="30">
        <v>100</v>
      </c>
      <c r="K161" s="31">
        <f>253.9</f>
        <v>253.9</v>
      </c>
      <c r="L161" s="32" t="s">
        <v>995</v>
      </c>
      <c r="M161" s="31">
        <f>264</f>
        <v>264</v>
      </c>
      <c r="N161" s="32" t="s">
        <v>876</v>
      </c>
      <c r="O161" s="31">
        <f>246.6</f>
        <v>246.6</v>
      </c>
      <c r="P161" s="32" t="s">
        <v>999</v>
      </c>
      <c r="Q161" s="31">
        <f>256.4</f>
        <v>256.39999999999998</v>
      </c>
      <c r="R161" s="32" t="s">
        <v>997</v>
      </c>
      <c r="S161" s="33">
        <f>256.37</f>
        <v>256.37</v>
      </c>
      <c r="T161" s="30">
        <f>15785200</f>
        <v>15785200</v>
      </c>
      <c r="U161" s="30">
        <f>200400</f>
        <v>200400</v>
      </c>
      <c r="V161" s="30">
        <f>4038370860</f>
        <v>4038370860</v>
      </c>
      <c r="W161" s="30">
        <f>51002240</f>
        <v>51002240</v>
      </c>
      <c r="X161" s="34">
        <f>19</f>
        <v>19</v>
      </c>
    </row>
    <row r="162" spans="1:24" ht="13.5" customHeight="1" x14ac:dyDescent="0.15">
      <c r="A162" s="25" t="s">
        <v>994</v>
      </c>
      <c r="B162" s="25" t="s">
        <v>504</v>
      </c>
      <c r="C162" s="25" t="s">
        <v>505</v>
      </c>
      <c r="D162" s="25" t="s">
        <v>506</v>
      </c>
      <c r="E162" s="26" t="s">
        <v>45</v>
      </c>
      <c r="F162" s="27" t="s">
        <v>45</v>
      </c>
      <c r="G162" s="28" t="s">
        <v>45</v>
      </c>
      <c r="H162" s="29"/>
      <c r="I162" s="29" t="s">
        <v>46</v>
      </c>
      <c r="J162" s="30">
        <v>10</v>
      </c>
      <c r="K162" s="31">
        <f>37790</f>
        <v>37790</v>
      </c>
      <c r="L162" s="32" t="s">
        <v>995</v>
      </c>
      <c r="M162" s="31">
        <f>38940</f>
        <v>38940</v>
      </c>
      <c r="N162" s="32" t="s">
        <v>876</v>
      </c>
      <c r="O162" s="31">
        <f>37190</f>
        <v>37190</v>
      </c>
      <c r="P162" s="32" t="s">
        <v>999</v>
      </c>
      <c r="Q162" s="31">
        <f>38220</f>
        <v>38220</v>
      </c>
      <c r="R162" s="32" t="s">
        <v>997</v>
      </c>
      <c r="S162" s="33">
        <f>38095.79</f>
        <v>38095.79</v>
      </c>
      <c r="T162" s="30">
        <f>3780</f>
        <v>3780</v>
      </c>
      <c r="U162" s="30" t="str">
        <f t="shared" ref="U162:U170" si="4">"－"</f>
        <v>－</v>
      </c>
      <c r="V162" s="30">
        <f>144128000</f>
        <v>144128000</v>
      </c>
      <c r="W162" s="30" t="str">
        <f t="shared" ref="W162:W170" si="5">"－"</f>
        <v>－</v>
      </c>
      <c r="X162" s="34">
        <f>19</f>
        <v>19</v>
      </c>
    </row>
    <row r="163" spans="1:24" ht="13.5" customHeight="1" x14ac:dyDescent="0.15">
      <c r="A163" s="25" t="s">
        <v>994</v>
      </c>
      <c r="B163" s="25" t="s">
        <v>507</v>
      </c>
      <c r="C163" s="25" t="s">
        <v>508</v>
      </c>
      <c r="D163" s="25" t="s">
        <v>509</v>
      </c>
      <c r="E163" s="26" t="s">
        <v>45</v>
      </c>
      <c r="F163" s="27" t="s">
        <v>45</v>
      </c>
      <c r="G163" s="28" t="s">
        <v>45</v>
      </c>
      <c r="H163" s="29"/>
      <c r="I163" s="29" t="s">
        <v>46</v>
      </c>
      <c r="J163" s="30">
        <v>10</v>
      </c>
      <c r="K163" s="31">
        <f>3819</f>
        <v>3819</v>
      </c>
      <c r="L163" s="32" t="s">
        <v>995</v>
      </c>
      <c r="M163" s="31">
        <f>4003</f>
        <v>4003</v>
      </c>
      <c r="N163" s="32" t="s">
        <v>876</v>
      </c>
      <c r="O163" s="31">
        <f>3804</f>
        <v>3804</v>
      </c>
      <c r="P163" s="32" t="s">
        <v>995</v>
      </c>
      <c r="Q163" s="31">
        <f>3908</f>
        <v>3908</v>
      </c>
      <c r="R163" s="32" t="s">
        <v>997</v>
      </c>
      <c r="S163" s="33">
        <f>3897.79</f>
        <v>3897.79</v>
      </c>
      <c r="T163" s="30">
        <f>46400</f>
        <v>46400</v>
      </c>
      <c r="U163" s="30" t="str">
        <f t="shared" si="4"/>
        <v>－</v>
      </c>
      <c r="V163" s="30">
        <f>181383300</f>
        <v>181383300</v>
      </c>
      <c r="W163" s="30" t="str">
        <f t="shared" si="5"/>
        <v>－</v>
      </c>
      <c r="X163" s="34">
        <f>19</f>
        <v>19</v>
      </c>
    </row>
    <row r="164" spans="1:24" ht="13.5" customHeight="1" x14ac:dyDescent="0.15">
      <c r="A164" s="25" t="s">
        <v>994</v>
      </c>
      <c r="B164" s="25" t="s">
        <v>510</v>
      </c>
      <c r="C164" s="25" t="s">
        <v>511</v>
      </c>
      <c r="D164" s="25" t="s">
        <v>512</v>
      </c>
      <c r="E164" s="26" t="s">
        <v>45</v>
      </c>
      <c r="F164" s="27" t="s">
        <v>45</v>
      </c>
      <c r="G164" s="28" t="s">
        <v>45</v>
      </c>
      <c r="H164" s="29"/>
      <c r="I164" s="29" t="s">
        <v>46</v>
      </c>
      <c r="J164" s="30">
        <v>10</v>
      </c>
      <c r="K164" s="31">
        <f>1688</f>
        <v>1688</v>
      </c>
      <c r="L164" s="32" t="s">
        <v>995</v>
      </c>
      <c r="M164" s="31">
        <f>1702</f>
        <v>1702</v>
      </c>
      <c r="N164" s="32" t="s">
        <v>999</v>
      </c>
      <c r="O164" s="31">
        <f>1632</f>
        <v>1632</v>
      </c>
      <c r="P164" s="32" t="s">
        <v>997</v>
      </c>
      <c r="Q164" s="31">
        <f>1632.5</f>
        <v>1632.5</v>
      </c>
      <c r="R164" s="32" t="s">
        <v>997</v>
      </c>
      <c r="S164" s="33">
        <f>1669.16</f>
        <v>1669.16</v>
      </c>
      <c r="T164" s="30">
        <f>156570</f>
        <v>156570</v>
      </c>
      <c r="U164" s="30" t="str">
        <f t="shared" si="4"/>
        <v>－</v>
      </c>
      <c r="V164" s="30">
        <f>260947845</f>
        <v>260947845</v>
      </c>
      <c r="W164" s="30" t="str">
        <f t="shared" si="5"/>
        <v>－</v>
      </c>
      <c r="X164" s="34">
        <f>19</f>
        <v>19</v>
      </c>
    </row>
    <row r="165" spans="1:24" ht="13.5" customHeight="1" x14ac:dyDescent="0.15">
      <c r="A165" s="25" t="s">
        <v>994</v>
      </c>
      <c r="B165" s="25" t="s">
        <v>513</v>
      </c>
      <c r="C165" s="25" t="s">
        <v>514</v>
      </c>
      <c r="D165" s="25" t="s">
        <v>515</v>
      </c>
      <c r="E165" s="26" t="s">
        <v>45</v>
      </c>
      <c r="F165" s="27" t="s">
        <v>45</v>
      </c>
      <c r="G165" s="28" t="s">
        <v>45</v>
      </c>
      <c r="H165" s="29"/>
      <c r="I165" s="29" t="s">
        <v>46</v>
      </c>
      <c r="J165" s="30">
        <v>100</v>
      </c>
      <c r="K165" s="31">
        <f>227.9</f>
        <v>227.9</v>
      </c>
      <c r="L165" s="32" t="s">
        <v>995</v>
      </c>
      <c r="M165" s="31">
        <f>228.3</f>
        <v>228.3</v>
      </c>
      <c r="N165" s="32" t="s">
        <v>995</v>
      </c>
      <c r="O165" s="31">
        <f>213</f>
        <v>213</v>
      </c>
      <c r="P165" s="32" t="s">
        <v>1002</v>
      </c>
      <c r="Q165" s="31">
        <f>221.1</f>
        <v>221.1</v>
      </c>
      <c r="R165" s="32" t="s">
        <v>997</v>
      </c>
      <c r="S165" s="33">
        <f>220.14</f>
        <v>220.14</v>
      </c>
      <c r="T165" s="30">
        <f>130200</f>
        <v>130200</v>
      </c>
      <c r="U165" s="30" t="str">
        <f t="shared" si="4"/>
        <v>－</v>
      </c>
      <c r="V165" s="30">
        <f>28547000</f>
        <v>28547000</v>
      </c>
      <c r="W165" s="30" t="str">
        <f t="shared" si="5"/>
        <v>－</v>
      </c>
      <c r="X165" s="34">
        <f>19</f>
        <v>19</v>
      </c>
    </row>
    <row r="166" spans="1:24" ht="13.5" customHeight="1" x14ac:dyDescent="0.15">
      <c r="A166" s="25" t="s">
        <v>994</v>
      </c>
      <c r="B166" s="25" t="s">
        <v>516</v>
      </c>
      <c r="C166" s="25" t="s">
        <v>517</v>
      </c>
      <c r="D166" s="25" t="s">
        <v>518</v>
      </c>
      <c r="E166" s="26" t="s">
        <v>45</v>
      </c>
      <c r="F166" s="27" t="s">
        <v>45</v>
      </c>
      <c r="G166" s="28" t="s">
        <v>45</v>
      </c>
      <c r="H166" s="29"/>
      <c r="I166" s="29" t="s">
        <v>46</v>
      </c>
      <c r="J166" s="30">
        <v>10</v>
      </c>
      <c r="K166" s="31">
        <f>1515</f>
        <v>1515</v>
      </c>
      <c r="L166" s="32" t="s">
        <v>995</v>
      </c>
      <c r="M166" s="31">
        <f>1543</f>
        <v>1543</v>
      </c>
      <c r="N166" s="32" t="s">
        <v>255</v>
      </c>
      <c r="O166" s="31">
        <f>1424.5</f>
        <v>1424.5</v>
      </c>
      <c r="P166" s="32" t="s">
        <v>78</v>
      </c>
      <c r="Q166" s="31">
        <f>1522</f>
        <v>1522</v>
      </c>
      <c r="R166" s="32" t="s">
        <v>255</v>
      </c>
      <c r="S166" s="33">
        <f>1480.68</f>
        <v>1480.68</v>
      </c>
      <c r="T166" s="30">
        <f>1140</f>
        <v>1140</v>
      </c>
      <c r="U166" s="30" t="str">
        <f t="shared" si="4"/>
        <v>－</v>
      </c>
      <c r="V166" s="30">
        <f>1691710</f>
        <v>1691710</v>
      </c>
      <c r="W166" s="30" t="str">
        <f t="shared" si="5"/>
        <v>－</v>
      </c>
      <c r="X166" s="34">
        <f>11</f>
        <v>11</v>
      </c>
    </row>
    <row r="167" spans="1:24" ht="13.5" customHeight="1" x14ac:dyDescent="0.15">
      <c r="A167" s="25" t="s">
        <v>994</v>
      </c>
      <c r="B167" s="25" t="s">
        <v>519</v>
      </c>
      <c r="C167" s="25" t="s">
        <v>520</v>
      </c>
      <c r="D167" s="25" t="s">
        <v>521</v>
      </c>
      <c r="E167" s="26" t="s">
        <v>45</v>
      </c>
      <c r="F167" s="27" t="s">
        <v>45</v>
      </c>
      <c r="G167" s="28" t="s">
        <v>45</v>
      </c>
      <c r="H167" s="29"/>
      <c r="I167" s="29" t="s">
        <v>46</v>
      </c>
      <c r="J167" s="30">
        <v>10</v>
      </c>
      <c r="K167" s="31">
        <f>538.8</f>
        <v>538.79999999999995</v>
      </c>
      <c r="L167" s="32" t="s">
        <v>995</v>
      </c>
      <c r="M167" s="31">
        <f>539.8</f>
        <v>539.79999999999995</v>
      </c>
      <c r="N167" s="32" t="s">
        <v>995</v>
      </c>
      <c r="O167" s="31">
        <f>491.4</f>
        <v>491.4</v>
      </c>
      <c r="P167" s="32" t="s">
        <v>78</v>
      </c>
      <c r="Q167" s="31">
        <f>532</f>
        <v>532</v>
      </c>
      <c r="R167" s="32" t="s">
        <v>997</v>
      </c>
      <c r="S167" s="33">
        <f>515.58</f>
        <v>515.58000000000004</v>
      </c>
      <c r="T167" s="30">
        <f>33080</f>
        <v>33080</v>
      </c>
      <c r="U167" s="30" t="str">
        <f t="shared" si="4"/>
        <v>－</v>
      </c>
      <c r="V167" s="30">
        <f>16905691</f>
        <v>16905691</v>
      </c>
      <c r="W167" s="30" t="str">
        <f t="shared" si="5"/>
        <v>－</v>
      </c>
      <c r="X167" s="34">
        <f>19</f>
        <v>19</v>
      </c>
    </row>
    <row r="168" spans="1:24" ht="13.5" customHeight="1" x14ac:dyDescent="0.15">
      <c r="A168" s="25" t="s">
        <v>994</v>
      </c>
      <c r="B168" s="25" t="s">
        <v>522</v>
      </c>
      <c r="C168" s="25" t="s">
        <v>523</v>
      </c>
      <c r="D168" s="25" t="s">
        <v>524</v>
      </c>
      <c r="E168" s="26" t="s">
        <v>45</v>
      </c>
      <c r="F168" s="27" t="s">
        <v>45</v>
      </c>
      <c r="G168" s="28" t="s">
        <v>45</v>
      </c>
      <c r="H168" s="29"/>
      <c r="I168" s="29" t="s">
        <v>46</v>
      </c>
      <c r="J168" s="30">
        <v>10</v>
      </c>
      <c r="K168" s="31">
        <f>2240</f>
        <v>2240</v>
      </c>
      <c r="L168" s="32" t="s">
        <v>999</v>
      </c>
      <c r="M168" s="31">
        <f>2272.5</f>
        <v>2272.5</v>
      </c>
      <c r="N168" s="32" t="s">
        <v>78</v>
      </c>
      <c r="O168" s="31">
        <f>2101</f>
        <v>2101</v>
      </c>
      <c r="P168" s="32" t="s">
        <v>56</v>
      </c>
      <c r="Q168" s="31">
        <f>2158</f>
        <v>2158</v>
      </c>
      <c r="R168" s="32" t="s">
        <v>997</v>
      </c>
      <c r="S168" s="33">
        <f>2181.43</f>
        <v>2181.4299999999998</v>
      </c>
      <c r="T168" s="30">
        <f>1940</f>
        <v>1940</v>
      </c>
      <c r="U168" s="30" t="str">
        <f t="shared" si="4"/>
        <v>－</v>
      </c>
      <c r="V168" s="30">
        <f>4223775</f>
        <v>4223775</v>
      </c>
      <c r="W168" s="30" t="str">
        <f t="shared" si="5"/>
        <v>－</v>
      </c>
      <c r="X168" s="34">
        <f>14</f>
        <v>14</v>
      </c>
    </row>
    <row r="169" spans="1:24" ht="13.5" customHeight="1" x14ac:dyDescent="0.15">
      <c r="A169" s="25" t="s">
        <v>994</v>
      </c>
      <c r="B169" s="25" t="s">
        <v>525</v>
      </c>
      <c r="C169" s="25" t="s">
        <v>526</v>
      </c>
      <c r="D169" s="25" t="s">
        <v>527</v>
      </c>
      <c r="E169" s="26" t="s">
        <v>45</v>
      </c>
      <c r="F169" s="27" t="s">
        <v>45</v>
      </c>
      <c r="G169" s="28" t="s">
        <v>45</v>
      </c>
      <c r="H169" s="29"/>
      <c r="I169" s="29" t="s">
        <v>46</v>
      </c>
      <c r="J169" s="30">
        <v>10</v>
      </c>
      <c r="K169" s="31">
        <f>888.2</f>
        <v>888.2</v>
      </c>
      <c r="L169" s="32" t="s">
        <v>995</v>
      </c>
      <c r="M169" s="31">
        <f>938.8</f>
        <v>938.8</v>
      </c>
      <c r="N169" s="32" t="s">
        <v>1001</v>
      </c>
      <c r="O169" s="31">
        <f>875.2</f>
        <v>875.2</v>
      </c>
      <c r="P169" s="32" t="s">
        <v>999</v>
      </c>
      <c r="Q169" s="31">
        <f>915</f>
        <v>915</v>
      </c>
      <c r="R169" s="32" t="s">
        <v>997</v>
      </c>
      <c r="S169" s="33">
        <f>907.39</f>
        <v>907.39</v>
      </c>
      <c r="T169" s="30">
        <f>55620</f>
        <v>55620</v>
      </c>
      <c r="U169" s="30" t="str">
        <f t="shared" si="4"/>
        <v>－</v>
      </c>
      <c r="V169" s="30">
        <f>50602673</f>
        <v>50602673</v>
      </c>
      <c r="W169" s="30" t="str">
        <f t="shared" si="5"/>
        <v>－</v>
      </c>
      <c r="X169" s="34">
        <f>19</f>
        <v>19</v>
      </c>
    </row>
    <row r="170" spans="1:24" ht="13.5" customHeight="1" x14ac:dyDescent="0.15">
      <c r="A170" s="25" t="s">
        <v>994</v>
      </c>
      <c r="B170" s="25" t="s">
        <v>528</v>
      </c>
      <c r="C170" s="25" t="s">
        <v>529</v>
      </c>
      <c r="D170" s="25" t="s">
        <v>530</v>
      </c>
      <c r="E170" s="26" t="s">
        <v>45</v>
      </c>
      <c r="F170" s="27" t="s">
        <v>45</v>
      </c>
      <c r="G170" s="28" t="s">
        <v>45</v>
      </c>
      <c r="H170" s="29"/>
      <c r="I170" s="29" t="s">
        <v>46</v>
      </c>
      <c r="J170" s="30">
        <v>10</v>
      </c>
      <c r="K170" s="31">
        <f>653.7</f>
        <v>653.70000000000005</v>
      </c>
      <c r="L170" s="32" t="s">
        <v>995</v>
      </c>
      <c r="M170" s="31">
        <f>671.8</f>
        <v>671.8</v>
      </c>
      <c r="N170" s="32" t="s">
        <v>1001</v>
      </c>
      <c r="O170" s="31">
        <f>627.4</f>
        <v>627.4</v>
      </c>
      <c r="P170" s="32" t="s">
        <v>996</v>
      </c>
      <c r="Q170" s="31">
        <f>640.2</f>
        <v>640.20000000000005</v>
      </c>
      <c r="R170" s="32" t="s">
        <v>997</v>
      </c>
      <c r="S170" s="33">
        <f>651.25</f>
        <v>651.25</v>
      </c>
      <c r="T170" s="30">
        <f>126720</f>
        <v>126720</v>
      </c>
      <c r="U170" s="30" t="str">
        <f t="shared" si="4"/>
        <v>－</v>
      </c>
      <c r="V170" s="30">
        <f>82131693</f>
        <v>82131693</v>
      </c>
      <c r="W170" s="30" t="str">
        <f t="shared" si="5"/>
        <v>－</v>
      </c>
      <c r="X170" s="34">
        <f>19</f>
        <v>19</v>
      </c>
    </row>
    <row r="171" spans="1:24" ht="13.5" customHeight="1" x14ac:dyDescent="0.15">
      <c r="A171" s="25" t="s">
        <v>994</v>
      </c>
      <c r="B171" s="25" t="s">
        <v>531</v>
      </c>
      <c r="C171" s="25" t="s">
        <v>532</v>
      </c>
      <c r="D171" s="25" t="s">
        <v>533</v>
      </c>
      <c r="E171" s="26" t="s">
        <v>45</v>
      </c>
      <c r="F171" s="27" t="s">
        <v>45</v>
      </c>
      <c r="G171" s="28" t="s">
        <v>45</v>
      </c>
      <c r="H171" s="29"/>
      <c r="I171" s="29" t="s">
        <v>46</v>
      </c>
      <c r="J171" s="30">
        <v>100</v>
      </c>
      <c r="K171" s="31">
        <f>1.6</f>
        <v>1.6</v>
      </c>
      <c r="L171" s="32" t="s">
        <v>995</v>
      </c>
      <c r="M171" s="31">
        <f>1.7</f>
        <v>1.7</v>
      </c>
      <c r="N171" s="32" t="s">
        <v>995</v>
      </c>
      <c r="O171" s="31">
        <f>1.2</f>
        <v>1.2</v>
      </c>
      <c r="P171" s="32" t="s">
        <v>1001</v>
      </c>
      <c r="Q171" s="31">
        <f>1.6</f>
        <v>1.6</v>
      </c>
      <c r="R171" s="32" t="s">
        <v>997</v>
      </c>
      <c r="S171" s="33">
        <f>1.47</f>
        <v>1.47</v>
      </c>
      <c r="T171" s="30">
        <f>1621186000</f>
        <v>1621186000</v>
      </c>
      <c r="U171" s="30">
        <f>96100</f>
        <v>96100</v>
      </c>
      <c r="V171" s="30">
        <f>2368614720</f>
        <v>2368614720</v>
      </c>
      <c r="W171" s="30">
        <f>144150</f>
        <v>144150</v>
      </c>
      <c r="X171" s="34">
        <f>19</f>
        <v>19</v>
      </c>
    </row>
    <row r="172" spans="1:24" ht="13.5" customHeight="1" x14ac:dyDescent="0.15">
      <c r="A172" s="25" t="s">
        <v>994</v>
      </c>
      <c r="B172" s="25" t="s">
        <v>534</v>
      </c>
      <c r="C172" s="25" t="s">
        <v>535</v>
      </c>
      <c r="D172" s="25" t="s">
        <v>536</v>
      </c>
      <c r="E172" s="26" t="s">
        <v>45</v>
      </c>
      <c r="F172" s="27" t="s">
        <v>45</v>
      </c>
      <c r="G172" s="28" t="s">
        <v>45</v>
      </c>
      <c r="H172" s="29"/>
      <c r="I172" s="29" t="s">
        <v>46</v>
      </c>
      <c r="J172" s="30">
        <v>10</v>
      </c>
      <c r="K172" s="31">
        <f>1167.5</f>
        <v>1167.5</v>
      </c>
      <c r="L172" s="32" t="s">
        <v>995</v>
      </c>
      <c r="M172" s="31">
        <f>1226.5</f>
        <v>1226.5</v>
      </c>
      <c r="N172" s="32" t="s">
        <v>876</v>
      </c>
      <c r="O172" s="31">
        <f>1121</f>
        <v>1121</v>
      </c>
      <c r="P172" s="32" t="s">
        <v>78</v>
      </c>
      <c r="Q172" s="31">
        <f>1194</f>
        <v>1194</v>
      </c>
      <c r="R172" s="32" t="s">
        <v>997</v>
      </c>
      <c r="S172" s="33">
        <f>1183.5</f>
        <v>1183.5</v>
      </c>
      <c r="T172" s="30">
        <f>55750</f>
        <v>55750</v>
      </c>
      <c r="U172" s="30" t="str">
        <f>"－"</f>
        <v>－</v>
      </c>
      <c r="V172" s="30">
        <f>65662465</f>
        <v>65662465</v>
      </c>
      <c r="W172" s="30" t="str">
        <f>"－"</f>
        <v>－</v>
      </c>
      <c r="X172" s="34">
        <f>19</f>
        <v>19</v>
      </c>
    </row>
    <row r="173" spans="1:24" ht="13.5" customHeight="1" x14ac:dyDescent="0.15">
      <c r="A173" s="25" t="s">
        <v>994</v>
      </c>
      <c r="B173" s="25" t="s">
        <v>537</v>
      </c>
      <c r="C173" s="25" t="s">
        <v>538</v>
      </c>
      <c r="D173" s="25" t="s">
        <v>539</v>
      </c>
      <c r="E173" s="26" t="s">
        <v>45</v>
      </c>
      <c r="F173" s="27" t="s">
        <v>45</v>
      </c>
      <c r="G173" s="28" t="s">
        <v>45</v>
      </c>
      <c r="H173" s="29"/>
      <c r="I173" s="29" t="s">
        <v>46</v>
      </c>
      <c r="J173" s="30">
        <v>1</v>
      </c>
      <c r="K173" s="31">
        <f>6309</f>
        <v>6309</v>
      </c>
      <c r="L173" s="32" t="s">
        <v>995</v>
      </c>
      <c r="M173" s="31">
        <f>6309</f>
        <v>6309</v>
      </c>
      <c r="N173" s="32" t="s">
        <v>995</v>
      </c>
      <c r="O173" s="31">
        <f>5839</f>
        <v>5839</v>
      </c>
      <c r="P173" s="32" t="s">
        <v>78</v>
      </c>
      <c r="Q173" s="31">
        <f>6200</f>
        <v>6200</v>
      </c>
      <c r="R173" s="32" t="s">
        <v>255</v>
      </c>
      <c r="S173" s="33">
        <f>6091.92</f>
        <v>6091.92</v>
      </c>
      <c r="T173" s="30">
        <f>437</f>
        <v>437</v>
      </c>
      <c r="U173" s="30" t="str">
        <f>"－"</f>
        <v>－</v>
      </c>
      <c r="V173" s="30">
        <f>2661310</f>
        <v>2661310</v>
      </c>
      <c r="W173" s="30" t="str">
        <f>"－"</f>
        <v>－</v>
      </c>
      <c r="X173" s="34">
        <f>13</f>
        <v>13</v>
      </c>
    </row>
    <row r="174" spans="1:24" ht="13.5" customHeight="1" x14ac:dyDescent="0.15">
      <c r="A174" s="25" t="s">
        <v>994</v>
      </c>
      <c r="B174" s="25" t="s">
        <v>540</v>
      </c>
      <c r="C174" s="25" t="s">
        <v>541</v>
      </c>
      <c r="D174" s="25" t="s">
        <v>542</v>
      </c>
      <c r="E174" s="26" t="s">
        <v>45</v>
      </c>
      <c r="F174" s="27" t="s">
        <v>45</v>
      </c>
      <c r="G174" s="28" t="s">
        <v>45</v>
      </c>
      <c r="H174" s="29"/>
      <c r="I174" s="29" t="s">
        <v>46</v>
      </c>
      <c r="J174" s="30">
        <v>100</v>
      </c>
      <c r="K174" s="31">
        <f>452.1</f>
        <v>452.1</v>
      </c>
      <c r="L174" s="32" t="s">
        <v>995</v>
      </c>
      <c r="M174" s="31">
        <f>468</f>
        <v>468</v>
      </c>
      <c r="N174" s="32" t="s">
        <v>995</v>
      </c>
      <c r="O174" s="31">
        <f>430</f>
        <v>430</v>
      </c>
      <c r="P174" s="32" t="s">
        <v>1005</v>
      </c>
      <c r="Q174" s="31">
        <f>437.5</f>
        <v>437.5</v>
      </c>
      <c r="R174" s="32" t="s">
        <v>997</v>
      </c>
      <c r="S174" s="33">
        <f>447.54</f>
        <v>447.54</v>
      </c>
      <c r="T174" s="30">
        <f>47500</f>
        <v>47500</v>
      </c>
      <c r="U174" s="30">
        <f>200</f>
        <v>200</v>
      </c>
      <c r="V174" s="30">
        <f>21391660</f>
        <v>21391660</v>
      </c>
      <c r="W174" s="30">
        <f>88000</f>
        <v>88000</v>
      </c>
      <c r="X174" s="34">
        <f>19</f>
        <v>19</v>
      </c>
    </row>
    <row r="175" spans="1:24" ht="13.5" customHeight="1" x14ac:dyDescent="0.15">
      <c r="A175" s="25" t="s">
        <v>994</v>
      </c>
      <c r="B175" s="25" t="s">
        <v>543</v>
      </c>
      <c r="C175" s="25" t="s">
        <v>544</v>
      </c>
      <c r="D175" s="25" t="s">
        <v>545</v>
      </c>
      <c r="E175" s="26" t="s">
        <v>45</v>
      </c>
      <c r="F175" s="27" t="s">
        <v>45</v>
      </c>
      <c r="G175" s="28" t="s">
        <v>45</v>
      </c>
      <c r="H175" s="29"/>
      <c r="I175" s="29" t="s">
        <v>46</v>
      </c>
      <c r="J175" s="30">
        <v>10</v>
      </c>
      <c r="K175" s="31">
        <f>4814</f>
        <v>4814</v>
      </c>
      <c r="L175" s="32" t="s">
        <v>995</v>
      </c>
      <c r="M175" s="31">
        <f>5000</f>
        <v>5000</v>
      </c>
      <c r="N175" s="32" t="s">
        <v>1001</v>
      </c>
      <c r="O175" s="31">
        <f>4650</f>
        <v>4650</v>
      </c>
      <c r="P175" s="32" t="s">
        <v>996</v>
      </c>
      <c r="Q175" s="31">
        <f>4826</f>
        <v>4826</v>
      </c>
      <c r="R175" s="32" t="s">
        <v>997</v>
      </c>
      <c r="S175" s="33">
        <f>4787.37</f>
        <v>4787.37</v>
      </c>
      <c r="T175" s="30">
        <f>27860</f>
        <v>27860</v>
      </c>
      <c r="U175" s="30" t="str">
        <f>"－"</f>
        <v>－</v>
      </c>
      <c r="V175" s="30">
        <f>134103900</f>
        <v>134103900</v>
      </c>
      <c r="W175" s="30" t="str">
        <f>"－"</f>
        <v>－</v>
      </c>
      <c r="X175" s="34">
        <f>19</f>
        <v>19</v>
      </c>
    </row>
    <row r="176" spans="1:24" ht="13.5" customHeight="1" x14ac:dyDescent="0.15">
      <c r="A176" s="25" t="s">
        <v>994</v>
      </c>
      <c r="B176" s="25" t="s">
        <v>546</v>
      </c>
      <c r="C176" s="25" t="s">
        <v>547</v>
      </c>
      <c r="D176" s="25" t="s">
        <v>548</v>
      </c>
      <c r="E176" s="26" t="s">
        <v>45</v>
      </c>
      <c r="F176" s="27" t="s">
        <v>45</v>
      </c>
      <c r="G176" s="28" t="s">
        <v>45</v>
      </c>
      <c r="H176" s="29"/>
      <c r="I176" s="29" t="s">
        <v>46</v>
      </c>
      <c r="J176" s="30">
        <v>10</v>
      </c>
      <c r="K176" s="31">
        <f>3488</f>
        <v>3488</v>
      </c>
      <c r="L176" s="32" t="s">
        <v>995</v>
      </c>
      <c r="M176" s="31">
        <f>3613</f>
        <v>3613</v>
      </c>
      <c r="N176" s="32" t="s">
        <v>995</v>
      </c>
      <c r="O176" s="31">
        <f>3103</f>
        <v>3103</v>
      </c>
      <c r="P176" s="32" t="s">
        <v>255</v>
      </c>
      <c r="Q176" s="31">
        <f>3212</f>
        <v>3212</v>
      </c>
      <c r="R176" s="32" t="s">
        <v>997</v>
      </c>
      <c r="S176" s="33">
        <f>3354.84</f>
        <v>3354.84</v>
      </c>
      <c r="T176" s="30">
        <f>12480</f>
        <v>12480</v>
      </c>
      <c r="U176" s="30" t="str">
        <f>"－"</f>
        <v>－</v>
      </c>
      <c r="V176" s="30">
        <f>41775530</f>
        <v>41775530</v>
      </c>
      <c r="W176" s="30" t="str">
        <f>"－"</f>
        <v>－</v>
      </c>
      <c r="X176" s="34">
        <f>19</f>
        <v>19</v>
      </c>
    </row>
    <row r="177" spans="1:24" ht="13.5" customHeight="1" x14ac:dyDescent="0.15">
      <c r="A177" s="25" t="s">
        <v>994</v>
      </c>
      <c r="B177" s="25" t="s">
        <v>549</v>
      </c>
      <c r="C177" s="25" t="s">
        <v>550</v>
      </c>
      <c r="D177" s="25" t="s">
        <v>551</v>
      </c>
      <c r="E177" s="26" t="s">
        <v>45</v>
      </c>
      <c r="F177" s="27" t="s">
        <v>45</v>
      </c>
      <c r="G177" s="28" t="s">
        <v>45</v>
      </c>
      <c r="H177" s="29"/>
      <c r="I177" s="29" t="s">
        <v>46</v>
      </c>
      <c r="J177" s="30">
        <v>100</v>
      </c>
      <c r="K177" s="31">
        <f>97.1</f>
        <v>97.1</v>
      </c>
      <c r="L177" s="32" t="s">
        <v>995</v>
      </c>
      <c r="M177" s="31">
        <f>103.8</f>
        <v>103.8</v>
      </c>
      <c r="N177" s="32" t="s">
        <v>1005</v>
      </c>
      <c r="O177" s="31">
        <f>93.8</f>
        <v>93.8</v>
      </c>
      <c r="P177" s="32" t="s">
        <v>997</v>
      </c>
      <c r="Q177" s="31">
        <f>94.1</f>
        <v>94.1</v>
      </c>
      <c r="R177" s="32" t="s">
        <v>997</v>
      </c>
      <c r="S177" s="33">
        <f>99.39</f>
        <v>99.39</v>
      </c>
      <c r="T177" s="30">
        <f>6101700</f>
        <v>6101700</v>
      </c>
      <c r="U177" s="30" t="str">
        <f>"－"</f>
        <v>－</v>
      </c>
      <c r="V177" s="30">
        <f>604860350</f>
        <v>604860350</v>
      </c>
      <c r="W177" s="30" t="str">
        <f>"－"</f>
        <v>－</v>
      </c>
      <c r="X177" s="34">
        <f>19</f>
        <v>19</v>
      </c>
    </row>
    <row r="178" spans="1:24" ht="13.5" customHeight="1" x14ac:dyDescent="0.15">
      <c r="A178" s="25" t="s">
        <v>994</v>
      </c>
      <c r="B178" s="25" t="s">
        <v>552</v>
      </c>
      <c r="C178" s="25" t="s">
        <v>553</v>
      </c>
      <c r="D178" s="25" t="s">
        <v>554</v>
      </c>
      <c r="E178" s="26" t="s">
        <v>45</v>
      </c>
      <c r="F178" s="27" t="s">
        <v>45</v>
      </c>
      <c r="G178" s="28" t="s">
        <v>45</v>
      </c>
      <c r="H178" s="29"/>
      <c r="I178" s="29" t="s">
        <v>46</v>
      </c>
      <c r="J178" s="30">
        <v>100</v>
      </c>
      <c r="K178" s="31">
        <f>176.5</f>
        <v>176.5</v>
      </c>
      <c r="L178" s="32" t="s">
        <v>995</v>
      </c>
      <c r="M178" s="31">
        <f>183.6</f>
        <v>183.6</v>
      </c>
      <c r="N178" s="32" t="s">
        <v>1001</v>
      </c>
      <c r="O178" s="31">
        <f>171.7</f>
        <v>171.7</v>
      </c>
      <c r="P178" s="32" t="s">
        <v>996</v>
      </c>
      <c r="Q178" s="31">
        <f>175</f>
        <v>175</v>
      </c>
      <c r="R178" s="32" t="s">
        <v>997</v>
      </c>
      <c r="S178" s="33">
        <f>178.04</f>
        <v>178.04</v>
      </c>
      <c r="T178" s="30">
        <f>361800</f>
        <v>361800</v>
      </c>
      <c r="U178" s="30" t="str">
        <f>"－"</f>
        <v>－</v>
      </c>
      <c r="V178" s="30">
        <f>64392280</f>
        <v>64392280</v>
      </c>
      <c r="W178" s="30" t="str">
        <f>"－"</f>
        <v>－</v>
      </c>
      <c r="X178" s="34">
        <f>19</f>
        <v>19</v>
      </c>
    </row>
    <row r="179" spans="1:24" ht="13.5" customHeight="1" x14ac:dyDescent="0.15">
      <c r="A179" s="25" t="s">
        <v>994</v>
      </c>
      <c r="B179" s="25" t="s">
        <v>555</v>
      </c>
      <c r="C179" s="25" t="s">
        <v>556</v>
      </c>
      <c r="D179" s="25" t="s">
        <v>557</v>
      </c>
      <c r="E179" s="26" t="s">
        <v>45</v>
      </c>
      <c r="F179" s="27" t="s">
        <v>45</v>
      </c>
      <c r="G179" s="28" t="s">
        <v>45</v>
      </c>
      <c r="H179" s="29"/>
      <c r="I179" s="29" t="s">
        <v>46</v>
      </c>
      <c r="J179" s="30">
        <v>10</v>
      </c>
      <c r="K179" s="31">
        <f>4077</f>
        <v>4077</v>
      </c>
      <c r="L179" s="32" t="s">
        <v>995</v>
      </c>
      <c r="M179" s="31">
        <f>4294</f>
        <v>4294</v>
      </c>
      <c r="N179" s="32" t="s">
        <v>1001</v>
      </c>
      <c r="O179" s="31">
        <f>3964</f>
        <v>3964</v>
      </c>
      <c r="P179" s="32" t="s">
        <v>996</v>
      </c>
      <c r="Q179" s="31">
        <f>4179</f>
        <v>4179</v>
      </c>
      <c r="R179" s="32" t="s">
        <v>997</v>
      </c>
      <c r="S179" s="33">
        <f>4129.33</f>
        <v>4129.33</v>
      </c>
      <c r="T179" s="30">
        <f>9440</f>
        <v>9440</v>
      </c>
      <c r="U179" s="30">
        <f>10</f>
        <v>10</v>
      </c>
      <c r="V179" s="30">
        <f>39073390</f>
        <v>39073390</v>
      </c>
      <c r="W179" s="30">
        <f>40740</f>
        <v>40740</v>
      </c>
      <c r="X179" s="34">
        <f>18</f>
        <v>18</v>
      </c>
    </row>
    <row r="180" spans="1:24" ht="13.5" customHeight="1" x14ac:dyDescent="0.15">
      <c r="A180" s="25" t="s">
        <v>994</v>
      </c>
      <c r="B180" s="25" t="s">
        <v>558</v>
      </c>
      <c r="C180" s="25" t="s">
        <v>559</v>
      </c>
      <c r="D180" s="25" t="s">
        <v>560</v>
      </c>
      <c r="E180" s="26" t="s">
        <v>45</v>
      </c>
      <c r="F180" s="27" t="s">
        <v>45</v>
      </c>
      <c r="G180" s="28" t="s">
        <v>45</v>
      </c>
      <c r="H180" s="29"/>
      <c r="I180" s="29" t="s">
        <v>46</v>
      </c>
      <c r="J180" s="30">
        <v>10</v>
      </c>
      <c r="K180" s="31">
        <f>2103</f>
        <v>2103</v>
      </c>
      <c r="L180" s="32" t="s">
        <v>995</v>
      </c>
      <c r="M180" s="31">
        <f>2187</f>
        <v>2187</v>
      </c>
      <c r="N180" s="32" t="s">
        <v>997</v>
      </c>
      <c r="O180" s="31">
        <f>2056</f>
        <v>2056</v>
      </c>
      <c r="P180" s="32" t="s">
        <v>996</v>
      </c>
      <c r="Q180" s="31">
        <f>2167</f>
        <v>2167</v>
      </c>
      <c r="R180" s="32" t="s">
        <v>997</v>
      </c>
      <c r="S180" s="33">
        <f>2128.92</f>
        <v>2128.92</v>
      </c>
      <c r="T180" s="30">
        <f>122030</f>
        <v>122030</v>
      </c>
      <c r="U180" s="30">
        <f>50</f>
        <v>50</v>
      </c>
      <c r="V180" s="30">
        <f>260748815</f>
        <v>260748815</v>
      </c>
      <c r="W180" s="30">
        <f>106010</f>
        <v>106010</v>
      </c>
      <c r="X180" s="34">
        <f>19</f>
        <v>19</v>
      </c>
    </row>
    <row r="181" spans="1:24" ht="13.5" customHeight="1" x14ac:dyDescent="0.15">
      <c r="A181" s="25" t="s">
        <v>994</v>
      </c>
      <c r="B181" s="25" t="s">
        <v>561</v>
      </c>
      <c r="C181" s="25" t="s">
        <v>562</v>
      </c>
      <c r="D181" s="25" t="s">
        <v>563</v>
      </c>
      <c r="E181" s="26" t="s">
        <v>45</v>
      </c>
      <c r="F181" s="27" t="s">
        <v>45</v>
      </c>
      <c r="G181" s="28" t="s">
        <v>45</v>
      </c>
      <c r="H181" s="29"/>
      <c r="I181" s="29" t="s">
        <v>46</v>
      </c>
      <c r="J181" s="30">
        <v>10</v>
      </c>
      <c r="K181" s="31">
        <f>326.6</f>
        <v>326.60000000000002</v>
      </c>
      <c r="L181" s="32" t="s">
        <v>995</v>
      </c>
      <c r="M181" s="31">
        <f>336.6</f>
        <v>336.6</v>
      </c>
      <c r="N181" s="32" t="s">
        <v>876</v>
      </c>
      <c r="O181" s="31">
        <f>307.6</f>
        <v>307.60000000000002</v>
      </c>
      <c r="P181" s="32" t="s">
        <v>78</v>
      </c>
      <c r="Q181" s="31">
        <f>327</f>
        <v>327</v>
      </c>
      <c r="R181" s="32" t="s">
        <v>997</v>
      </c>
      <c r="S181" s="33">
        <f>324.39</f>
        <v>324.39</v>
      </c>
      <c r="T181" s="30">
        <f>17108850</f>
        <v>17108850</v>
      </c>
      <c r="U181" s="30">
        <f>500</f>
        <v>500</v>
      </c>
      <c r="V181" s="30">
        <f>5513000610</f>
        <v>5513000610</v>
      </c>
      <c r="W181" s="30">
        <f>155500</f>
        <v>155500</v>
      </c>
      <c r="X181" s="34">
        <f>19</f>
        <v>19</v>
      </c>
    </row>
    <row r="182" spans="1:24" ht="13.5" customHeight="1" x14ac:dyDescent="0.15">
      <c r="A182" s="25" t="s">
        <v>994</v>
      </c>
      <c r="B182" s="25" t="s">
        <v>564</v>
      </c>
      <c r="C182" s="25" t="s">
        <v>565</v>
      </c>
      <c r="D182" s="25" t="s">
        <v>566</v>
      </c>
      <c r="E182" s="26" t="s">
        <v>45</v>
      </c>
      <c r="F182" s="27" t="s">
        <v>45</v>
      </c>
      <c r="G182" s="28" t="s">
        <v>45</v>
      </c>
      <c r="H182" s="29"/>
      <c r="I182" s="29" t="s">
        <v>567</v>
      </c>
      <c r="J182" s="30">
        <v>1</v>
      </c>
      <c r="K182" s="31">
        <f>6793</f>
        <v>6793</v>
      </c>
      <c r="L182" s="32" t="s">
        <v>995</v>
      </c>
      <c r="M182" s="31">
        <f>7030</f>
        <v>7030</v>
      </c>
      <c r="N182" s="32" t="s">
        <v>999</v>
      </c>
      <c r="O182" s="31">
        <f>5640</f>
        <v>5640</v>
      </c>
      <c r="P182" s="32" t="s">
        <v>255</v>
      </c>
      <c r="Q182" s="31">
        <f>5813</f>
        <v>5813</v>
      </c>
      <c r="R182" s="32" t="s">
        <v>997</v>
      </c>
      <c r="S182" s="33">
        <f>6386.53</f>
        <v>6386.53</v>
      </c>
      <c r="T182" s="30">
        <f>75086</f>
        <v>75086</v>
      </c>
      <c r="U182" s="30" t="str">
        <f>"－"</f>
        <v>－</v>
      </c>
      <c r="V182" s="30">
        <f>476604555</f>
        <v>476604555</v>
      </c>
      <c r="W182" s="30" t="str">
        <f>"－"</f>
        <v>－</v>
      </c>
      <c r="X182" s="34">
        <f>19</f>
        <v>19</v>
      </c>
    </row>
    <row r="183" spans="1:24" ht="13.5" customHeight="1" x14ac:dyDescent="0.15">
      <c r="A183" s="25" t="s">
        <v>994</v>
      </c>
      <c r="B183" s="25" t="s">
        <v>568</v>
      </c>
      <c r="C183" s="25" t="s">
        <v>569</v>
      </c>
      <c r="D183" s="25" t="s">
        <v>570</v>
      </c>
      <c r="E183" s="26" t="s">
        <v>45</v>
      </c>
      <c r="F183" s="27" t="s">
        <v>45</v>
      </c>
      <c r="G183" s="28" t="s">
        <v>45</v>
      </c>
      <c r="H183" s="29"/>
      <c r="I183" s="29" t="s">
        <v>567</v>
      </c>
      <c r="J183" s="30">
        <v>1</v>
      </c>
      <c r="K183" s="31">
        <f>6810</f>
        <v>6810</v>
      </c>
      <c r="L183" s="32" t="s">
        <v>995</v>
      </c>
      <c r="M183" s="31">
        <f>7790</f>
        <v>7790</v>
      </c>
      <c r="N183" s="32" t="s">
        <v>997</v>
      </c>
      <c r="O183" s="31">
        <f>6473</f>
        <v>6473</v>
      </c>
      <c r="P183" s="32" t="s">
        <v>999</v>
      </c>
      <c r="Q183" s="31">
        <f>7718</f>
        <v>7718</v>
      </c>
      <c r="R183" s="32" t="s">
        <v>997</v>
      </c>
      <c r="S183" s="33">
        <f>7123.95</f>
        <v>7123.95</v>
      </c>
      <c r="T183" s="30">
        <f>18461</f>
        <v>18461</v>
      </c>
      <c r="U183" s="30" t="str">
        <f>"－"</f>
        <v>－</v>
      </c>
      <c r="V183" s="30">
        <f>131551261</f>
        <v>131551261</v>
      </c>
      <c r="W183" s="30" t="str">
        <f>"－"</f>
        <v>－</v>
      </c>
      <c r="X183" s="34">
        <f>19</f>
        <v>19</v>
      </c>
    </row>
    <row r="184" spans="1:24" ht="13.5" customHeight="1" x14ac:dyDescent="0.15">
      <c r="A184" s="25" t="s">
        <v>994</v>
      </c>
      <c r="B184" s="25" t="s">
        <v>571</v>
      </c>
      <c r="C184" s="25" t="s">
        <v>572</v>
      </c>
      <c r="D184" s="25" t="s">
        <v>573</v>
      </c>
      <c r="E184" s="26" t="s">
        <v>45</v>
      </c>
      <c r="F184" s="27" t="s">
        <v>45</v>
      </c>
      <c r="G184" s="28" t="s">
        <v>45</v>
      </c>
      <c r="H184" s="29"/>
      <c r="I184" s="29" t="s">
        <v>567</v>
      </c>
      <c r="J184" s="30">
        <v>1</v>
      </c>
      <c r="K184" s="31">
        <f>11060</f>
        <v>11060</v>
      </c>
      <c r="L184" s="32" t="s">
        <v>995</v>
      </c>
      <c r="M184" s="31">
        <f>11445</f>
        <v>11445</v>
      </c>
      <c r="N184" s="32" t="s">
        <v>996</v>
      </c>
      <c r="O184" s="31">
        <f>10105</f>
        <v>10105</v>
      </c>
      <c r="P184" s="32" t="s">
        <v>255</v>
      </c>
      <c r="Q184" s="31">
        <f>10240</f>
        <v>10240</v>
      </c>
      <c r="R184" s="32" t="s">
        <v>997</v>
      </c>
      <c r="S184" s="33">
        <f>10899.17</f>
        <v>10899.17</v>
      </c>
      <c r="T184" s="30">
        <f>195</f>
        <v>195</v>
      </c>
      <c r="U184" s="30" t="str">
        <f>"－"</f>
        <v>－</v>
      </c>
      <c r="V184" s="30">
        <f>2105205</f>
        <v>2105205</v>
      </c>
      <c r="W184" s="30" t="str">
        <f>"－"</f>
        <v>－</v>
      </c>
      <c r="X184" s="34">
        <f>18</f>
        <v>18</v>
      </c>
    </row>
    <row r="185" spans="1:24" ht="13.5" customHeight="1" x14ac:dyDescent="0.15">
      <c r="A185" s="25" t="s">
        <v>994</v>
      </c>
      <c r="B185" s="25" t="s">
        <v>574</v>
      </c>
      <c r="C185" s="25" t="s">
        <v>575</v>
      </c>
      <c r="D185" s="25" t="s">
        <v>576</v>
      </c>
      <c r="E185" s="26" t="s">
        <v>45</v>
      </c>
      <c r="F185" s="27" t="s">
        <v>45</v>
      </c>
      <c r="G185" s="28" t="s">
        <v>45</v>
      </c>
      <c r="H185" s="29"/>
      <c r="I185" s="29" t="s">
        <v>567</v>
      </c>
      <c r="J185" s="30">
        <v>1</v>
      </c>
      <c r="K185" s="31">
        <f>8001</f>
        <v>8001</v>
      </c>
      <c r="L185" s="32" t="s">
        <v>995</v>
      </c>
      <c r="M185" s="31">
        <f>8155</f>
        <v>8155</v>
      </c>
      <c r="N185" s="32" t="s">
        <v>255</v>
      </c>
      <c r="O185" s="31">
        <f>7775</f>
        <v>7775</v>
      </c>
      <c r="P185" s="32" t="s">
        <v>999</v>
      </c>
      <c r="Q185" s="31">
        <f>8034</f>
        <v>8034</v>
      </c>
      <c r="R185" s="32" t="s">
        <v>997</v>
      </c>
      <c r="S185" s="33">
        <f>7948.95</f>
        <v>7948.95</v>
      </c>
      <c r="T185" s="30">
        <f>12225</f>
        <v>12225</v>
      </c>
      <c r="U185" s="30" t="str">
        <f>"－"</f>
        <v>－</v>
      </c>
      <c r="V185" s="30">
        <f>97276760</f>
        <v>97276760</v>
      </c>
      <c r="W185" s="30" t="str">
        <f>"－"</f>
        <v>－</v>
      </c>
      <c r="X185" s="34">
        <f>19</f>
        <v>19</v>
      </c>
    </row>
    <row r="186" spans="1:24" ht="13.5" customHeight="1" x14ac:dyDescent="0.15">
      <c r="A186" s="25" t="s">
        <v>994</v>
      </c>
      <c r="B186" s="25" t="s">
        <v>577</v>
      </c>
      <c r="C186" s="25" t="s">
        <v>578</v>
      </c>
      <c r="D186" s="25" t="s">
        <v>579</v>
      </c>
      <c r="E186" s="26" t="s">
        <v>45</v>
      </c>
      <c r="F186" s="27" t="s">
        <v>45</v>
      </c>
      <c r="G186" s="28" t="s">
        <v>45</v>
      </c>
      <c r="H186" s="29"/>
      <c r="I186" s="29" t="s">
        <v>567</v>
      </c>
      <c r="J186" s="30">
        <v>1</v>
      </c>
      <c r="K186" s="31">
        <f>27445</f>
        <v>27445</v>
      </c>
      <c r="L186" s="32" t="s">
        <v>995</v>
      </c>
      <c r="M186" s="31">
        <f>27495</f>
        <v>27495</v>
      </c>
      <c r="N186" s="32" t="s">
        <v>999</v>
      </c>
      <c r="O186" s="31">
        <f>26000</f>
        <v>26000</v>
      </c>
      <c r="P186" s="32" t="s">
        <v>875</v>
      </c>
      <c r="Q186" s="31">
        <f>26525</f>
        <v>26525</v>
      </c>
      <c r="R186" s="32" t="s">
        <v>997</v>
      </c>
      <c r="S186" s="33">
        <f>26562.11</f>
        <v>26562.11</v>
      </c>
      <c r="T186" s="30">
        <f>12734</f>
        <v>12734</v>
      </c>
      <c r="U186" s="30">
        <f>2</f>
        <v>2</v>
      </c>
      <c r="V186" s="30">
        <f>339373765</f>
        <v>339373765</v>
      </c>
      <c r="W186" s="30">
        <f>52760</f>
        <v>52760</v>
      </c>
      <c r="X186" s="34">
        <f>19</f>
        <v>19</v>
      </c>
    </row>
    <row r="187" spans="1:24" ht="13.5" customHeight="1" x14ac:dyDescent="0.15">
      <c r="A187" s="25" t="s">
        <v>994</v>
      </c>
      <c r="B187" s="25" t="s">
        <v>580</v>
      </c>
      <c r="C187" s="25" t="s">
        <v>581</v>
      </c>
      <c r="D187" s="25" t="s">
        <v>582</v>
      </c>
      <c r="E187" s="26" t="s">
        <v>45</v>
      </c>
      <c r="F187" s="27" t="s">
        <v>45</v>
      </c>
      <c r="G187" s="28" t="s">
        <v>45</v>
      </c>
      <c r="H187" s="29"/>
      <c r="I187" s="29" t="s">
        <v>567</v>
      </c>
      <c r="J187" s="30">
        <v>1</v>
      </c>
      <c r="K187" s="31">
        <f>4205</f>
        <v>4205</v>
      </c>
      <c r="L187" s="32" t="s">
        <v>995</v>
      </c>
      <c r="M187" s="31">
        <f>4335</f>
        <v>4335</v>
      </c>
      <c r="N187" s="32" t="s">
        <v>875</v>
      </c>
      <c r="O187" s="31">
        <f>4205</f>
        <v>4205</v>
      </c>
      <c r="P187" s="32" t="s">
        <v>995</v>
      </c>
      <c r="Q187" s="31">
        <f>4265</f>
        <v>4265</v>
      </c>
      <c r="R187" s="32" t="s">
        <v>997</v>
      </c>
      <c r="S187" s="33">
        <f>4274.47</f>
        <v>4274.47</v>
      </c>
      <c r="T187" s="30">
        <f>5150</f>
        <v>5150</v>
      </c>
      <c r="U187" s="30" t="str">
        <f>"－"</f>
        <v>－</v>
      </c>
      <c r="V187" s="30">
        <f>22022535</f>
        <v>22022535</v>
      </c>
      <c r="W187" s="30" t="str">
        <f>"－"</f>
        <v>－</v>
      </c>
      <c r="X187" s="34">
        <f>19</f>
        <v>19</v>
      </c>
    </row>
    <row r="188" spans="1:24" ht="13.5" customHeight="1" x14ac:dyDescent="0.15">
      <c r="A188" s="25" t="s">
        <v>994</v>
      </c>
      <c r="B188" s="25" t="s">
        <v>583</v>
      </c>
      <c r="C188" s="25" t="s">
        <v>584</v>
      </c>
      <c r="D188" s="25" t="s">
        <v>585</v>
      </c>
      <c r="E188" s="26" t="s">
        <v>45</v>
      </c>
      <c r="F188" s="27" t="s">
        <v>45</v>
      </c>
      <c r="G188" s="28" t="s">
        <v>45</v>
      </c>
      <c r="H188" s="29"/>
      <c r="I188" s="29" t="s">
        <v>567</v>
      </c>
      <c r="J188" s="30">
        <v>1</v>
      </c>
      <c r="K188" s="31">
        <f>1253</f>
        <v>1253</v>
      </c>
      <c r="L188" s="32" t="s">
        <v>995</v>
      </c>
      <c r="M188" s="31">
        <f>1340</f>
        <v>1340</v>
      </c>
      <c r="N188" s="32" t="s">
        <v>876</v>
      </c>
      <c r="O188" s="31">
        <f>1136</f>
        <v>1136</v>
      </c>
      <c r="P188" s="32" t="s">
        <v>78</v>
      </c>
      <c r="Q188" s="31">
        <f>1307</f>
        <v>1307</v>
      </c>
      <c r="R188" s="32" t="s">
        <v>997</v>
      </c>
      <c r="S188" s="33">
        <f>1260.74</f>
        <v>1260.74</v>
      </c>
      <c r="T188" s="30">
        <f>19020640</f>
        <v>19020640</v>
      </c>
      <c r="U188" s="30">
        <f>13861</f>
        <v>13861</v>
      </c>
      <c r="V188" s="30">
        <f>23713690651</f>
        <v>23713690651</v>
      </c>
      <c r="W188" s="30">
        <f>17902402</f>
        <v>17902402</v>
      </c>
      <c r="X188" s="34">
        <f>19</f>
        <v>19</v>
      </c>
    </row>
    <row r="189" spans="1:24" ht="13.5" customHeight="1" x14ac:dyDescent="0.15">
      <c r="A189" s="25" t="s">
        <v>994</v>
      </c>
      <c r="B189" s="25" t="s">
        <v>586</v>
      </c>
      <c r="C189" s="25" t="s">
        <v>587</v>
      </c>
      <c r="D189" s="25" t="s">
        <v>588</v>
      </c>
      <c r="E189" s="26" t="s">
        <v>45</v>
      </c>
      <c r="F189" s="27" t="s">
        <v>45</v>
      </c>
      <c r="G189" s="28" t="s">
        <v>45</v>
      </c>
      <c r="H189" s="29"/>
      <c r="I189" s="29" t="s">
        <v>567</v>
      </c>
      <c r="J189" s="30">
        <v>1</v>
      </c>
      <c r="K189" s="31">
        <f>1471</f>
        <v>1471</v>
      </c>
      <c r="L189" s="32" t="s">
        <v>995</v>
      </c>
      <c r="M189" s="31">
        <f>1548</f>
        <v>1548</v>
      </c>
      <c r="N189" s="32" t="s">
        <v>78</v>
      </c>
      <c r="O189" s="31">
        <f>1421</f>
        <v>1421</v>
      </c>
      <c r="P189" s="32" t="s">
        <v>255</v>
      </c>
      <c r="Q189" s="31">
        <f>1435</f>
        <v>1435</v>
      </c>
      <c r="R189" s="32" t="s">
        <v>997</v>
      </c>
      <c r="S189" s="33">
        <f>1468.11</f>
        <v>1468.11</v>
      </c>
      <c r="T189" s="30">
        <f>1395646</f>
        <v>1395646</v>
      </c>
      <c r="U189" s="30">
        <f>2228</f>
        <v>2228</v>
      </c>
      <c r="V189" s="30">
        <f>2050717179</f>
        <v>2050717179</v>
      </c>
      <c r="W189" s="30">
        <f>3270024</f>
        <v>3270024</v>
      </c>
      <c r="X189" s="34">
        <f>19</f>
        <v>19</v>
      </c>
    </row>
    <row r="190" spans="1:24" ht="13.5" customHeight="1" x14ac:dyDescent="0.15">
      <c r="A190" s="25" t="s">
        <v>994</v>
      </c>
      <c r="B190" s="25" t="s">
        <v>589</v>
      </c>
      <c r="C190" s="25" t="s">
        <v>590</v>
      </c>
      <c r="D190" s="25" t="s">
        <v>591</v>
      </c>
      <c r="E190" s="26" t="s">
        <v>45</v>
      </c>
      <c r="F190" s="27" t="s">
        <v>45</v>
      </c>
      <c r="G190" s="28" t="s">
        <v>45</v>
      </c>
      <c r="H190" s="29"/>
      <c r="I190" s="29" t="s">
        <v>567</v>
      </c>
      <c r="J190" s="30">
        <v>1</v>
      </c>
      <c r="K190" s="31">
        <f>25885</f>
        <v>25885</v>
      </c>
      <c r="L190" s="32" t="s">
        <v>995</v>
      </c>
      <c r="M190" s="31">
        <f>26110</f>
        <v>26110</v>
      </c>
      <c r="N190" s="32" t="s">
        <v>1005</v>
      </c>
      <c r="O190" s="31">
        <f>24155</f>
        <v>24155</v>
      </c>
      <c r="P190" s="32" t="s">
        <v>255</v>
      </c>
      <c r="Q190" s="31">
        <f>24310</f>
        <v>24310</v>
      </c>
      <c r="R190" s="32" t="s">
        <v>997</v>
      </c>
      <c r="S190" s="33">
        <f>25442.11</f>
        <v>25442.11</v>
      </c>
      <c r="T190" s="30">
        <f>79642</f>
        <v>79642</v>
      </c>
      <c r="U190" s="30">
        <f>3</f>
        <v>3</v>
      </c>
      <c r="V190" s="30">
        <f>2023925210</f>
        <v>2023925210</v>
      </c>
      <c r="W190" s="30">
        <f>77655</f>
        <v>77655</v>
      </c>
      <c r="X190" s="34">
        <f>19</f>
        <v>19</v>
      </c>
    </row>
    <row r="191" spans="1:24" ht="13.5" customHeight="1" x14ac:dyDescent="0.15">
      <c r="A191" s="25" t="s">
        <v>994</v>
      </c>
      <c r="B191" s="25" t="s">
        <v>592</v>
      </c>
      <c r="C191" s="25" t="s">
        <v>593</v>
      </c>
      <c r="D191" s="25" t="s">
        <v>594</v>
      </c>
      <c r="E191" s="26" t="s">
        <v>45</v>
      </c>
      <c r="F191" s="27" t="s">
        <v>45</v>
      </c>
      <c r="G191" s="28" t="s">
        <v>45</v>
      </c>
      <c r="H191" s="29"/>
      <c r="I191" s="29" t="s">
        <v>567</v>
      </c>
      <c r="J191" s="30">
        <v>1</v>
      </c>
      <c r="K191" s="31">
        <f>2870</f>
        <v>2870</v>
      </c>
      <c r="L191" s="32" t="s">
        <v>995</v>
      </c>
      <c r="M191" s="31">
        <f>2965</f>
        <v>2965</v>
      </c>
      <c r="N191" s="32" t="s">
        <v>997</v>
      </c>
      <c r="O191" s="31">
        <f>2867</f>
        <v>2867</v>
      </c>
      <c r="P191" s="32" t="s">
        <v>999</v>
      </c>
      <c r="Q191" s="31">
        <f>2965</f>
        <v>2965</v>
      </c>
      <c r="R191" s="32" t="s">
        <v>997</v>
      </c>
      <c r="S191" s="33">
        <f>2904.89</f>
        <v>2904.89</v>
      </c>
      <c r="T191" s="30">
        <f>467507</f>
        <v>467507</v>
      </c>
      <c r="U191" s="30" t="str">
        <f>"－"</f>
        <v>－</v>
      </c>
      <c r="V191" s="30">
        <f>1359632730</f>
        <v>1359632730</v>
      </c>
      <c r="W191" s="30" t="str">
        <f>"－"</f>
        <v>－</v>
      </c>
      <c r="X191" s="34">
        <f>19</f>
        <v>19</v>
      </c>
    </row>
    <row r="192" spans="1:24" ht="13.5" customHeight="1" x14ac:dyDescent="0.15">
      <c r="A192" s="25" t="s">
        <v>994</v>
      </c>
      <c r="B192" s="25" t="s">
        <v>595</v>
      </c>
      <c r="C192" s="25" t="s">
        <v>596</v>
      </c>
      <c r="D192" s="25" t="s">
        <v>597</v>
      </c>
      <c r="E192" s="26" t="s">
        <v>45</v>
      </c>
      <c r="F192" s="27" t="s">
        <v>45</v>
      </c>
      <c r="G192" s="28" t="s">
        <v>45</v>
      </c>
      <c r="H192" s="29"/>
      <c r="I192" s="29" t="s">
        <v>567</v>
      </c>
      <c r="J192" s="30">
        <v>1</v>
      </c>
      <c r="K192" s="31">
        <f>8378</f>
        <v>8378</v>
      </c>
      <c r="L192" s="32" t="s">
        <v>995</v>
      </c>
      <c r="M192" s="31">
        <f>8486</f>
        <v>8486</v>
      </c>
      <c r="N192" s="32" t="s">
        <v>1004</v>
      </c>
      <c r="O192" s="31">
        <f>7845</f>
        <v>7845</v>
      </c>
      <c r="P192" s="32" t="s">
        <v>255</v>
      </c>
      <c r="Q192" s="31">
        <f>7967</f>
        <v>7967</v>
      </c>
      <c r="R192" s="32" t="s">
        <v>997</v>
      </c>
      <c r="S192" s="33">
        <f>8214.11</f>
        <v>8214.11</v>
      </c>
      <c r="T192" s="30">
        <f>13165</f>
        <v>13165</v>
      </c>
      <c r="U192" s="30">
        <f>3</f>
        <v>3</v>
      </c>
      <c r="V192" s="30">
        <f>108852742</f>
        <v>108852742</v>
      </c>
      <c r="W192" s="30">
        <f>23850</f>
        <v>23850</v>
      </c>
      <c r="X192" s="34">
        <f>19</f>
        <v>19</v>
      </c>
    </row>
    <row r="193" spans="1:24" ht="13.5" customHeight="1" x14ac:dyDescent="0.15">
      <c r="A193" s="25" t="s">
        <v>994</v>
      </c>
      <c r="B193" s="25" t="s">
        <v>598</v>
      </c>
      <c r="C193" s="25" t="s">
        <v>599</v>
      </c>
      <c r="D193" s="25" t="s">
        <v>600</v>
      </c>
      <c r="E193" s="26" t="s">
        <v>45</v>
      </c>
      <c r="F193" s="27" t="s">
        <v>45</v>
      </c>
      <c r="G193" s="28" t="s">
        <v>45</v>
      </c>
      <c r="H193" s="29"/>
      <c r="I193" s="29" t="s">
        <v>567</v>
      </c>
      <c r="J193" s="30">
        <v>1</v>
      </c>
      <c r="K193" s="31">
        <f>16655</f>
        <v>16655</v>
      </c>
      <c r="L193" s="32" t="s">
        <v>995</v>
      </c>
      <c r="M193" s="31">
        <f>17000</f>
        <v>17000</v>
      </c>
      <c r="N193" s="32" t="s">
        <v>78</v>
      </c>
      <c r="O193" s="31">
        <f>16185</f>
        <v>16185</v>
      </c>
      <c r="P193" s="32" t="s">
        <v>875</v>
      </c>
      <c r="Q193" s="31">
        <f>16370</f>
        <v>16370</v>
      </c>
      <c r="R193" s="32" t="s">
        <v>997</v>
      </c>
      <c r="S193" s="33">
        <f>16422.5</f>
        <v>16422.5</v>
      </c>
      <c r="T193" s="30">
        <f>806</f>
        <v>806</v>
      </c>
      <c r="U193" s="30" t="str">
        <f>"－"</f>
        <v>－</v>
      </c>
      <c r="V193" s="30">
        <f>13159595</f>
        <v>13159595</v>
      </c>
      <c r="W193" s="30" t="str">
        <f>"－"</f>
        <v>－</v>
      </c>
      <c r="X193" s="34">
        <f>16</f>
        <v>16</v>
      </c>
    </row>
    <row r="194" spans="1:24" ht="13.5" customHeight="1" x14ac:dyDescent="0.15">
      <c r="A194" s="25" t="s">
        <v>994</v>
      </c>
      <c r="B194" s="25" t="s">
        <v>601</v>
      </c>
      <c r="C194" s="25" t="s">
        <v>602</v>
      </c>
      <c r="D194" s="25" t="s">
        <v>603</v>
      </c>
      <c r="E194" s="26" t="s">
        <v>45</v>
      </c>
      <c r="F194" s="27" t="s">
        <v>45</v>
      </c>
      <c r="G194" s="28" t="s">
        <v>45</v>
      </c>
      <c r="H194" s="29"/>
      <c r="I194" s="29" t="s">
        <v>567</v>
      </c>
      <c r="J194" s="30">
        <v>1</v>
      </c>
      <c r="K194" s="31">
        <f>22660</f>
        <v>22660</v>
      </c>
      <c r="L194" s="32" t="s">
        <v>995</v>
      </c>
      <c r="M194" s="31">
        <f>23650</f>
        <v>23650</v>
      </c>
      <c r="N194" s="32" t="s">
        <v>80</v>
      </c>
      <c r="O194" s="31">
        <f>22610</f>
        <v>22610</v>
      </c>
      <c r="P194" s="32" t="s">
        <v>875</v>
      </c>
      <c r="Q194" s="31">
        <f>23420</f>
        <v>23420</v>
      </c>
      <c r="R194" s="32" t="s">
        <v>997</v>
      </c>
      <c r="S194" s="33">
        <f>23172.63</f>
        <v>23172.63</v>
      </c>
      <c r="T194" s="30">
        <f>25203</f>
        <v>25203</v>
      </c>
      <c r="U194" s="30">
        <f>2611</f>
        <v>2611</v>
      </c>
      <c r="V194" s="30">
        <f>583090011</f>
        <v>583090011</v>
      </c>
      <c r="W194" s="30">
        <f>58640341</f>
        <v>58640341</v>
      </c>
      <c r="X194" s="34">
        <f>19</f>
        <v>19</v>
      </c>
    </row>
    <row r="195" spans="1:24" ht="13.5" customHeight="1" x14ac:dyDescent="0.15">
      <c r="A195" s="25" t="s">
        <v>994</v>
      </c>
      <c r="B195" s="25" t="s">
        <v>604</v>
      </c>
      <c r="C195" s="25" t="s">
        <v>605</v>
      </c>
      <c r="D195" s="25" t="s">
        <v>606</v>
      </c>
      <c r="E195" s="26" t="s">
        <v>45</v>
      </c>
      <c r="F195" s="27" t="s">
        <v>45</v>
      </c>
      <c r="G195" s="28" t="s">
        <v>45</v>
      </c>
      <c r="H195" s="29"/>
      <c r="I195" s="29" t="s">
        <v>567</v>
      </c>
      <c r="J195" s="30">
        <v>1</v>
      </c>
      <c r="K195" s="31">
        <f>15785</f>
        <v>15785</v>
      </c>
      <c r="L195" s="32" t="s">
        <v>995</v>
      </c>
      <c r="M195" s="31">
        <f>16315</f>
        <v>16315</v>
      </c>
      <c r="N195" s="32" t="s">
        <v>78</v>
      </c>
      <c r="O195" s="31">
        <f>15185</f>
        <v>15185</v>
      </c>
      <c r="P195" s="32" t="s">
        <v>793</v>
      </c>
      <c r="Q195" s="31">
        <f>15610</f>
        <v>15610</v>
      </c>
      <c r="R195" s="32" t="s">
        <v>255</v>
      </c>
      <c r="S195" s="33">
        <f>15627</f>
        <v>15627</v>
      </c>
      <c r="T195" s="30">
        <f>195</f>
        <v>195</v>
      </c>
      <c r="U195" s="30" t="str">
        <f>"－"</f>
        <v>－</v>
      </c>
      <c r="V195" s="30">
        <f>3048410</f>
        <v>3048410</v>
      </c>
      <c r="W195" s="30" t="str">
        <f>"－"</f>
        <v>－</v>
      </c>
      <c r="X195" s="34">
        <f>15</f>
        <v>15</v>
      </c>
    </row>
    <row r="196" spans="1:24" ht="13.5" customHeight="1" x14ac:dyDescent="0.15">
      <c r="A196" s="25" t="s">
        <v>994</v>
      </c>
      <c r="B196" s="25" t="s">
        <v>607</v>
      </c>
      <c r="C196" s="25" t="s">
        <v>608</v>
      </c>
      <c r="D196" s="25" t="s">
        <v>609</v>
      </c>
      <c r="E196" s="26" t="s">
        <v>45</v>
      </c>
      <c r="F196" s="27" t="s">
        <v>45</v>
      </c>
      <c r="G196" s="28" t="s">
        <v>45</v>
      </c>
      <c r="H196" s="29"/>
      <c r="I196" s="29" t="s">
        <v>567</v>
      </c>
      <c r="J196" s="30">
        <v>1</v>
      </c>
      <c r="K196" s="31">
        <f>17825</f>
        <v>17825</v>
      </c>
      <c r="L196" s="32" t="s">
        <v>995</v>
      </c>
      <c r="M196" s="31">
        <f>18455</f>
        <v>18455</v>
      </c>
      <c r="N196" s="32" t="s">
        <v>876</v>
      </c>
      <c r="O196" s="31">
        <f>17055</f>
        <v>17055</v>
      </c>
      <c r="P196" s="32" t="s">
        <v>999</v>
      </c>
      <c r="Q196" s="31">
        <f>17610</f>
        <v>17610</v>
      </c>
      <c r="R196" s="32" t="s">
        <v>997</v>
      </c>
      <c r="S196" s="33">
        <f>17843.95</f>
        <v>17843.95</v>
      </c>
      <c r="T196" s="30">
        <f>36020</f>
        <v>36020</v>
      </c>
      <c r="U196" s="30" t="str">
        <f>"－"</f>
        <v>－</v>
      </c>
      <c r="V196" s="30">
        <f>640112780</f>
        <v>640112780</v>
      </c>
      <c r="W196" s="30" t="str">
        <f>"－"</f>
        <v>－</v>
      </c>
      <c r="X196" s="34">
        <f>19</f>
        <v>19</v>
      </c>
    </row>
    <row r="197" spans="1:24" ht="13.5" customHeight="1" x14ac:dyDescent="0.15">
      <c r="A197" s="25" t="s">
        <v>994</v>
      </c>
      <c r="B197" s="25" t="s">
        <v>610</v>
      </c>
      <c r="C197" s="25" t="s">
        <v>611</v>
      </c>
      <c r="D197" s="25" t="s">
        <v>612</v>
      </c>
      <c r="E197" s="26" t="s">
        <v>45</v>
      </c>
      <c r="F197" s="27" t="s">
        <v>45</v>
      </c>
      <c r="G197" s="28" t="s">
        <v>45</v>
      </c>
      <c r="H197" s="29"/>
      <c r="I197" s="29" t="s">
        <v>567</v>
      </c>
      <c r="J197" s="30">
        <v>1</v>
      </c>
      <c r="K197" s="31">
        <f>4160</f>
        <v>4160</v>
      </c>
      <c r="L197" s="32" t="s">
        <v>995</v>
      </c>
      <c r="M197" s="31">
        <f>4450</f>
        <v>4450</v>
      </c>
      <c r="N197" s="32" t="s">
        <v>255</v>
      </c>
      <c r="O197" s="31">
        <f>4055</f>
        <v>4055</v>
      </c>
      <c r="P197" s="32" t="s">
        <v>996</v>
      </c>
      <c r="Q197" s="31">
        <f>4400</f>
        <v>4400</v>
      </c>
      <c r="R197" s="32" t="s">
        <v>997</v>
      </c>
      <c r="S197" s="33">
        <f>4157.11</f>
        <v>4157.1099999999997</v>
      </c>
      <c r="T197" s="30">
        <f>8005</f>
        <v>8005</v>
      </c>
      <c r="U197" s="30" t="str">
        <f>"－"</f>
        <v>－</v>
      </c>
      <c r="V197" s="30">
        <f>33683720</f>
        <v>33683720</v>
      </c>
      <c r="W197" s="30" t="str">
        <f>"－"</f>
        <v>－</v>
      </c>
      <c r="X197" s="34">
        <f>19</f>
        <v>19</v>
      </c>
    </row>
    <row r="198" spans="1:24" ht="13.5" customHeight="1" x14ac:dyDescent="0.15">
      <c r="A198" s="25" t="s">
        <v>994</v>
      </c>
      <c r="B198" s="25" t="s">
        <v>613</v>
      </c>
      <c r="C198" s="25" t="s">
        <v>614</v>
      </c>
      <c r="D198" s="25" t="s">
        <v>615</v>
      </c>
      <c r="E198" s="26" t="s">
        <v>45</v>
      </c>
      <c r="F198" s="27" t="s">
        <v>45</v>
      </c>
      <c r="G198" s="28" t="s">
        <v>45</v>
      </c>
      <c r="H198" s="29"/>
      <c r="I198" s="29" t="s">
        <v>567</v>
      </c>
      <c r="J198" s="30">
        <v>1</v>
      </c>
      <c r="K198" s="31">
        <f>15280</f>
        <v>15280</v>
      </c>
      <c r="L198" s="32" t="s">
        <v>999</v>
      </c>
      <c r="M198" s="31">
        <f>17000</f>
        <v>17000</v>
      </c>
      <c r="N198" s="32" t="s">
        <v>997</v>
      </c>
      <c r="O198" s="31">
        <f>15100</f>
        <v>15100</v>
      </c>
      <c r="P198" s="32" t="s">
        <v>996</v>
      </c>
      <c r="Q198" s="31">
        <f>16945</f>
        <v>16945</v>
      </c>
      <c r="R198" s="32" t="s">
        <v>997</v>
      </c>
      <c r="S198" s="33">
        <f>16211.94</f>
        <v>16211.94</v>
      </c>
      <c r="T198" s="30">
        <f>3653</f>
        <v>3653</v>
      </c>
      <c r="U198" s="30" t="str">
        <f>"－"</f>
        <v>－</v>
      </c>
      <c r="V198" s="30">
        <f>58984000</f>
        <v>58984000</v>
      </c>
      <c r="W198" s="30" t="str">
        <f>"－"</f>
        <v>－</v>
      </c>
      <c r="X198" s="34">
        <f>18</f>
        <v>18</v>
      </c>
    </row>
    <row r="199" spans="1:24" ht="13.5" customHeight="1" x14ac:dyDescent="0.15">
      <c r="A199" s="25" t="s">
        <v>994</v>
      </c>
      <c r="B199" s="25" t="s">
        <v>616</v>
      </c>
      <c r="C199" s="25" t="s">
        <v>617</v>
      </c>
      <c r="D199" s="25" t="s">
        <v>618</v>
      </c>
      <c r="E199" s="26" t="s">
        <v>45</v>
      </c>
      <c r="F199" s="27" t="s">
        <v>45</v>
      </c>
      <c r="G199" s="28" t="s">
        <v>45</v>
      </c>
      <c r="H199" s="29"/>
      <c r="I199" s="29" t="s">
        <v>567</v>
      </c>
      <c r="J199" s="30">
        <v>1</v>
      </c>
      <c r="K199" s="31">
        <f>13075</f>
        <v>13075</v>
      </c>
      <c r="L199" s="32" t="s">
        <v>996</v>
      </c>
      <c r="M199" s="31">
        <f>13525</f>
        <v>13525</v>
      </c>
      <c r="N199" s="32" t="s">
        <v>998</v>
      </c>
      <c r="O199" s="31">
        <f>13075</f>
        <v>13075</v>
      </c>
      <c r="P199" s="32" t="s">
        <v>996</v>
      </c>
      <c r="Q199" s="31">
        <f>13525</f>
        <v>13525</v>
      </c>
      <c r="R199" s="32" t="s">
        <v>998</v>
      </c>
      <c r="S199" s="33">
        <f>13211</f>
        <v>13211</v>
      </c>
      <c r="T199" s="30">
        <f>37</f>
        <v>37</v>
      </c>
      <c r="U199" s="30" t="str">
        <f>"－"</f>
        <v>－</v>
      </c>
      <c r="V199" s="30">
        <f>486770</f>
        <v>486770</v>
      </c>
      <c r="W199" s="30" t="str">
        <f>"－"</f>
        <v>－</v>
      </c>
      <c r="X199" s="34">
        <f>5</f>
        <v>5</v>
      </c>
    </row>
    <row r="200" spans="1:24" ht="13.5" customHeight="1" x14ac:dyDescent="0.15">
      <c r="A200" s="25" t="s">
        <v>994</v>
      </c>
      <c r="B200" s="25" t="s">
        <v>619</v>
      </c>
      <c r="C200" s="25" t="s">
        <v>620</v>
      </c>
      <c r="D200" s="25" t="s">
        <v>621</v>
      </c>
      <c r="E200" s="26" t="s">
        <v>45</v>
      </c>
      <c r="F200" s="27" t="s">
        <v>45</v>
      </c>
      <c r="G200" s="28" t="s">
        <v>45</v>
      </c>
      <c r="H200" s="29"/>
      <c r="I200" s="29" t="s">
        <v>567</v>
      </c>
      <c r="J200" s="30">
        <v>1</v>
      </c>
      <c r="K200" s="31">
        <f>18235</f>
        <v>18235</v>
      </c>
      <c r="L200" s="32" t="s">
        <v>995</v>
      </c>
      <c r="M200" s="31">
        <f>20000</f>
        <v>20000</v>
      </c>
      <c r="N200" s="32" t="s">
        <v>997</v>
      </c>
      <c r="O200" s="31">
        <f>17500</f>
        <v>17500</v>
      </c>
      <c r="P200" s="32" t="s">
        <v>996</v>
      </c>
      <c r="Q200" s="31">
        <f>19925</f>
        <v>19925</v>
      </c>
      <c r="R200" s="32" t="s">
        <v>997</v>
      </c>
      <c r="S200" s="33">
        <f>18703.13</f>
        <v>18703.13</v>
      </c>
      <c r="T200" s="30">
        <f>1898</f>
        <v>1898</v>
      </c>
      <c r="U200" s="30">
        <f>1200</f>
        <v>1200</v>
      </c>
      <c r="V200" s="30">
        <f>36616245</f>
        <v>36616245</v>
      </c>
      <c r="W200" s="30">
        <f>22942680</f>
        <v>22942680</v>
      </c>
      <c r="X200" s="34">
        <f>16</f>
        <v>16</v>
      </c>
    </row>
    <row r="201" spans="1:24" ht="13.5" customHeight="1" x14ac:dyDescent="0.15">
      <c r="A201" s="25" t="s">
        <v>994</v>
      </c>
      <c r="B201" s="25" t="s">
        <v>622</v>
      </c>
      <c r="C201" s="25" t="s">
        <v>623</v>
      </c>
      <c r="D201" s="25" t="s">
        <v>624</v>
      </c>
      <c r="E201" s="26" t="s">
        <v>45</v>
      </c>
      <c r="F201" s="27" t="s">
        <v>45</v>
      </c>
      <c r="G201" s="28" t="s">
        <v>45</v>
      </c>
      <c r="H201" s="29"/>
      <c r="I201" s="29" t="s">
        <v>567</v>
      </c>
      <c r="J201" s="30">
        <v>1</v>
      </c>
      <c r="K201" s="31">
        <f>15120</f>
        <v>15120</v>
      </c>
      <c r="L201" s="32" t="s">
        <v>996</v>
      </c>
      <c r="M201" s="31">
        <f>15820</f>
        <v>15820</v>
      </c>
      <c r="N201" s="32" t="s">
        <v>78</v>
      </c>
      <c r="O201" s="31">
        <f>15105</f>
        <v>15105</v>
      </c>
      <c r="P201" s="32" t="s">
        <v>996</v>
      </c>
      <c r="Q201" s="31">
        <f>15755</f>
        <v>15755</v>
      </c>
      <c r="R201" s="32" t="s">
        <v>78</v>
      </c>
      <c r="S201" s="33">
        <f>15430</f>
        <v>15430</v>
      </c>
      <c r="T201" s="30">
        <f>18</f>
        <v>18</v>
      </c>
      <c r="U201" s="30" t="str">
        <f t="shared" ref="U201:U211" si="6">"－"</f>
        <v>－</v>
      </c>
      <c r="V201" s="30">
        <f>282060</f>
        <v>282060</v>
      </c>
      <c r="W201" s="30" t="str">
        <f t="shared" ref="W201:W211" si="7">"－"</f>
        <v>－</v>
      </c>
      <c r="X201" s="34">
        <f>2</f>
        <v>2</v>
      </c>
    </row>
    <row r="202" spans="1:24" ht="13.5" customHeight="1" x14ac:dyDescent="0.15">
      <c r="A202" s="25" t="s">
        <v>994</v>
      </c>
      <c r="B202" s="25" t="s">
        <v>625</v>
      </c>
      <c r="C202" s="25" t="s">
        <v>626</v>
      </c>
      <c r="D202" s="25" t="s">
        <v>627</v>
      </c>
      <c r="E202" s="26" t="s">
        <v>45</v>
      </c>
      <c r="F202" s="27" t="s">
        <v>45</v>
      </c>
      <c r="G202" s="28" t="s">
        <v>45</v>
      </c>
      <c r="H202" s="29"/>
      <c r="I202" s="29" t="s">
        <v>567</v>
      </c>
      <c r="J202" s="30">
        <v>1</v>
      </c>
      <c r="K202" s="31">
        <f>13280</f>
        <v>13280</v>
      </c>
      <c r="L202" s="32" t="s">
        <v>995</v>
      </c>
      <c r="M202" s="31">
        <f>13585</f>
        <v>13585</v>
      </c>
      <c r="N202" s="32" t="s">
        <v>998</v>
      </c>
      <c r="O202" s="31">
        <f>13210</f>
        <v>13210</v>
      </c>
      <c r="P202" s="32" t="s">
        <v>1004</v>
      </c>
      <c r="Q202" s="31">
        <f>13495</f>
        <v>13495</v>
      </c>
      <c r="R202" s="32" t="s">
        <v>793</v>
      </c>
      <c r="S202" s="33">
        <f>13401.82</f>
        <v>13401.82</v>
      </c>
      <c r="T202" s="30">
        <f>1045</f>
        <v>1045</v>
      </c>
      <c r="U202" s="30" t="str">
        <f t="shared" si="6"/>
        <v>－</v>
      </c>
      <c r="V202" s="30">
        <f>14102385</f>
        <v>14102385</v>
      </c>
      <c r="W202" s="30" t="str">
        <f t="shared" si="7"/>
        <v>－</v>
      </c>
      <c r="X202" s="34">
        <f>11</f>
        <v>11</v>
      </c>
    </row>
    <row r="203" spans="1:24" ht="13.5" customHeight="1" x14ac:dyDescent="0.15">
      <c r="A203" s="25" t="s">
        <v>994</v>
      </c>
      <c r="B203" s="25" t="s">
        <v>628</v>
      </c>
      <c r="C203" s="25" t="s">
        <v>629</v>
      </c>
      <c r="D203" s="25" t="s">
        <v>630</v>
      </c>
      <c r="E203" s="26" t="s">
        <v>45</v>
      </c>
      <c r="F203" s="27" t="s">
        <v>45</v>
      </c>
      <c r="G203" s="28" t="s">
        <v>45</v>
      </c>
      <c r="H203" s="29"/>
      <c r="I203" s="29" t="s">
        <v>567</v>
      </c>
      <c r="J203" s="30">
        <v>1</v>
      </c>
      <c r="K203" s="31">
        <f>15580</f>
        <v>15580</v>
      </c>
      <c r="L203" s="32" t="s">
        <v>78</v>
      </c>
      <c r="M203" s="31">
        <f>16350</f>
        <v>16350</v>
      </c>
      <c r="N203" s="32" t="s">
        <v>255</v>
      </c>
      <c r="O203" s="31">
        <f>15465</f>
        <v>15465</v>
      </c>
      <c r="P203" s="32" t="s">
        <v>1004</v>
      </c>
      <c r="Q203" s="31">
        <f>16350</f>
        <v>16350</v>
      </c>
      <c r="R203" s="32" t="s">
        <v>255</v>
      </c>
      <c r="S203" s="33">
        <f>15974.5</f>
        <v>15974.5</v>
      </c>
      <c r="T203" s="30">
        <f>70</f>
        <v>70</v>
      </c>
      <c r="U203" s="30" t="str">
        <f t="shared" si="6"/>
        <v>－</v>
      </c>
      <c r="V203" s="30">
        <f>1113895</f>
        <v>1113895</v>
      </c>
      <c r="W203" s="30" t="str">
        <f t="shared" si="7"/>
        <v>－</v>
      </c>
      <c r="X203" s="34">
        <f>10</f>
        <v>10</v>
      </c>
    </row>
    <row r="204" spans="1:24" ht="13.5" customHeight="1" x14ac:dyDescent="0.15">
      <c r="A204" s="25" t="s">
        <v>994</v>
      </c>
      <c r="B204" s="25" t="s">
        <v>631</v>
      </c>
      <c r="C204" s="25" t="s">
        <v>632</v>
      </c>
      <c r="D204" s="25" t="s">
        <v>633</v>
      </c>
      <c r="E204" s="26" t="s">
        <v>45</v>
      </c>
      <c r="F204" s="27" t="s">
        <v>45</v>
      </c>
      <c r="G204" s="28" t="s">
        <v>45</v>
      </c>
      <c r="H204" s="29"/>
      <c r="I204" s="29" t="s">
        <v>567</v>
      </c>
      <c r="J204" s="30">
        <v>1</v>
      </c>
      <c r="K204" s="31">
        <f>13440</f>
        <v>13440</v>
      </c>
      <c r="L204" s="32" t="s">
        <v>1001</v>
      </c>
      <c r="M204" s="31">
        <f>13440</f>
        <v>13440</v>
      </c>
      <c r="N204" s="32" t="s">
        <v>1001</v>
      </c>
      <c r="O204" s="31">
        <f>13330</f>
        <v>13330</v>
      </c>
      <c r="P204" s="32" t="s">
        <v>1001</v>
      </c>
      <c r="Q204" s="31">
        <f>13330</f>
        <v>13330</v>
      </c>
      <c r="R204" s="32" t="s">
        <v>1001</v>
      </c>
      <c r="S204" s="33">
        <f>13330</f>
        <v>13330</v>
      </c>
      <c r="T204" s="30">
        <f>3</f>
        <v>3</v>
      </c>
      <c r="U204" s="30" t="str">
        <f t="shared" si="6"/>
        <v>－</v>
      </c>
      <c r="V204" s="30">
        <f>40180</f>
        <v>40180</v>
      </c>
      <c r="W204" s="30" t="str">
        <f t="shared" si="7"/>
        <v>－</v>
      </c>
      <c r="X204" s="34">
        <f>1</f>
        <v>1</v>
      </c>
    </row>
    <row r="205" spans="1:24" ht="13.5" customHeight="1" x14ac:dyDescent="0.15">
      <c r="A205" s="25" t="s">
        <v>994</v>
      </c>
      <c r="B205" s="25" t="s">
        <v>634</v>
      </c>
      <c r="C205" s="25" t="s">
        <v>635</v>
      </c>
      <c r="D205" s="25" t="s">
        <v>636</v>
      </c>
      <c r="E205" s="26" t="s">
        <v>45</v>
      </c>
      <c r="F205" s="27" t="s">
        <v>45</v>
      </c>
      <c r="G205" s="28" t="s">
        <v>45</v>
      </c>
      <c r="H205" s="29"/>
      <c r="I205" s="29" t="s">
        <v>567</v>
      </c>
      <c r="J205" s="30">
        <v>1</v>
      </c>
      <c r="K205" s="31">
        <f>9534</f>
        <v>9534</v>
      </c>
      <c r="L205" s="32" t="s">
        <v>995</v>
      </c>
      <c r="M205" s="31">
        <f>9534</f>
        <v>9534</v>
      </c>
      <c r="N205" s="32" t="s">
        <v>995</v>
      </c>
      <c r="O205" s="31">
        <f>9309</f>
        <v>9309</v>
      </c>
      <c r="P205" s="32" t="s">
        <v>255</v>
      </c>
      <c r="Q205" s="31">
        <f>9309</f>
        <v>9309</v>
      </c>
      <c r="R205" s="32" t="s">
        <v>255</v>
      </c>
      <c r="S205" s="33">
        <f>9474.75</f>
        <v>9474.75</v>
      </c>
      <c r="T205" s="30">
        <f>959</f>
        <v>959</v>
      </c>
      <c r="U205" s="30" t="str">
        <f t="shared" si="6"/>
        <v>－</v>
      </c>
      <c r="V205" s="30">
        <f>9120640</f>
        <v>9120640</v>
      </c>
      <c r="W205" s="30" t="str">
        <f t="shared" si="7"/>
        <v>－</v>
      </c>
      <c r="X205" s="34">
        <f>8</f>
        <v>8</v>
      </c>
    </row>
    <row r="206" spans="1:24" ht="13.5" customHeight="1" x14ac:dyDescent="0.15">
      <c r="A206" s="25" t="s">
        <v>994</v>
      </c>
      <c r="B206" s="25" t="s">
        <v>637</v>
      </c>
      <c r="C206" s="25" t="s">
        <v>638</v>
      </c>
      <c r="D206" s="25" t="s">
        <v>639</v>
      </c>
      <c r="E206" s="26" t="s">
        <v>45</v>
      </c>
      <c r="F206" s="27" t="s">
        <v>45</v>
      </c>
      <c r="G206" s="28" t="s">
        <v>45</v>
      </c>
      <c r="H206" s="29"/>
      <c r="I206" s="29" t="s">
        <v>567</v>
      </c>
      <c r="J206" s="30">
        <v>1</v>
      </c>
      <c r="K206" s="31">
        <f>10140</f>
        <v>10140</v>
      </c>
      <c r="L206" s="32" t="s">
        <v>995</v>
      </c>
      <c r="M206" s="31">
        <f>10310</f>
        <v>10310</v>
      </c>
      <c r="N206" s="32" t="s">
        <v>875</v>
      </c>
      <c r="O206" s="31">
        <f>9887</f>
        <v>9887</v>
      </c>
      <c r="P206" s="32" t="s">
        <v>1001</v>
      </c>
      <c r="Q206" s="31">
        <f>10080</f>
        <v>10080</v>
      </c>
      <c r="R206" s="32" t="s">
        <v>997</v>
      </c>
      <c r="S206" s="33">
        <f>10124.33</f>
        <v>10124.33</v>
      </c>
      <c r="T206" s="30">
        <f>31168</f>
        <v>31168</v>
      </c>
      <c r="U206" s="30" t="str">
        <f t="shared" si="6"/>
        <v>－</v>
      </c>
      <c r="V206" s="30">
        <f>315921725</f>
        <v>315921725</v>
      </c>
      <c r="W206" s="30" t="str">
        <f t="shared" si="7"/>
        <v>－</v>
      </c>
      <c r="X206" s="34">
        <f>18</f>
        <v>18</v>
      </c>
    </row>
    <row r="207" spans="1:24" ht="13.5" customHeight="1" x14ac:dyDescent="0.15">
      <c r="A207" s="25" t="s">
        <v>994</v>
      </c>
      <c r="B207" s="25" t="s">
        <v>640</v>
      </c>
      <c r="C207" s="25" t="s">
        <v>641</v>
      </c>
      <c r="D207" s="25" t="s">
        <v>642</v>
      </c>
      <c r="E207" s="26" t="s">
        <v>45</v>
      </c>
      <c r="F207" s="27" t="s">
        <v>45</v>
      </c>
      <c r="G207" s="28" t="s">
        <v>45</v>
      </c>
      <c r="H207" s="29"/>
      <c r="I207" s="29" t="s">
        <v>567</v>
      </c>
      <c r="J207" s="30">
        <v>1</v>
      </c>
      <c r="K207" s="31">
        <f>10235</f>
        <v>10235</v>
      </c>
      <c r="L207" s="32" t="s">
        <v>995</v>
      </c>
      <c r="M207" s="31">
        <f>10295</f>
        <v>10295</v>
      </c>
      <c r="N207" s="32" t="s">
        <v>1003</v>
      </c>
      <c r="O207" s="31">
        <f>10105</f>
        <v>10105</v>
      </c>
      <c r="P207" s="32" t="s">
        <v>255</v>
      </c>
      <c r="Q207" s="31">
        <f>10110</f>
        <v>10110</v>
      </c>
      <c r="R207" s="32" t="s">
        <v>255</v>
      </c>
      <c r="S207" s="33">
        <f>10234</f>
        <v>10234</v>
      </c>
      <c r="T207" s="30">
        <f>3731</f>
        <v>3731</v>
      </c>
      <c r="U207" s="30" t="str">
        <f t="shared" si="6"/>
        <v>－</v>
      </c>
      <c r="V207" s="30">
        <f>37952840</f>
        <v>37952840</v>
      </c>
      <c r="W207" s="30" t="str">
        <f t="shared" si="7"/>
        <v>－</v>
      </c>
      <c r="X207" s="34">
        <f>10</f>
        <v>10</v>
      </c>
    </row>
    <row r="208" spans="1:24" ht="13.5" customHeight="1" x14ac:dyDescent="0.15">
      <c r="A208" s="25" t="s">
        <v>994</v>
      </c>
      <c r="B208" s="25" t="s">
        <v>899</v>
      </c>
      <c r="C208" s="25" t="s">
        <v>900</v>
      </c>
      <c r="D208" s="25" t="s">
        <v>901</v>
      </c>
      <c r="E208" s="26" t="s">
        <v>45</v>
      </c>
      <c r="F208" s="27" t="s">
        <v>45</v>
      </c>
      <c r="G208" s="28" t="s">
        <v>45</v>
      </c>
      <c r="H208" s="29"/>
      <c r="I208" s="29" t="s">
        <v>567</v>
      </c>
      <c r="J208" s="30">
        <v>1</v>
      </c>
      <c r="K208" s="31">
        <f>10160</f>
        <v>10160</v>
      </c>
      <c r="L208" s="32" t="s">
        <v>875</v>
      </c>
      <c r="M208" s="31">
        <f>10160</f>
        <v>10160</v>
      </c>
      <c r="N208" s="32" t="s">
        <v>875</v>
      </c>
      <c r="O208" s="31">
        <f>9959</f>
        <v>9959</v>
      </c>
      <c r="P208" s="32" t="s">
        <v>792</v>
      </c>
      <c r="Q208" s="31">
        <f>9959</f>
        <v>9959</v>
      </c>
      <c r="R208" s="32" t="s">
        <v>792</v>
      </c>
      <c r="S208" s="33">
        <f>10042</f>
        <v>10042</v>
      </c>
      <c r="T208" s="30">
        <f>1004</f>
        <v>1004</v>
      </c>
      <c r="U208" s="30" t="str">
        <f t="shared" si="6"/>
        <v>－</v>
      </c>
      <c r="V208" s="30">
        <f>10180188</f>
        <v>10180188</v>
      </c>
      <c r="W208" s="30" t="str">
        <f t="shared" si="7"/>
        <v>－</v>
      </c>
      <c r="X208" s="34">
        <f>4</f>
        <v>4</v>
      </c>
    </row>
    <row r="209" spans="1:24" ht="13.5" customHeight="1" x14ac:dyDescent="0.15">
      <c r="A209" s="25" t="s">
        <v>994</v>
      </c>
      <c r="B209" s="25" t="s">
        <v>986</v>
      </c>
      <c r="C209" s="25" t="s">
        <v>987</v>
      </c>
      <c r="D209" s="25" t="s">
        <v>988</v>
      </c>
      <c r="E209" s="26" t="s">
        <v>45</v>
      </c>
      <c r="F209" s="27" t="s">
        <v>45</v>
      </c>
      <c r="G209" s="28" t="s">
        <v>45</v>
      </c>
      <c r="H209" s="29"/>
      <c r="I209" s="29" t="s">
        <v>46</v>
      </c>
      <c r="J209" s="30">
        <v>10</v>
      </c>
      <c r="K209" s="31">
        <f>1920</f>
        <v>1920</v>
      </c>
      <c r="L209" s="32" t="s">
        <v>995</v>
      </c>
      <c r="M209" s="31">
        <f>1984.5</f>
        <v>1984.5</v>
      </c>
      <c r="N209" s="32" t="s">
        <v>876</v>
      </c>
      <c r="O209" s="31">
        <f>1892</f>
        <v>1892</v>
      </c>
      <c r="P209" s="32" t="s">
        <v>999</v>
      </c>
      <c r="Q209" s="31">
        <f>1945.5</f>
        <v>1945.5</v>
      </c>
      <c r="R209" s="32" t="s">
        <v>997</v>
      </c>
      <c r="S209" s="33">
        <f>1940.18</f>
        <v>1940.18</v>
      </c>
      <c r="T209" s="30">
        <f>125210</f>
        <v>125210</v>
      </c>
      <c r="U209" s="30" t="str">
        <f t="shared" si="6"/>
        <v>－</v>
      </c>
      <c r="V209" s="30">
        <f>241741075</f>
        <v>241741075</v>
      </c>
      <c r="W209" s="30" t="str">
        <f t="shared" si="7"/>
        <v>－</v>
      </c>
      <c r="X209" s="34">
        <f>19</f>
        <v>19</v>
      </c>
    </row>
    <row r="210" spans="1:24" ht="13.5" customHeight="1" x14ac:dyDescent="0.15">
      <c r="A210" s="25" t="s">
        <v>994</v>
      </c>
      <c r="B210" s="25" t="s">
        <v>990</v>
      </c>
      <c r="C210" s="25" t="s">
        <v>991</v>
      </c>
      <c r="D210" s="25" t="s">
        <v>992</v>
      </c>
      <c r="E210" s="26" t="s">
        <v>45</v>
      </c>
      <c r="F210" s="27" t="s">
        <v>45</v>
      </c>
      <c r="G210" s="28" t="s">
        <v>45</v>
      </c>
      <c r="H210" s="29"/>
      <c r="I210" s="29" t="s">
        <v>46</v>
      </c>
      <c r="J210" s="30">
        <v>1</v>
      </c>
      <c r="K210" s="31">
        <f>982</f>
        <v>982</v>
      </c>
      <c r="L210" s="32" t="s">
        <v>995</v>
      </c>
      <c r="M210" s="31">
        <f>1020</f>
        <v>1020</v>
      </c>
      <c r="N210" s="32" t="s">
        <v>876</v>
      </c>
      <c r="O210" s="31">
        <f>977</f>
        <v>977</v>
      </c>
      <c r="P210" s="32" t="s">
        <v>999</v>
      </c>
      <c r="Q210" s="31">
        <f>1009</f>
        <v>1009</v>
      </c>
      <c r="R210" s="32" t="s">
        <v>997</v>
      </c>
      <c r="S210" s="33">
        <f>1000.58</f>
        <v>1000.58</v>
      </c>
      <c r="T210" s="30">
        <f>1182957</f>
        <v>1182957</v>
      </c>
      <c r="U210" s="30" t="str">
        <f t="shared" si="6"/>
        <v>－</v>
      </c>
      <c r="V210" s="30">
        <f>1175218618</f>
        <v>1175218618</v>
      </c>
      <c r="W210" s="30" t="str">
        <f t="shared" si="7"/>
        <v>－</v>
      </c>
      <c r="X210" s="34">
        <f>19</f>
        <v>19</v>
      </c>
    </row>
    <row r="211" spans="1:24" ht="13.5" customHeight="1" x14ac:dyDescent="0.15">
      <c r="A211" s="25" t="s">
        <v>994</v>
      </c>
      <c r="B211" s="25" t="s">
        <v>1006</v>
      </c>
      <c r="C211" s="25" t="s">
        <v>1007</v>
      </c>
      <c r="D211" s="25" t="s">
        <v>1008</v>
      </c>
      <c r="E211" s="26" t="s">
        <v>782</v>
      </c>
      <c r="F211" s="27" t="s">
        <v>783</v>
      </c>
      <c r="G211" s="28" t="s">
        <v>1009</v>
      </c>
      <c r="H211" s="29"/>
      <c r="I211" s="29" t="s">
        <v>46</v>
      </c>
      <c r="J211" s="30">
        <v>1</v>
      </c>
      <c r="K211" s="31">
        <f>51530</f>
        <v>51530</v>
      </c>
      <c r="L211" s="32" t="s">
        <v>995</v>
      </c>
      <c r="M211" s="31">
        <f>53970</f>
        <v>53970</v>
      </c>
      <c r="N211" s="32" t="s">
        <v>1000</v>
      </c>
      <c r="O211" s="31">
        <f>48480</f>
        <v>48480</v>
      </c>
      <c r="P211" s="32" t="s">
        <v>255</v>
      </c>
      <c r="Q211" s="31">
        <f>48760</f>
        <v>48760</v>
      </c>
      <c r="R211" s="32" t="s">
        <v>997</v>
      </c>
      <c r="S211" s="33">
        <f>51611.05</f>
        <v>51611.05</v>
      </c>
      <c r="T211" s="30">
        <f>15116</f>
        <v>15116</v>
      </c>
      <c r="U211" s="30" t="str">
        <f t="shared" si="6"/>
        <v>－</v>
      </c>
      <c r="V211" s="30">
        <f>796347190</f>
        <v>796347190</v>
      </c>
      <c r="W211" s="30" t="str">
        <f t="shared" si="7"/>
        <v>－</v>
      </c>
      <c r="X211" s="34">
        <f>19</f>
        <v>19</v>
      </c>
    </row>
    <row r="212" spans="1:24" ht="13.5" customHeight="1" x14ac:dyDescent="0.15">
      <c r="A212" s="25" t="s">
        <v>994</v>
      </c>
      <c r="B212" s="25" t="s">
        <v>1010</v>
      </c>
      <c r="C212" s="25" t="s">
        <v>1011</v>
      </c>
      <c r="D212" s="25" t="s">
        <v>1012</v>
      </c>
      <c r="E212" s="26" t="s">
        <v>782</v>
      </c>
      <c r="F212" s="27" t="s">
        <v>783</v>
      </c>
      <c r="G212" s="28" t="s">
        <v>1009</v>
      </c>
      <c r="H212" s="29"/>
      <c r="I212" s="29" t="s">
        <v>46</v>
      </c>
      <c r="J212" s="30">
        <v>1</v>
      </c>
      <c r="K212" s="31">
        <f>9684</f>
        <v>9684</v>
      </c>
      <c r="L212" s="32" t="s">
        <v>995</v>
      </c>
      <c r="M212" s="31">
        <f>9866</f>
        <v>9866</v>
      </c>
      <c r="N212" s="32" t="s">
        <v>255</v>
      </c>
      <c r="O212" s="31">
        <f>9326</f>
        <v>9326</v>
      </c>
      <c r="P212" s="32" t="s">
        <v>999</v>
      </c>
      <c r="Q212" s="31">
        <f>9835</f>
        <v>9835</v>
      </c>
      <c r="R212" s="32" t="s">
        <v>997</v>
      </c>
      <c r="S212" s="33">
        <f>9588.58</f>
        <v>9588.58</v>
      </c>
      <c r="T212" s="30">
        <f>145354</f>
        <v>145354</v>
      </c>
      <c r="U212" s="30">
        <f>32000</f>
        <v>32000</v>
      </c>
      <c r="V212" s="30">
        <f>1372533798</f>
        <v>1372533798</v>
      </c>
      <c r="W212" s="30">
        <f>303460066</f>
        <v>303460066</v>
      </c>
      <c r="X212" s="34">
        <f>19</f>
        <v>19</v>
      </c>
    </row>
    <row r="213" spans="1:24" ht="13.5" customHeight="1" x14ac:dyDescent="0.15">
      <c r="A213" s="25" t="s">
        <v>994</v>
      </c>
      <c r="B213" s="25" t="s">
        <v>643</v>
      </c>
      <c r="C213" s="25" t="s">
        <v>644</v>
      </c>
      <c r="D213" s="25" t="s">
        <v>645</v>
      </c>
      <c r="E213" s="26" t="s">
        <v>45</v>
      </c>
      <c r="F213" s="27" t="s">
        <v>45</v>
      </c>
      <c r="G213" s="28" t="s">
        <v>45</v>
      </c>
      <c r="H213" s="29"/>
      <c r="I213" s="29" t="s">
        <v>46</v>
      </c>
      <c r="J213" s="30">
        <v>10</v>
      </c>
      <c r="K213" s="31">
        <f>934.8</f>
        <v>934.8</v>
      </c>
      <c r="L213" s="32" t="s">
        <v>995</v>
      </c>
      <c r="M213" s="31">
        <f>941.3</f>
        <v>941.3</v>
      </c>
      <c r="N213" s="32" t="s">
        <v>997</v>
      </c>
      <c r="O213" s="31">
        <f>932.2</f>
        <v>932.2</v>
      </c>
      <c r="P213" s="32" t="s">
        <v>56</v>
      </c>
      <c r="Q213" s="31">
        <f>939.2</f>
        <v>939.2</v>
      </c>
      <c r="R213" s="32" t="s">
        <v>997</v>
      </c>
      <c r="S213" s="33">
        <f>936.57</f>
        <v>936.57</v>
      </c>
      <c r="T213" s="30">
        <f>4779670</f>
        <v>4779670</v>
      </c>
      <c r="U213" s="30">
        <f>4034870</f>
        <v>4034870</v>
      </c>
      <c r="V213" s="30">
        <f>4478916591</f>
        <v>4478916591</v>
      </c>
      <c r="W213" s="30">
        <f>3780634825</f>
        <v>3780634825</v>
      </c>
      <c r="X213" s="34">
        <f>19</f>
        <v>19</v>
      </c>
    </row>
    <row r="214" spans="1:24" ht="13.5" customHeight="1" x14ac:dyDescent="0.15">
      <c r="A214" s="25" t="s">
        <v>994</v>
      </c>
      <c r="B214" s="25" t="s">
        <v>646</v>
      </c>
      <c r="C214" s="25" t="s">
        <v>647</v>
      </c>
      <c r="D214" s="25" t="s">
        <v>648</v>
      </c>
      <c r="E214" s="26" t="s">
        <v>45</v>
      </c>
      <c r="F214" s="27" t="s">
        <v>45</v>
      </c>
      <c r="G214" s="28" t="s">
        <v>45</v>
      </c>
      <c r="H214" s="29"/>
      <c r="I214" s="29" t="s">
        <v>46</v>
      </c>
      <c r="J214" s="30">
        <v>10</v>
      </c>
      <c r="K214" s="31">
        <f>962.5</f>
        <v>962.5</v>
      </c>
      <c r="L214" s="32" t="s">
        <v>995</v>
      </c>
      <c r="M214" s="31">
        <f>978.1</f>
        <v>978.1</v>
      </c>
      <c r="N214" s="32" t="s">
        <v>997</v>
      </c>
      <c r="O214" s="31">
        <f>955.1</f>
        <v>955.1</v>
      </c>
      <c r="P214" s="32" t="s">
        <v>999</v>
      </c>
      <c r="Q214" s="31">
        <f>973.6</f>
        <v>973.6</v>
      </c>
      <c r="R214" s="32" t="s">
        <v>997</v>
      </c>
      <c r="S214" s="33">
        <f>967.42</f>
        <v>967.42</v>
      </c>
      <c r="T214" s="30">
        <f>2088690</f>
        <v>2088690</v>
      </c>
      <c r="U214" s="30">
        <f>1452810</f>
        <v>1452810</v>
      </c>
      <c r="V214" s="30">
        <f>2021306029</f>
        <v>2021306029</v>
      </c>
      <c r="W214" s="30">
        <f>1406968856</f>
        <v>1406968856</v>
      </c>
      <c r="X214" s="34">
        <f>19</f>
        <v>19</v>
      </c>
    </row>
    <row r="215" spans="1:24" ht="13.5" customHeight="1" x14ac:dyDescent="0.15">
      <c r="A215" s="25" t="s">
        <v>994</v>
      </c>
      <c r="B215" s="25" t="s">
        <v>649</v>
      </c>
      <c r="C215" s="25" t="s">
        <v>650</v>
      </c>
      <c r="D215" s="25" t="s">
        <v>651</v>
      </c>
      <c r="E215" s="26" t="s">
        <v>45</v>
      </c>
      <c r="F215" s="27" t="s">
        <v>45</v>
      </c>
      <c r="G215" s="28" t="s">
        <v>45</v>
      </c>
      <c r="H215" s="29"/>
      <c r="I215" s="29" t="s">
        <v>46</v>
      </c>
      <c r="J215" s="30">
        <v>10</v>
      </c>
      <c r="K215" s="31">
        <f>843.3</f>
        <v>843.3</v>
      </c>
      <c r="L215" s="32" t="s">
        <v>995</v>
      </c>
      <c r="M215" s="31">
        <f>856.9</f>
        <v>856.9</v>
      </c>
      <c r="N215" s="32" t="s">
        <v>996</v>
      </c>
      <c r="O215" s="31">
        <f>825.7</f>
        <v>825.7</v>
      </c>
      <c r="P215" s="32" t="s">
        <v>997</v>
      </c>
      <c r="Q215" s="31">
        <f>826</f>
        <v>826</v>
      </c>
      <c r="R215" s="32" t="s">
        <v>997</v>
      </c>
      <c r="S215" s="33">
        <f>838.64</f>
        <v>838.64</v>
      </c>
      <c r="T215" s="30">
        <f>9946340</f>
        <v>9946340</v>
      </c>
      <c r="U215" s="30">
        <f>9449210</f>
        <v>9449210</v>
      </c>
      <c r="V215" s="30">
        <f>8236342759</f>
        <v>8236342759</v>
      </c>
      <c r="W215" s="30">
        <f>7815983334</f>
        <v>7815983334</v>
      </c>
      <c r="X215" s="34">
        <f>19</f>
        <v>19</v>
      </c>
    </row>
    <row r="216" spans="1:24" ht="13.5" customHeight="1" x14ac:dyDescent="0.15">
      <c r="A216" s="25" t="s">
        <v>994</v>
      </c>
      <c r="B216" s="25" t="s">
        <v>652</v>
      </c>
      <c r="C216" s="25" t="s">
        <v>653</v>
      </c>
      <c r="D216" s="25" t="s">
        <v>654</v>
      </c>
      <c r="E216" s="26" t="s">
        <v>45</v>
      </c>
      <c r="F216" s="27" t="s">
        <v>45</v>
      </c>
      <c r="G216" s="28" t="s">
        <v>45</v>
      </c>
      <c r="H216" s="29"/>
      <c r="I216" s="29" t="s">
        <v>46</v>
      </c>
      <c r="J216" s="30">
        <v>10</v>
      </c>
      <c r="K216" s="31">
        <f>1650.5</f>
        <v>1650.5</v>
      </c>
      <c r="L216" s="32" t="s">
        <v>995</v>
      </c>
      <c r="M216" s="31">
        <f>1733.5</f>
        <v>1733.5</v>
      </c>
      <c r="N216" s="32" t="s">
        <v>876</v>
      </c>
      <c r="O216" s="31">
        <f>1645</f>
        <v>1645</v>
      </c>
      <c r="P216" s="32" t="s">
        <v>995</v>
      </c>
      <c r="Q216" s="31">
        <f>1694</f>
        <v>1694</v>
      </c>
      <c r="R216" s="32" t="s">
        <v>997</v>
      </c>
      <c r="S216" s="33">
        <f>1688.5</f>
        <v>1688.5</v>
      </c>
      <c r="T216" s="30">
        <f>2218920</f>
        <v>2218920</v>
      </c>
      <c r="U216" s="30">
        <f>1681580</f>
        <v>1681580</v>
      </c>
      <c r="V216" s="30">
        <f>3769849061</f>
        <v>3769849061</v>
      </c>
      <c r="W216" s="30">
        <f>2859026576</f>
        <v>2859026576</v>
      </c>
      <c r="X216" s="34">
        <f>19</f>
        <v>19</v>
      </c>
    </row>
    <row r="217" spans="1:24" ht="13.5" customHeight="1" x14ac:dyDescent="0.15">
      <c r="A217" s="25" t="s">
        <v>994</v>
      </c>
      <c r="B217" s="25" t="s">
        <v>655</v>
      </c>
      <c r="C217" s="25" t="s">
        <v>656</v>
      </c>
      <c r="D217" s="25" t="s">
        <v>657</v>
      </c>
      <c r="E217" s="26" t="s">
        <v>45</v>
      </c>
      <c r="F217" s="27" t="s">
        <v>45</v>
      </c>
      <c r="G217" s="28" t="s">
        <v>45</v>
      </c>
      <c r="H217" s="29"/>
      <c r="I217" s="29" t="s">
        <v>46</v>
      </c>
      <c r="J217" s="30">
        <v>10</v>
      </c>
      <c r="K217" s="31">
        <f>1348</f>
        <v>1348</v>
      </c>
      <c r="L217" s="32" t="s">
        <v>995</v>
      </c>
      <c r="M217" s="31">
        <f>1381.5</f>
        <v>1381.5</v>
      </c>
      <c r="N217" s="32" t="s">
        <v>876</v>
      </c>
      <c r="O217" s="31">
        <f>1326</f>
        <v>1326</v>
      </c>
      <c r="P217" s="32" t="s">
        <v>255</v>
      </c>
      <c r="Q217" s="31">
        <f>1332</f>
        <v>1332</v>
      </c>
      <c r="R217" s="32" t="s">
        <v>997</v>
      </c>
      <c r="S217" s="33">
        <f>1358.45</f>
        <v>1358.45</v>
      </c>
      <c r="T217" s="30">
        <f>2496930</f>
        <v>2496930</v>
      </c>
      <c r="U217" s="30">
        <f>2265330</f>
        <v>2265330</v>
      </c>
      <c r="V217" s="30">
        <f>3342399776</f>
        <v>3342399776</v>
      </c>
      <c r="W217" s="30">
        <f>3028588381</f>
        <v>3028588381</v>
      </c>
      <c r="X217" s="34">
        <f>19</f>
        <v>19</v>
      </c>
    </row>
    <row r="218" spans="1:24" ht="13.5" customHeight="1" x14ac:dyDescent="0.15">
      <c r="A218" s="25" t="s">
        <v>994</v>
      </c>
      <c r="B218" s="25" t="s">
        <v>658</v>
      </c>
      <c r="C218" s="25" t="s">
        <v>659</v>
      </c>
      <c r="D218" s="25" t="s">
        <v>660</v>
      </c>
      <c r="E218" s="26" t="s">
        <v>45</v>
      </c>
      <c r="F218" s="27" t="s">
        <v>45</v>
      </c>
      <c r="G218" s="28" t="s">
        <v>45</v>
      </c>
      <c r="H218" s="29"/>
      <c r="I218" s="29" t="s">
        <v>46</v>
      </c>
      <c r="J218" s="30">
        <v>10</v>
      </c>
      <c r="K218" s="31">
        <f>1210</f>
        <v>1210</v>
      </c>
      <c r="L218" s="32" t="s">
        <v>995</v>
      </c>
      <c r="M218" s="31">
        <f>1256</f>
        <v>1256</v>
      </c>
      <c r="N218" s="32" t="s">
        <v>792</v>
      </c>
      <c r="O218" s="31">
        <f>1201.5</f>
        <v>1201.5</v>
      </c>
      <c r="P218" s="32" t="s">
        <v>999</v>
      </c>
      <c r="Q218" s="31">
        <f>1206.5</f>
        <v>1206.5</v>
      </c>
      <c r="R218" s="32" t="s">
        <v>997</v>
      </c>
      <c r="S218" s="33">
        <f>1216.79</f>
        <v>1216.79</v>
      </c>
      <c r="T218" s="30">
        <f>485000</f>
        <v>485000</v>
      </c>
      <c r="U218" s="30">
        <f>53580</f>
        <v>53580</v>
      </c>
      <c r="V218" s="30">
        <f>595048705</f>
        <v>595048705</v>
      </c>
      <c r="W218" s="30">
        <f>65043375</f>
        <v>65043375</v>
      </c>
      <c r="X218" s="34">
        <f>19</f>
        <v>19</v>
      </c>
    </row>
    <row r="219" spans="1:24" ht="13.5" customHeight="1" x14ac:dyDescent="0.15">
      <c r="A219" s="25" t="s">
        <v>994</v>
      </c>
      <c r="B219" s="25" t="s">
        <v>661</v>
      </c>
      <c r="C219" s="25" t="s">
        <v>662</v>
      </c>
      <c r="D219" s="25" t="s">
        <v>663</v>
      </c>
      <c r="E219" s="26" t="s">
        <v>45</v>
      </c>
      <c r="F219" s="27" t="s">
        <v>45</v>
      </c>
      <c r="G219" s="28" t="s">
        <v>45</v>
      </c>
      <c r="H219" s="29"/>
      <c r="I219" s="29" t="s">
        <v>46</v>
      </c>
      <c r="J219" s="30">
        <v>10</v>
      </c>
      <c r="K219" s="31">
        <f>600.9</f>
        <v>600.9</v>
      </c>
      <c r="L219" s="32" t="s">
        <v>995</v>
      </c>
      <c r="M219" s="31">
        <f>612.8</f>
        <v>612.79999999999995</v>
      </c>
      <c r="N219" s="32" t="s">
        <v>1004</v>
      </c>
      <c r="O219" s="31">
        <f>567.9</f>
        <v>567.9</v>
      </c>
      <c r="P219" s="32" t="s">
        <v>255</v>
      </c>
      <c r="Q219" s="31">
        <f>577.8</f>
        <v>577.79999999999995</v>
      </c>
      <c r="R219" s="32" t="s">
        <v>997</v>
      </c>
      <c r="S219" s="33">
        <f>594.24</f>
        <v>594.24</v>
      </c>
      <c r="T219" s="30">
        <f>17214070</f>
        <v>17214070</v>
      </c>
      <c r="U219" s="30">
        <f>22400</f>
        <v>22400</v>
      </c>
      <c r="V219" s="30">
        <f>10242039094</f>
        <v>10242039094</v>
      </c>
      <c r="W219" s="30">
        <f>13253551</f>
        <v>13253551</v>
      </c>
      <c r="X219" s="34">
        <f>19</f>
        <v>19</v>
      </c>
    </row>
    <row r="220" spans="1:24" ht="13.5" customHeight="1" x14ac:dyDescent="0.15">
      <c r="A220" s="25" t="s">
        <v>994</v>
      </c>
      <c r="B220" s="25" t="s">
        <v>664</v>
      </c>
      <c r="C220" s="25" t="s">
        <v>665</v>
      </c>
      <c r="D220" s="25" t="s">
        <v>666</v>
      </c>
      <c r="E220" s="26" t="s">
        <v>45</v>
      </c>
      <c r="F220" s="27" t="s">
        <v>45</v>
      </c>
      <c r="G220" s="28" t="s">
        <v>45</v>
      </c>
      <c r="H220" s="29"/>
      <c r="I220" s="29" t="s">
        <v>46</v>
      </c>
      <c r="J220" s="30">
        <v>10</v>
      </c>
      <c r="K220" s="31">
        <f>1105.5</f>
        <v>1105.5</v>
      </c>
      <c r="L220" s="32" t="s">
        <v>995</v>
      </c>
      <c r="M220" s="31">
        <f>1109.5</f>
        <v>1109.5</v>
      </c>
      <c r="N220" s="32" t="s">
        <v>1000</v>
      </c>
      <c r="O220" s="31">
        <f>1076.5</f>
        <v>1076.5</v>
      </c>
      <c r="P220" s="32" t="s">
        <v>1002</v>
      </c>
      <c r="Q220" s="31">
        <f>1105</f>
        <v>1105</v>
      </c>
      <c r="R220" s="32" t="s">
        <v>997</v>
      </c>
      <c r="S220" s="33">
        <f>1091.66</f>
        <v>1091.6600000000001</v>
      </c>
      <c r="T220" s="30">
        <f>109090</f>
        <v>109090</v>
      </c>
      <c r="U220" s="30">
        <f>93100</f>
        <v>93100</v>
      </c>
      <c r="V220" s="30">
        <f>120437507</f>
        <v>120437507</v>
      </c>
      <c r="W220" s="30">
        <f>102954932</f>
        <v>102954932</v>
      </c>
      <c r="X220" s="34">
        <f>19</f>
        <v>19</v>
      </c>
    </row>
    <row r="221" spans="1:24" ht="13.5" customHeight="1" x14ac:dyDescent="0.15">
      <c r="A221" s="25" t="s">
        <v>994</v>
      </c>
      <c r="B221" s="25" t="s">
        <v>667</v>
      </c>
      <c r="C221" s="25" t="s">
        <v>668</v>
      </c>
      <c r="D221" s="25" t="s">
        <v>669</v>
      </c>
      <c r="E221" s="26" t="s">
        <v>45</v>
      </c>
      <c r="F221" s="27" t="s">
        <v>45</v>
      </c>
      <c r="G221" s="28" t="s">
        <v>45</v>
      </c>
      <c r="H221" s="29"/>
      <c r="I221" s="29" t="s">
        <v>46</v>
      </c>
      <c r="J221" s="30">
        <v>1</v>
      </c>
      <c r="K221" s="31">
        <f>1083</f>
        <v>1083</v>
      </c>
      <c r="L221" s="32" t="s">
        <v>995</v>
      </c>
      <c r="M221" s="31">
        <f>1093</f>
        <v>1093</v>
      </c>
      <c r="N221" s="32" t="s">
        <v>875</v>
      </c>
      <c r="O221" s="31">
        <f>1070</f>
        <v>1070</v>
      </c>
      <c r="P221" s="32" t="s">
        <v>996</v>
      </c>
      <c r="Q221" s="31">
        <f>1083</f>
        <v>1083</v>
      </c>
      <c r="R221" s="32" t="s">
        <v>997</v>
      </c>
      <c r="S221" s="33">
        <f>1082.21</f>
        <v>1082.21</v>
      </c>
      <c r="T221" s="30">
        <f>104104</f>
        <v>104104</v>
      </c>
      <c r="U221" s="30">
        <f>46000</f>
        <v>46000</v>
      </c>
      <c r="V221" s="30">
        <f>112506850</f>
        <v>112506850</v>
      </c>
      <c r="W221" s="30">
        <f>49289000</f>
        <v>49289000</v>
      </c>
      <c r="X221" s="34">
        <f>19</f>
        <v>19</v>
      </c>
    </row>
    <row r="222" spans="1:24" ht="13.5" customHeight="1" x14ac:dyDescent="0.15">
      <c r="A222" s="25" t="s">
        <v>994</v>
      </c>
      <c r="B222" s="25" t="s">
        <v>670</v>
      </c>
      <c r="C222" s="25" t="s">
        <v>671</v>
      </c>
      <c r="D222" s="25" t="s">
        <v>672</v>
      </c>
      <c r="E222" s="26" t="s">
        <v>45</v>
      </c>
      <c r="F222" s="27" t="s">
        <v>45</v>
      </c>
      <c r="G222" s="28" t="s">
        <v>45</v>
      </c>
      <c r="H222" s="29"/>
      <c r="I222" s="29" t="s">
        <v>46</v>
      </c>
      <c r="J222" s="30">
        <v>10</v>
      </c>
      <c r="K222" s="31">
        <f>901.6</f>
        <v>901.6</v>
      </c>
      <c r="L222" s="32" t="s">
        <v>995</v>
      </c>
      <c r="M222" s="31">
        <f>923</f>
        <v>923</v>
      </c>
      <c r="N222" s="32" t="s">
        <v>78</v>
      </c>
      <c r="O222" s="31">
        <f>892.2</f>
        <v>892.2</v>
      </c>
      <c r="P222" s="32" t="s">
        <v>56</v>
      </c>
      <c r="Q222" s="31">
        <f>914.8</f>
        <v>914.8</v>
      </c>
      <c r="R222" s="32" t="s">
        <v>997</v>
      </c>
      <c r="S222" s="33">
        <f>903.93</f>
        <v>903.93</v>
      </c>
      <c r="T222" s="30">
        <f>192600</f>
        <v>192600</v>
      </c>
      <c r="U222" s="30">
        <f>53870</f>
        <v>53870</v>
      </c>
      <c r="V222" s="30">
        <f>175143559</f>
        <v>175143559</v>
      </c>
      <c r="W222" s="30">
        <f>49234391</f>
        <v>49234391</v>
      </c>
      <c r="X222" s="34">
        <f>19</f>
        <v>19</v>
      </c>
    </row>
    <row r="223" spans="1:24" ht="13.5" customHeight="1" x14ac:dyDescent="0.15">
      <c r="A223" s="25" t="s">
        <v>994</v>
      </c>
      <c r="B223" s="25" t="s">
        <v>673</v>
      </c>
      <c r="C223" s="25" t="s">
        <v>674</v>
      </c>
      <c r="D223" s="25" t="s">
        <v>675</v>
      </c>
      <c r="E223" s="26" t="s">
        <v>45</v>
      </c>
      <c r="F223" s="27" t="s">
        <v>45</v>
      </c>
      <c r="G223" s="28" t="s">
        <v>45</v>
      </c>
      <c r="H223" s="29"/>
      <c r="I223" s="29" t="s">
        <v>46</v>
      </c>
      <c r="J223" s="30">
        <v>10</v>
      </c>
      <c r="K223" s="31">
        <f>1184</f>
        <v>1184</v>
      </c>
      <c r="L223" s="32" t="s">
        <v>995</v>
      </c>
      <c r="M223" s="31">
        <f>1188.5</f>
        <v>1188.5</v>
      </c>
      <c r="N223" s="32" t="s">
        <v>999</v>
      </c>
      <c r="O223" s="31">
        <f>1140.5</f>
        <v>1140.5</v>
      </c>
      <c r="P223" s="32" t="s">
        <v>997</v>
      </c>
      <c r="Q223" s="31">
        <f>1141.5</f>
        <v>1141.5</v>
      </c>
      <c r="R223" s="32" t="s">
        <v>997</v>
      </c>
      <c r="S223" s="33">
        <f>1167.21</f>
        <v>1167.21</v>
      </c>
      <c r="T223" s="30">
        <f>90420</f>
        <v>90420</v>
      </c>
      <c r="U223" s="30">
        <f>36660</f>
        <v>36660</v>
      </c>
      <c r="V223" s="30">
        <f>104926157</f>
        <v>104926157</v>
      </c>
      <c r="W223" s="30">
        <f>42121647</f>
        <v>42121647</v>
      </c>
      <c r="X223" s="34">
        <f>19</f>
        <v>19</v>
      </c>
    </row>
    <row r="224" spans="1:24" ht="13.5" customHeight="1" x14ac:dyDescent="0.15">
      <c r="A224" s="25" t="s">
        <v>994</v>
      </c>
      <c r="B224" s="25" t="s">
        <v>676</v>
      </c>
      <c r="C224" s="25" t="s">
        <v>677</v>
      </c>
      <c r="D224" s="25" t="s">
        <v>678</v>
      </c>
      <c r="E224" s="26" t="s">
        <v>45</v>
      </c>
      <c r="F224" s="27" t="s">
        <v>45</v>
      </c>
      <c r="G224" s="28" t="s">
        <v>45</v>
      </c>
      <c r="H224" s="29"/>
      <c r="I224" s="29" t="s">
        <v>46</v>
      </c>
      <c r="J224" s="30">
        <v>10</v>
      </c>
      <c r="K224" s="31">
        <f>1359.5</f>
        <v>1359.5</v>
      </c>
      <c r="L224" s="32" t="s">
        <v>995</v>
      </c>
      <c r="M224" s="31">
        <f>1391</f>
        <v>1391</v>
      </c>
      <c r="N224" s="32" t="s">
        <v>1000</v>
      </c>
      <c r="O224" s="31">
        <f>1321.5</f>
        <v>1321.5</v>
      </c>
      <c r="P224" s="32" t="s">
        <v>255</v>
      </c>
      <c r="Q224" s="31">
        <f>1326.5</f>
        <v>1326.5</v>
      </c>
      <c r="R224" s="32" t="s">
        <v>997</v>
      </c>
      <c r="S224" s="33">
        <f>1362.74</f>
        <v>1362.74</v>
      </c>
      <c r="T224" s="30">
        <f>6689700</f>
        <v>6689700</v>
      </c>
      <c r="U224" s="30">
        <f>2034800</f>
        <v>2034800</v>
      </c>
      <c r="V224" s="30">
        <f>9074163067</f>
        <v>9074163067</v>
      </c>
      <c r="W224" s="30">
        <f>2715748382</f>
        <v>2715748382</v>
      </c>
      <c r="X224" s="34">
        <f>19</f>
        <v>19</v>
      </c>
    </row>
    <row r="225" spans="1:24" ht="13.5" customHeight="1" x14ac:dyDescent="0.15">
      <c r="A225" s="25" t="s">
        <v>994</v>
      </c>
      <c r="B225" s="25" t="s">
        <v>679</v>
      </c>
      <c r="C225" s="25" t="s">
        <v>680</v>
      </c>
      <c r="D225" s="25" t="s">
        <v>681</v>
      </c>
      <c r="E225" s="26" t="s">
        <v>45</v>
      </c>
      <c r="F225" s="27" t="s">
        <v>45</v>
      </c>
      <c r="G225" s="28" t="s">
        <v>45</v>
      </c>
      <c r="H225" s="29"/>
      <c r="I225" s="29" t="s">
        <v>46</v>
      </c>
      <c r="J225" s="30">
        <v>1</v>
      </c>
      <c r="K225" s="31">
        <f>3625</f>
        <v>3625</v>
      </c>
      <c r="L225" s="32" t="s">
        <v>995</v>
      </c>
      <c r="M225" s="31">
        <f>3920</f>
        <v>3920</v>
      </c>
      <c r="N225" s="32" t="s">
        <v>876</v>
      </c>
      <c r="O225" s="31">
        <f>3625</f>
        <v>3625</v>
      </c>
      <c r="P225" s="32" t="s">
        <v>995</v>
      </c>
      <c r="Q225" s="31">
        <f>3840</f>
        <v>3840</v>
      </c>
      <c r="R225" s="32" t="s">
        <v>997</v>
      </c>
      <c r="S225" s="33">
        <f>3792.37</f>
        <v>3792.37</v>
      </c>
      <c r="T225" s="30">
        <f>85416</f>
        <v>85416</v>
      </c>
      <c r="U225" s="30" t="str">
        <f>"－"</f>
        <v>－</v>
      </c>
      <c r="V225" s="30">
        <f>322405600</f>
        <v>322405600</v>
      </c>
      <c r="W225" s="30" t="str">
        <f>"－"</f>
        <v>－</v>
      </c>
      <c r="X225" s="34">
        <f>19</f>
        <v>19</v>
      </c>
    </row>
    <row r="226" spans="1:24" ht="13.5" customHeight="1" x14ac:dyDescent="0.15">
      <c r="A226" s="25" t="s">
        <v>994</v>
      </c>
      <c r="B226" s="25" t="s">
        <v>682</v>
      </c>
      <c r="C226" s="25" t="s">
        <v>683</v>
      </c>
      <c r="D226" s="25" t="s">
        <v>684</v>
      </c>
      <c r="E226" s="26" t="s">
        <v>45</v>
      </c>
      <c r="F226" s="27" t="s">
        <v>45</v>
      </c>
      <c r="G226" s="28" t="s">
        <v>45</v>
      </c>
      <c r="H226" s="29"/>
      <c r="I226" s="29" t="s">
        <v>46</v>
      </c>
      <c r="J226" s="30">
        <v>10</v>
      </c>
      <c r="K226" s="31">
        <f>1649.5</f>
        <v>1649.5</v>
      </c>
      <c r="L226" s="32" t="s">
        <v>56</v>
      </c>
      <c r="M226" s="31">
        <f>1673</f>
        <v>1673</v>
      </c>
      <c r="N226" s="32" t="s">
        <v>997</v>
      </c>
      <c r="O226" s="31">
        <f>1603</f>
        <v>1603</v>
      </c>
      <c r="P226" s="32" t="s">
        <v>255</v>
      </c>
      <c r="Q226" s="31">
        <f>1673</f>
        <v>1673</v>
      </c>
      <c r="R226" s="32" t="s">
        <v>997</v>
      </c>
      <c r="S226" s="33">
        <f>1653</f>
        <v>1653</v>
      </c>
      <c r="T226" s="30">
        <f>150</f>
        <v>150</v>
      </c>
      <c r="U226" s="30" t="str">
        <f>"－"</f>
        <v>－</v>
      </c>
      <c r="V226" s="30">
        <f>248175</f>
        <v>248175</v>
      </c>
      <c r="W226" s="30" t="str">
        <f>"－"</f>
        <v>－</v>
      </c>
      <c r="X226" s="34">
        <f>8</f>
        <v>8</v>
      </c>
    </row>
    <row r="227" spans="1:24" ht="13.5" customHeight="1" x14ac:dyDescent="0.15">
      <c r="A227" s="25" t="s">
        <v>994</v>
      </c>
      <c r="B227" s="25" t="s">
        <v>685</v>
      </c>
      <c r="C227" s="25" t="s">
        <v>686</v>
      </c>
      <c r="D227" s="25" t="s">
        <v>687</v>
      </c>
      <c r="E227" s="26" t="s">
        <v>45</v>
      </c>
      <c r="F227" s="27" t="s">
        <v>45</v>
      </c>
      <c r="G227" s="28" t="s">
        <v>45</v>
      </c>
      <c r="H227" s="29"/>
      <c r="I227" s="29" t="s">
        <v>46</v>
      </c>
      <c r="J227" s="30">
        <v>10</v>
      </c>
      <c r="K227" s="31">
        <f>2020</f>
        <v>2020</v>
      </c>
      <c r="L227" s="32" t="s">
        <v>996</v>
      </c>
      <c r="M227" s="31">
        <f>2042.5</f>
        <v>2042.5</v>
      </c>
      <c r="N227" s="32" t="s">
        <v>78</v>
      </c>
      <c r="O227" s="31">
        <f>2015.5</f>
        <v>2015.5</v>
      </c>
      <c r="P227" s="32" t="s">
        <v>793</v>
      </c>
      <c r="Q227" s="31">
        <f>2032</f>
        <v>2032</v>
      </c>
      <c r="R227" s="32" t="s">
        <v>997</v>
      </c>
      <c r="S227" s="33">
        <f>2029.95</f>
        <v>2029.95</v>
      </c>
      <c r="T227" s="30">
        <f>65710</f>
        <v>65710</v>
      </c>
      <c r="U227" s="30" t="str">
        <f>"－"</f>
        <v>－</v>
      </c>
      <c r="V227" s="30">
        <f>133585005</f>
        <v>133585005</v>
      </c>
      <c r="W227" s="30" t="str">
        <f>"－"</f>
        <v>－</v>
      </c>
      <c r="X227" s="34">
        <f>10</f>
        <v>10</v>
      </c>
    </row>
    <row r="228" spans="1:24" ht="13.5" customHeight="1" x14ac:dyDescent="0.15">
      <c r="A228" s="25" t="s">
        <v>994</v>
      </c>
      <c r="B228" s="25" t="s">
        <v>688</v>
      </c>
      <c r="C228" s="25" t="s">
        <v>689</v>
      </c>
      <c r="D228" s="25" t="s">
        <v>690</v>
      </c>
      <c r="E228" s="26" t="s">
        <v>45</v>
      </c>
      <c r="F228" s="27" t="s">
        <v>45</v>
      </c>
      <c r="G228" s="28" t="s">
        <v>45</v>
      </c>
      <c r="H228" s="29"/>
      <c r="I228" s="29" t="s">
        <v>46</v>
      </c>
      <c r="J228" s="30">
        <v>1</v>
      </c>
      <c r="K228" s="31">
        <f>28020</f>
        <v>28020</v>
      </c>
      <c r="L228" s="32" t="s">
        <v>995</v>
      </c>
      <c r="M228" s="31">
        <f>28480</f>
        <v>28480</v>
      </c>
      <c r="N228" s="32" t="s">
        <v>255</v>
      </c>
      <c r="O228" s="31">
        <f>27320</f>
        <v>27320</v>
      </c>
      <c r="P228" s="32" t="s">
        <v>1001</v>
      </c>
      <c r="Q228" s="31">
        <f>27685</f>
        <v>27685</v>
      </c>
      <c r="R228" s="32" t="s">
        <v>997</v>
      </c>
      <c r="S228" s="33">
        <f>27836.25</f>
        <v>27836.25</v>
      </c>
      <c r="T228" s="30">
        <f>36584</f>
        <v>36584</v>
      </c>
      <c r="U228" s="30">
        <f>24000</f>
        <v>24000</v>
      </c>
      <c r="V228" s="30">
        <f>1027404750</f>
        <v>1027404750</v>
      </c>
      <c r="W228" s="30">
        <f>678384000</f>
        <v>678384000</v>
      </c>
      <c r="X228" s="34">
        <f>12</f>
        <v>12</v>
      </c>
    </row>
    <row r="229" spans="1:24" ht="13.5" customHeight="1" x14ac:dyDescent="0.15">
      <c r="A229" s="25" t="s">
        <v>994</v>
      </c>
      <c r="B229" s="25" t="s">
        <v>691</v>
      </c>
      <c r="C229" s="25" t="s">
        <v>692</v>
      </c>
      <c r="D229" s="25" t="s">
        <v>693</v>
      </c>
      <c r="E229" s="26" t="s">
        <v>45</v>
      </c>
      <c r="F229" s="27" t="s">
        <v>45</v>
      </c>
      <c r="G229" s="28" t="s">
        <v>45</v>
      </c>
      <c r="H229" s="29"/>
      <c r="I229" s="29" t="s">
        <v>46</v>
      </c>
      <c r="J229" s="30">
        <v>1</v>
      </c>
      <c r="K229" s="31">
        <f>18320</f>
        <v>18320</v>
      </c>
      <c r="L229" s="32" t="s">
        <v>1003</v>
      </c>
      <c r="M229" s="31">
        <f>18420</f>
        <v>18420</v>
      </c>
      <c r="N229" s="32" t="s">
        <v>875</v>
      </c>
      <c r="O229" s="31">
        <f>18100</f>
        <v>18100</v>
      </c>
      <c r="P229" s="32" t="s">
        <v>793</v>
      </c>
      <c r="Q229" s="31">
        <f>18170</f>
        <v>18170</v>
      </c>
      <c r="R229" s="32" t="s">
        <v>997</v>
      </c>
      <c r="S229" s="33">
        <f>18215</f>
        <v>18215</v>
      </c>
      <c r="T229" s="30">
        <f>1394</f>
        <v>1394</v>
      </c>
      <c r="U229" s="30" t="str">
        <f>"－"</f>
        <v>－</v>
      </c>
      <c r="V229" s="30">
        <f>25376345</f>
        <v>25376345</v>
      </c>
      <c r="W229" s="30" t="str">
        <f>"－"</f>
        <v>－</v>
      </c>
      <c r="X229" s="34">
        <f>8</f>
        <v>8</v>
      </c>
    </row>
    <row r="230" spans="1:24" ht="13.5" customHeight="1" x14ac:dyDescent="0.15">
      <c r="A230" s="25" t="s">
        <v>994</v>
      </c>
      <c r="B230" s="25" t="s">
        <v>694</v>
      </c>
      <c r="C230" s="25" t="s">
        <v>695</v>
      </c>
      <c r="D230" s="25" t="s">
        <v>696</v>
      </c>
      <c r="E230" s="26" t="s">
        <v>45</v>
      </c>
      <c r="F230" s="27" t="s">
        <v>45</v>
      </c>
      <c r="G230" s="28" t="s">
        <v>45</v>
      </c>
      <c r="H230" s="29"/>
      <c r="I230" s="29" t="s">
        <v>46</v>
      </c>
      <c r="J230" s="30">
        <v>10</v>
      </c>
      <c r="K230" s="31">
        <f>1093.5</f>
        <v>1093.5</v>
      </c>
      <c r="L230" s="32" t="s">
        <v>996</v>
      </c>
      <c r="M230" s="31">
        <f>1107.5</f>
        <v>1107.5</v>
      </c>
      <c r="N230" s="32" t="s">
        <v>255</v>
      </c>
      <c r="O230" s="31">
        <f>1081</f>
        <v>1081</v>
      </c>
      <c r="P230" s="32" t="s">
        <v>1002</v>
      </c>
      <c r="Q230" s="31">
        <f>1105.5</f>
        <v>1105.5</v>
      </c>
      <c r="R230" s="32" t="s">
        <v>997</v>
      </c>
      <c r="S230" s="33">
        <f>1095.08</f>
        <v>1095.08</v>
      </c>
      <c r="T230" s="30">
        <f>169670</f>
        <v>169670</v>
      </c>
      <c r="U230" s="30">
        <f>20000</f>
        <v>20000</v>
      </c>
      <c r="V230" s="30">
        <f>184318550</f>
        <v>184318550</v>
      </c>
      <c r="W230" s="30">
        <f>22218000</f>
        <v>22218000</v>
      </c>
      <c r="X230" s="34">
        <f>12</f>
        <v>12</v>
      </c>
    </row>
    <row r="231" spans="1:24" ht="13.5" customHeight="1" x14ac:dyDescent="0.15">
      <c r="A231" s="25" t="s">
        <v>994</v>
      </c>
      <c r="B231" s="25" t="s">
        <v>697</v>
      </c>
      <c r="C231" s="25" t="s">
        <v>698</v>
      </c>
      <c r="D231" s="25" t="s">
        <v>699</v>
      </c>
      <c r="E231" s="26" t="s">
        <v>45</v>
      </c>
      <c r="F231" s="27" t="s">
        <v>45</v>
      </c>
      <c r="G231" s="28" t="s">
        <v>45</v>
      </c>
      <c r="H231" s="29"/>
      <c r="I231" s="29" t="s">
        <v>46</v>
      </c>
      <c r="J231" s="30">
        <v>10</v>
      </c>
      <c r="K231" s="31">
        <f>1102.5</f>
        <v>1102.5</v>
      </c>
      <c r="L231" s="32" t="s">
        <v>995</v>
      </c>
      <c r="M231" s="31">
        <f>1113</f>
        <v>1113</v>
      </c>
      <c r="N231" s="32" t="s">
        <v>997</v>
      </c>
      <c r="O231" s="31">
        <f>1083.5</f>
        <v>1083.5</v>
      </c>
      <c r="P231" s="32" t="s">
        <v>1002</v>
      </c>
      <c r="Q231" s="31">
        <f>1113</f>
        <v>1113</v>
      </c>
      <c r="R231" s="32" t="s">
        <v>997</v>
      </c>
      <c r="S231" s="33">
        <f>1095.37</f>
        <v>1095.3699999999999</v>
      </c>
      <c r="T231" s="30">
        <f>8450</f>
        <v>8450</v>
      </c>
      <c r="U231" s="30" t="str">
        <f>"－"</f>
        <v>－</v>
      </c>
      <c r="V231" s="30">
        <f>9266570</f>
        <v>9266570</v>
      </c>
      <c r="W231" s="30" t="str">
        <f>"－"</f>
        <v>－</v>
      </c>
      <c r="X231" s="34">
        <f>19</f>
        <v>19</v>
      </c>
    </row>
    <row r="232" spans="1:24" ht="13.5" customHeight="1" x14ac:dyDescent="0.15">
      <c r="A232" s="25" t="s">
        <v>994</v>
      </c>
      <c r="B232" s="25" t="s">
        <v>700</v>
      </c>
      <c r="C232" s="25" t="s">
        <v>701</v>
      </c>
      <c r="D232" s="25" t="s">
        <v>702</v>
      </c>
      <c r="E232" s="26" t="s">
        <v>45</v>
      </c>
      <c r="F232" s="27" t="s">
        <v>45</v>
      </c>
      <c r="G232" s="28" t="s">
        <v>45</v>
      </c>
      <c r="H232" s="29"/>
      <c r="I232" s="29" t="s">
        <v>46</v>
      </c>
      <c r="J232" s="30">
        <v>1</v>
      </c>
      <c r="K232" s="31">
        <f>1212</f>
        <v>1212</v>
      </c>
      <c r="L232" s="32" t="s">
        <v>995</v>
      </c>
      <c r="M232" s="31">
        <f>1257</f>
        <v>1257</v>
      </c>
      <c r="N232" s="32" t="s">
        <v>997</v>
      </c>
      <c r="O232" s="31">
        <f>1190</f>
        <v>1190</v>
      </c>
      <c r="P232" s="32" t="s">
        <v>996</v>
      </c>
      <c r="Q232" s="31">
        <f>1248</f>
        <v>1248</v>
      </c>
      <c r="R232" s="32" t="s">
        <v>997</v>
      </c>
      <c r="S232" s="33">
        <f>1225.89</f>
        <v>1225.8900000000001</v>
      </c>
      <c r="T232" s="30">
        <f>146062</f>
        <v>146062</v>
      </c>
      <c r="U232" s="30">
        <f>1</f>
        <v>1</v>
      </c>
      <c r="V232" s="30">
        <f>177980984</f>
        <v>177980984</v>
      </c>
      <c r="W232" s="30">
        <f>1227</f>
        <v>1227</v>
      </c>
      <c r="X232" s="34">
        <f>19</f>
        <v>19</v>
      </c>
    </row>
    <row r="233" spans="1:24" ht="13.5" customHeight="1" x14ac:dyDescent="0.15">
      <c r="A233" s="25" t="s">
        <v>994</v>
      </c>
      <c r="B233" s="25" t="s">
        <v>703</v>
      </c>
      <c r="C233" s="25" t="s">
        <v>704</v>
      </c>
      <c r="D233" s="25" t="s">
        <v>705</v>
      </c>
      <c r="E233" s="26" t="s">
        <v>45</v>
      </c>
      <c r="F233" s="27" t="s">
        <v>45</v>
      </c>
      <c r="G233" s="28" t="s">
        <v>45</v>
      </c>
      <c r="H233" s="29"/>
      <c r="I233" s="29" t="s">
        <v>46</v>
      </c>
      <c r="J233" s="30">
        <v>1</v>
      </c>
      <c r="K233" s="31">
        <f>13750</f>
        <v>13750</v>
      </c>
      <c r="L233" s="32" t="s">
        <v>995</v>
      </c>
      <c r="M233" s="31">
        <f>13785</f>
        <v>13785</v>
      </c>
      <c r="N233" s="32" t="s">
        <v>1001</v>
      </c>
      <c r="O233" s="31">
        <f>13105</f>
        <v>13105</v>
      </c>
      <c r="P233" s="32" t="s">
        <v>78</v>
      </c>
      <c r="Q233" s="31">
        <f>13645</f>
        <v>13645</v>
      </c>
      <c r="R233" s="32" t="s">
        <v>997</v>
      </c>
      <c r="S233" s="33">
        <f>13433.16</f>
        <v>13433.16</v>
      </c>
      <c r="T233" s="30">
        <f>501</f>
        <v>501</v>
      </c>
      <c r="U233" s="30" t="str">
        <f>"－"</f>
        <v>－</v>
      </c>
      <c r="V233" s="30">
        <f>6741415</f>
        <v>6741415</v>
      </c>
      <c r="W233" s="30" t="str">
        <f>"－"</f>
        <v>－</v>
      </c>
      <c r="X233" s="34">
        <f>19</f>
        <v>19</v>
      </c>
    </row>
    <row r="234" spans="1:24" ht="13.5" customHeight="1" x14ac:dyDescent="0.15">
      <c r="A234" s="25" t="s">
        <v>994</v>
      </c>
      <c r="B234" s="25" t="s">
        <v>706</v>
      </c>
      <c r="C234" s="25" t="s">
        <v>707</v>
      </c>
      <c r="D234" s="25" t="s">
        <v>708</v>
      </c>
      <c r="E234" s="26" t="s">
        <v>45</v>
      </c>
      <c r="F234" s="27" t="s">
        <v>45</v>
      </c>
      <c r="G234" s="28" t="s">
        <v>45</v>
      </c>
      <c r="H234" s="29"/>
      <c r="I234" s="29" t="s">
        <v>46</v>
      </c>
      <c r="J234" s="30">
        <v>1</v>
      </c>
      <c r="K234" s="31">
        <f>1985</f>
        <v>1985</v>
      </c>
      <c r="L234" s="32" t="s">
        <v>995</v>
      </c>
      <c r="M234" s="31">
        <f>1988</f>
        <v>1988</v>
      </c>
      <c r="N234" s="32" t="s">
        <v>255</v>
      </c>
      <c r="O234" s="31">
        <f>1936</f>
        <v>1936</v>
      </c>
      <c r="P234" s="32" t="s">
        <v>1002</v>
      </c>
      <c r="Q234" s="31">
        <f>1980</f>
        <v>1980</v>
      </c>
      <c r="R234" s="32" t="s">
        <v>997</v>
      </c>
      <c r="S234" s="33">
        <f>1963.68</f>
        <v>1963.68</v>
      </c>
      <c r="T234" s="30">
        <f>269941</f>
        <v>269941</v>
      </c>
      <c r="U234" s="30">
        <f>256002</f>
        <v>256002</v>
      </c>
      <c r="V234" s="30">
        <f>526912031</f>
        <v>526912031</v>
      </c>
      <c r="W234" s="30">
        <f>499536698</f>
        <v>499536698</v>
      </c>
      <c r="X234" s="34">
        <f>19</f>
        <v>19</v>
      </c>
    </row>
    <row r="235" spans="1:24" ht="13.5" customHeight="1" x14ac:dyDescent="0.15">
      <c r="A235" s="25" t="s">
        <v>994</v>
      </c>
      <c r="B235" s="25" t="s">
        <v>709</v>
      </c>
      <c r="C235" s="25" t="s">
        <v>710</v>
      </c>
      <c r="D235" s="25" t="s">
        <v>711</v>
      </c>
      <c r="E235" s="26" t="s">
        <v>45</v>
      </c>
      <c r="F235" s="27" t="s">
        <v>45</v>
      </c>
      <c r="G235" s="28" t="s">
        <v>45</v>
      </c>
      <c r="H235" s="29"/>
      <c r="I235" s="29" t="s">
        <v>46</v>
      </c>
      <c r="J235" s="30">
        <v>10</v>
      </c>
      <c r="K235" s="31">
        <f>1642.5</f>
        <v>1642.5</v>
      </c>
      <c r="L235" s="32" t="s">
        <v>999</v>
      </c>
      <c r="M235" s="31">
        <f>1711</f>
        <v>1711</v>
      </c>
      <c r="N235" s="32" t="s">
        <v>80</v>
      </c>
      <c r="O235" s="31">
        <f>1631</f>
        <v>1631</v>
      </c>
      <c r="P235" s="32" t="s">
        <v>792</v>
      </c>
      <c r="Q235" s="31">
        <f>1655</f>
        <v>1655</v>
      </c>
      <c r="R235" s="32" t="s">
        <v>255</v>
      </c>
      <c r="S235" s="33">
        <f>1650.41</f>
        <v>1650.41</v>
      </c>
      <c r="T235" s="30">
        <f>1210</f>
        <v>1210</v>
      </c>
      <c r="U235" s="30" t="str">
        <f>"－"</f>
        <v>－</v>
      </c>
      <c r="V235" s="30">
        <f>1990985</f>
        <v>1990985</v>
      </c>
      <c r="W235" s="30" t="str">
        <f>"－"</f>
        <v>－</v>
      </c>
      <c r="X235" s="34">
        <f>11</f>
        <v>11</v>
      </c>
    </row>
    <row r="236" spans="1:24" ht="13.5" customHeight="1" x14ac:dyDescent="0.15">
      <c r="A236" s="25" t="s">
        <v>994</v>
      </c>
      <c r="B236" s="25" t="s">
        <v>712</v>
      </c>
      <c r="C236" s="25" t="s">
        <v>795</v>
      </c>
      <c r="D236" s="25" t="s">
        <v>796</v>
      </c>
      <c r="E236" s="26" t="s">
        <v>45</v>
      </c>
      <c r="F236" s="27" t="s">
        <v>45</v>
      </c>
      <c r="G236" s="28" t="s">
        <v>45</v>
      </c>
      <c r="H236" s="29"/>
      <c r="I236" s="29" t="s">
        <v>46</v>
      </c>
      <c r="J236" s="30">
        <v>10</v>
      </c>
      <c r="K236" s="31">
        <f>860.5</f>
        <v>860.5</v>
      </c>
      <c r="L236" s="32" t="s">
        <v>995</v>
      </c>
      <c r="M236" s="31">
        <f>870</f>
        <v>870</v>
      </c>
      <c r="N236" s="32" t="s">
        <v>996</v>
      </c>
      <c r="O236" s="31">
        <f>840</f>
        <v>840</v>
      </c>
      <c r="P236" s="32" t="s">
        <v>997</v>
      </c>
      <c r="Q236" s="31">
        <f>840.1</f>
        <v>840.1</v>
      </c>
      <c r="R236" s="32" t="s">
        <v>997</v>
      </c>
      <c r="S236" s="33">
        <f>853.4</f>
        <v>853.4</v>
      </c>
      <c r="T236" s="30">
        <f>756710</f>
        <v>756710</v>
      </c>
      <c r="U236" s="30">
        <f>714190</f>
        <v>714190</v>
      </c>
      <c r="V236" s="30">
        <f>640143706</f>
        <v>640143706</v>
      </c>
      <c r="W236" s="30">
        <f>603881450</f>
        <v>603881450</v>
      </c>
      <c r="X236" s="34">
        <f>19</f>
        <v>19</v>
      </c>
    </row>
    <row r="237" spans="1:24" ht="13.5" customHeight="1" x14ac:dyDescent="0.15">
      <c r="A237" s="25" t="s">
        <v>994</v>
      </c>
      <c r="B237" s="25" t="s">
        <v>713</v>
      </c>
      <c r="C237" s="25" t="s">
        <v>714</v>
      </c>
      <c r="D237" s="25" t="s">
        <v>715</v>
      </c>
      <c r="E237" s="26" t="s">
        <v>45</v>
      </c>
      <c r="F237" s="27" t="s">
        <v>45</v>
      </c>
      <c r="G237" s="28" t="s">
        <v>45</v>
      </c>
      <c r="H237" s="29"/>
      <c r="I237" s="29" t="s">
        <v>46</v>
      </c>
      <c r="J237" s="30">
        <v>10</v>
      </c>
      <c r="K237" s="31">
        <f>1880</f>
        <v>1880</v>
      </c>
      <c r="L237" s="32" t="s">
        <v>995</v>
      </c>
      <c r="M237" s="31">
        <f>1903.5</f>
        <v>1903.5</v>
      </c>
      <c r="N237" s="32" t="s">
        <v>255</v>
      </c>
      <c r="O237" s="31">
        <f>1853</f>
        <v>1853</v>
      </c>
      <c r="P237" s="32" t="s">
        <v>1002</v>
      </c>
      <c r="Q237" s="31">
        <f>1897.5</f>
        <v>1897.5</v>
      </c>
      <c r="R237" s="32" t="s">
        <v>997</v>
      </c>
      <c r="S237" s="33">
        <f>1873.58</f>
        <v>1873.58</v>
      </c>
      <c r="T237" s="30">
        <f>19630</f>
        <v>19630</v>
      </c>
      <c r="U237" s="30">
        <f>20</f>
        <v>20</v>
      </c>
      <c r="V237" s="30">
        <f>36894945</f>
        <v>36894945</v>
      </c>
      <c r="W237" s="30">
        <f>37365</f>
        <v>37365</v>
      </c>
      <c r="X237" s="34">
        <f>19</f>
        <v>19</v>
      </c>
    </row>
    <row r="238" spans="1:24" ht="13.5" customHeight="1" x14ac:dyDescent="0.15">
      <c r="A238" s="25" t="s">
        <v>994</v>
      </c>
      <c r="B238" s="25" t="s">
        <v>716</v>
      </c>
      <c r="C238" s="25" t="s">
        <v>717</v>
      </c>
      <c r="D238" s="25" t="s">
        <v>718</v>
      </c>
      <c r="E238" s="26" t="s">
        <v>45</v>
      </c>
      <c r="F238" s="27" t="s">
        <v>45</v>
      </c>
      <c r="G238" s="28" t="s">
        <v>45</v>
      </c>
      <c r="H238" s="29"/>
      <c r="I238" s="29" t="s">
        <v>46</v>
      </c>
      <c r="J238" s="30">
        <v>10</v>
      </c>
      <c r="K238" s="31">
        <f>1882.5</f>
        <v>1882.5</v>
      </c>
      <c r="L238" s="32" t="s">
        <v>995</v>
      </c>
      <c r="M238" s="31">
        <f>1903.5</f>
        <v>1903.5</v>
      </c>
      <c r="N238" s="32" t="s">
        <v>997</v>
      </c>
      <c r="O238" s="31">
        <f>1851</f>
        <v>1851</v>
      </c>
      <c r="P238" s="32" t="s">
        <v>1002</v>
      </c>
      <c r="Q238" s="31">
        <f>1895.5</f>
        <v>1895.5</v>
      </c>
      <c r="R238" s="32" t="s">
        <v>997</v>
      </c>
      <c r="S238" s="33">
        <f>1873.71</f>
        <v>1873.71</v>
      </c>
      <c r="T238" s="30">
        <f>246540</f>
        <v>246540</v>
      </c>
      <c r="U238" s="30">
        <f>157000</f>
        <v>157000</v>
      </c>
      <c r="V238" s="30">
        <f>464080374</f>
        <v>464080374</v>
      </c>
      <c r="W238" s="30">
        <f>296093724</f>
        <v>296093724</v>
      </c>
      <c r="X238" s="34">
        <f>19</f>
        <v>19</v>
      </c>
    </row>
    <row r="239" spans="1:24" ht="13.5" customHeight="1" x14ac:dyDescent="0.15">
      <c r="A239" s="25" t="s">
        <v>994</v>
      </c>
      <c r="B239" s="25" t="s">
        <v>719</v>
      </c>
      <c r="C239" s="25" t="s">
        <v>720</v>
      </c>
      <c r="D239" s="25" t="s">
        <v>721</v>
      </c>
      <c r="E239" s="26" t="s">
        <v>45</v>
      </c>
      <c r="F239" s="27" t="s">
        <v>45</v>
      </c>
      <c r="G239" s="28" t="s">
        <v>45</v>
      </c>
      <c r="H239" s="29"/>
      <c r="I239" s="29" t="s">
        <v>46</v>
      </c>
      <c r="J239" s="30">
        <v>10</v>
      </c>
      <c r="K239" s="31">
        <f>1991</f>
        <v>1991</v>
      </c>
      <c r="L239" s="32" t="s">
        <v>995</v>
      </c>
      <c r="M239" s="31">
        <f>2018</f>
        <v>2018</v>
      </c>
      <c r="N239" s="32" t="s">
        <v>998</v>
      </c>
      <c r="O239" s="31">
        <f>1980.5</f>
        <v>1980.5</v>
      </c>
      <c r="P239" s="32" t="s">
        <v>999</v>
      </c>
      <c r="Q239" s="31">
        <f>2000.5</f>
        <v>2000.5</v>
      </c>
      <c r="R239" s="32" t="s">
        <v>255</v>
      </c>
      <c r="S239" s="33">
        <f>2000.5</f>
        <v>2000.5</v>
      </c>
      <c r="T239" s="30">
        <f>11520</f>
        <v>11520</v>
      </c>
      <c r="U239" s="30" t="str">
        <f>"－"</f>
        <v>－</v>
      </c>
      <c r="V239" s="30">
        <f>22968930</f>
        <v>22968930</v>
      </c>
      <c r="W239" s="30" t="str">
        <f>"－"</f>
        <v>－</v>
      </c>
      <c r="X239" s="34">
        <f>13</f>
        <v>13</v>
      </c>
    </row>
    <row r="240" spans="1:24" ht="13.5" customHeight="1" x14ac:dyDescent="0.15">
      <c r="A240" s="25" t="s">
        <v>994</v>
      </c>
      <c r="B240" s="25" t="s">
        <v>722</v>
      </c>
      <c r="C240" s="25" t="s">
        <v>723</v>
      </c>
      <c r="D240" s="25" t="s">
        <v>724</v>
      </c>
      <c r="E240" s="26" t="s">
        <v>45</v>
      </c>
      <c r="F240" s="27" t="s">
        <v>45</v>
      </c>
      <c r="G240" s="28" t="s">
        <v>45</v>
      </c>
      <c r="H240" s="29"/>
      <c r="I240" s="29" t="s">
        <v>46</v>
      </c>
      <c r="J240" s="30">
        <v>1</v>
      </c>
      <c r="K240" s="31">
        <f>15200</f>
        <v>15200</v>
      </c>
      <c r="L240" s="32" t="s">
        <v>995</v>
      </c>
      <c r="M240" s="31">
        <f>16035</f>
        <v>16035</v>
      </c>
      <c r="N240" s="32" t="s">
        <v>876</v>
      </c>
      <c r="O240" s="31">
        <f>15155</f>
        <v>15155</v>
      </c>
      <c r="P240" s="32" t="s">
        <v>995</v>
      </c>
      <c r="Q240" s="31">
        <f>15620</f>
        <v>15620</v>
      </c>
      <c r="R240" s="32" t="s">
        <v>997</v>
      </c>
      <c r="S240" s="33">
        <f>15592.37</f>
        <v>15592.37</v>
      </c>
      <c r="T240" s="30">
        <f>1013117</f>
        <v>1013117</v>
      </c>
      <c r="U240" s="30">
        <f>34502</f>
        <v>34502</v>
      </c>
      <c r="V240" s="30">
        <f>15802687876</f>
        <v>15802687876</v>
      </c>
      <c r="W240" s="30">
        <f>535442576</f>
        <v>535442576</v>
      </c>
      <c r="X240" s="34">
        <f>19</f>
        <v>19</v>
      </c>
    </row>
    <row r="241" spans="1:24" ht="13.5" customHeight="1" x14ac:dyDescent="0.15">
      <c r="A241" s="25" t="s">
        <v>994</v>
      </c>
      <c r="B241" s="25" t="s">
        <v>725</v>
      </c>
      <c r="C241" s="25" t="s">
        <v>726</v>
      </c>
      <c r="D241" s="25" t="s">
        <v>727</v>
      </c>
      <c r="E241" s="26" t="s">
        <v>45</v>
      </c>
      <c r="F241" s="27" t="s">
        <v>45</v>
      </c>
      <c r="G241" s="28" t="s">
        <v>45</v>
      </c>
      <c r="H241" s="29"/>
      <c r="I241" s="29" t="s">
        <v>46</v>
      </c>
      <c r="J241" s="30">
        <v>1</v>
      </c>
      <c r="K241" s="31">
        <f>13900</f>
        <v>13900</v>
      </c>
      <c r="L241" s="32" t="s">
        <v>995</v>
      </c>
      <c r="M241" s="31">
        <f>14390</f>
        <v>14390</v>
      </c>
      <c r="N241" s="32" t="s">
        <v>876</v>
      </c>
      <c r="O241" s="31">
        <f>13820</f>
        <v>13820</v>
      </c>
      <c r="P241" s="32" t="s">
        <v>995</v>
      </c>
      <c r="Q241" s="31">
        <f>14155</f>
        <v>14155</v>
      </c>
      <c r="R241" s="32" t="s">
        <v>997</v>
      </c>
      <c r="S241" s="33">
        <f>14088.16</f>
        <v>14088.16</v>
      </c>
      <c r="T241" s="30">
        <f>152066</f>
        <v>152066</v>
      </c>
      <c r="U241" s="30">
        <f>10004</f>
        <v>10004</v>
      </c>
      <c r="V241" s="30">
        <f>2145511770</f>
        <v>2145511770</v>
      </c>
      <c r="W241" s="30">
        <f>140757560</f>
        <v>140757560</v>
      </c>
      <c r="X241" s="34">
        <f>19</f>
        <v>19</v>
      </c>
    </row>
    <row r="242" spans="1:24" ht="13.5" customHeight="1" x14ac:dyDescent="0.15">
      <c r="A242" s="25" t="s">
        <v>994</v>
      </c>
      <c r="B242" s="25" t="s">
        <v>728</v>
      </c>
      <c r="C242" s="25" t="s">
        <v>729</v>
      </c>
      <c r="D242" s="25" t="s">
        <v>730</v>
      </c>
      <c r="E242" s="26" t="s">
        <v>45</v>
      </c>
      <c r="F242" s="27" t="s">
        <v>45</v>
      </c>
      <c r="G242" s="28" t="s">
        <v>45</v>
      </c>
      <c r="H242" s="29"/>
      <c r="I242" s="29" t="s">
        <v>46</v>
      </c>
      <c r="J242" s="30">
        <v>1</v>
      </c>
      <c r="K242" s="31">
        <f>26240</f>
        <v>26240</v>
      </c>
      <c r="L242" s="32" t="s">
        <v>996</v>
      </c>
      <c r="M242" s="31">
        <f>26420</f>
        <v>26420</v>
      </c>
      <c r="N242" s="32" t="s">
        <v>78</v>
      </c>
      <c r="O242" s="31">
        <f>26240</f>
        <v>26240</v>
      </c>
      <c r="P242" s="32" t="s">
        <v>996</v>
      </c>
      <c r="Q242" s="31">
        <f>26400</f>
        <v>26400</v>
      </c>
      <c r="R242" s="32" t="s">
        <v>1002</v>
      </c>
      <c r="S242" s="33">
        <f>26368</f>
        <v>26368</v>
      </c>
      <c r="T242" s="30">
        <f>5</f>
        <v>5</v>
      </c>
      <c r="U242" s="30" t="str">
        <f>"－"</f>
        <v>－</v>
      </c>
      <c r="V242" s="30">
        <f>131840</f>
        <v>131840</v>
      </c>
      <c r="W242" s="30" t="str">
        <f>"－"</f>
        <v>－</v>
      </c>
      <c r="X242" s="34">
        <f>5</f>
        <v>5</v>
      </c>
    </row>
    <row r="243" spans="1:24" ht="13.5" customHeight="1" x14ac:dyDescent="0.15">
      <c r="A243" s="25" t="s">
        <v>994</v>
      </c>
      <c r="B243" s="25" t="s">
        <v>731</v>
      </c>
      <c r="C243" s="25" t="s">
        <v>732</v>
      </c>
      <c r="D243" s="25" t="s">
        <v>733</v>
      </c>
      <c r="E243" s="26" t="s">
        <v>45</v>
      </c>
      <c r="F243" s="27" t="s">
        <v>45</v>
      </c>
      <c r="G243" s="28" t="s">
        <v>45</v>
      </c>
      <c r="H243" s="29"/>
      <c r="I243" s="29" t="s">
        <v>46</v>
      </c>
      <c r="J243" s="30">
        <v>1</v>
      </c>
      <c r="K243" s="31">
        <f>2456</f>
        <v>2456</v>
      </c>
      <c r="L243" s="32" t="s">
        <v>995</v>
      </c>
      <c r="M243" s="31">
        <f>2496</f>
        <v>2496</v>
      </c>
      <c r="N243" s="32" t="s">
        <v>997</v>
      </c>
      <c r="O243" s="31">
        <f>2456</f>
        <v>2456</v>
      </c>
      <c r="P243" s="32" t="s">
        <v>995</v>
      </c>
      <c r="Q243" s="31">
        <f>2496</f>
        <v>2496</v>
      </c>
      <c r="R243" s="32" t="s">
        <v>997</v>
      </c>
      <c r="S243" s="33">
        <f>2478.79</f>
        <v>2478.79</v>
      </c>
      <c r="T243" s="30">
        <f>352427</f>
        <v>352427</v>
      </c>
      <c r="U243" s="30">
        <f>194260</f>
        <v>194260</v>
      </c>
      <c r="V243" s="30">
        <f>875696067</f>
        <v>875696067</v>
      </c>
      <c r="W243" s="30">
        <f>483224753</f>
        <v>483224753</v>
      </c>
      <c r="X243" s="34">
        <f>19</f>
        <v>19</v>
      </c>
    </row>
    <row r="244" spans="1:24" ht="13.5" customHeight="1" x14ac:dyDescent="0.15">
      <c r="A244" s="25" t="s">
        <v>994</v>
      </c>
      <c r="B244" s="25" t="s">
        <v>734</v>
      </c>
      <c r="C244" s="25" t="s">
        <v>735</v>
      </c>
      <c r="D244" s="25" t="s">
        <v>736</v>
      </c>
      <c r="E244" s="26" t="s">
        <v>45</v>
      </c>
      <c r="F244" s="27" t="s">
        <v>45</v>
      </c>
      <c r="G244" s="28" t="s">
        <v>45</v>
      </c>
      <c r="H244" s="29"/>
      <c r="I244" s="29" t="s">
        <v>46</v>
      </c>
      <c r="J244" s="30">
        <v>10</v>
      </c>
      <c r="K244" s="31">
        <f>2832</f>
        <v>2832</v>
      </c>
      <c r="L244" s="32" t="s">
        <v>995</v>
      </c>
      <c r="M244" s="31">
        <f>2845.5</f>
        <v>2845.5</v>
      </c>
      <c r="N244" s="32" t="s">
        <v>1005</v>
      </c>
      <c r="O244" s="31">
        <f>2719</f>
        <v>2719</v>
      </c>
      <c r="P244" s="32" t="s">
        <v>255</v>
      </c>
      <c r="Q244" s="31">
        <f>2726</f>
        <v>2726</v>
      </c>
      <c r="R244" s="32" t="s">
        <v>997</v>
      </c>
      <c r="S244" s="33">
        <f>2803.87</f>
        <v>2803.87</v>
      </c>
      <c r="T244" s="30">
        <f>546130</f>
        <v>546130</v>
      </c>
      <c r="U244" s="30">
        <f>180010</f>
        <v>180010</v>
      </c>
      <c r="V244" s="30">
        <f>1531359777</f>
        <v>1531359777</v>
      </c>
      <c r="W244" s="30">
        <f>503683097</f>
        <v>503683097</v>
      </c>
      <c r="X244" s="34">
        <f>19</f>
        <v>19</v>
      </c>
    </row>
    <row r="245" spans="1:24" ht="13.5" customHeight="1" x14ac:dyDescent="0.15">
      <c r="A245" s="25" t="s">
        <v>994</v>
      </c>
      <c r="B245" s="25" t="s">
        <v>737</v>
      </c>
      <c r="C245" s="25" t="s">
        <v>738</v>
      </c>
      <c r="D245" s="25" t="s">
        <v>739</v>
      </c>
      <c r="E245" s="26" t="s">
        <v>45</v>
      </c>
      <c r="F245" s="27" t="s">
        <v>45</v>
      </c>
      <c r="G245" s="28" t="s">
        <v>45</v>
      </c>
      <c r="H245" s="29"/>
      <c r="I245" s="29" t="s">
        <v>46</v>
      </c>
      <c r="J245" s="30">
        <v>10</v>
      </c>
      <c r="K245" s="31">
        <f>256</f>
        <v>256</v>
      </c>
      <c r="L245" s="32" t="s">
        <v>995</v>
      </c>
      <c r="M245" s="31">
        <f>261.7</f>
        <v>261.7</v>
      </c>
      <c r="N245" s="32" t="s">
        <v>996</v>
      </c>
      <c r="O245" s="31">
        <f>247.4</f>
        <v>247.4</v>
      </c>
      <c r="P245" s="32" t="s">
        <v>255</v>
      </c>
      <c r="Q245" s="31">
        <f>248.2</f>
        <v>248.2</v>
      </c>
      <c r="R245" s="32" t="s">
        <v>997</v>
      </c>
      <c r="S245" s="33">
        <f>255.53</f>
        <v>255.53</v>
      </c>
      <c r="T245" s="30">
        <f>59734210</f>
        <v>59734210</v>
      </c>
      <c r="U245" s="30">
        <f>3456530</f>
        <v>3456530</v>
      </c>
      <c r="V245" s="30">
        <f>15292047551</f>
        <v>15292047551</v>
      </c>
      <c r="W245" s="30">
        <f>894696106</f>
        <v>894696106</v>
      </c>
      <c r="X245" s="34">
        <f>19</f>
        <v>19</v>
      </c>
    </row>
    <row r="246" spans="1:24" ht="13.5" customHeight="1" x14ac:dyDescent="0.15">
      <c r="A246" s="25" t="s">
        <v>994</v>
      </c>
      <c r="B246" s="25" t="s">
        <v>740</v>
      </c>
      <c r="C246" s="25" t="s">
        <v>741</v>
      </c>
      <c r="D246" s="25" t="s">
        <v>742</v>
      </c>
      <c r="E246" s="26" t="s">
        <v>45</v>
      </c>
      <c r="F246" s="27" t="s">
        <v>45</v>
      </c>
      <c r="G246" s="28" t="s">
        <v>45</v>
      </c>
      <c r="H246" s="29"/>
      <c r="I246" s="29" t="s">
        <v>46</v>
      </c>
      <c r="J246" s="30">
        <v>1</v>
      </c>
      <c r="K246" s="31">
        <f>2115</f>
        <v>2115</v>
      </c>
      <c r="L246" s="32" t="s">
        <v>995</v>
      </c>
      <c r="M246" s="31">
        <f>2272</f>
        <v>2272</v>
      </c>
      <c r="N246" s="32" t="s">
        <v>997</v>
      </c>
      <c r="O246" s="31">
        <f>2073</f>
        <v>2073</v>
      </c>
      <c r="P246" s="32" t="s">
        <v>996</v>
      </c>
      <c r="Q246" s="31">
        <f>2238</f>
        <v>2238</v>
      </c>
      <c r="R246" s="32" t="s">
        <v>997</v>
      </c>
      <c r="S246" s="33">
        <f>2157.63</f>
        <v>2157.63</v>
      </c>
      <c r="T246" s="30">
        <f>278546</f>
        <v>278546</v>
      </c>
      <c r="U246" s="30" t="str">
        <f>"－"</f>
        <v>－</v>
      </c>
      <c r="V246" s="30">
        <f>596530224</f>
        <v>596530224</v>
      </c>
      <c r="W246" s="30" t="str">
        <f>"－"</f>
        <v>－</v>
      </c>
      <c r="X246" s="34">
        <f>19</f>
        <v>19</v>
      </c>
    </row>
    <row r="247" spans="1:24" ht="13.5" customHeight="1" x14ac:dyDescent="0.15">
      <c r="A247" s="25" t="s">
        <v>994</v>
      </c>
      <c r="B247" s="25" t="s">
        <v>743</v>
      </c>
      <c r="C247" s="25" t="s">
        <v>744</v>
      </c>
      <c r="D247" s="25" t="s">
        <v>745</v>
      </c>
      <c r="E247" s="26" t="s">
        <v>45</v>
      </c>
      <c r="F247" s="27" t="s">
        <v>45</v>
      </c>
      <c r="G247" s="28" t="s">
        <v>45</v>
      </c>
      <c r="H247" s="29"/>
      <c r="I247" s="29" t="s">
        <v>46</v>
      </c>
      <c r="J247" s="30">
        <v>1</v>
      </c>
      <c r="K247" s="31">
        <f>987</f>
        <v>987</v>
      </c>
      <c r="L247" s="32" t="s">
        <v>995</v>
      </c>
      <c r="M247" s="31">
        <f>993</f>
        <v>993</v>
      </c>
      <c r="N247" s="32" t="s">
        <v>78</v>
      </c>
      <c r="O247" s="31">
        <f>952</f>
        <v>952</v>
      </c>
      <c r="P247" s="32" t="s">
        <v>792</v>
      </c>
      <c r="Q247" s="31">
        <f>982</f>
        <v>982</v>
      </c>
      <c r="R247" s="32" t="s">
        <v>997</v>
      </c>
      <c r="S247" s="33">
        <f>974.16</f>
        <v>974.16</v>
      </c>
      <c r="T247" s="30">
        <f>132004</f>
        <v>132004</v>
      </c>
      <c r="U247" s="30">
        <f>2</f>
        <v>2</v>
      </c>
      <c r="V247" s="30">
        <f>127774786</f>
        <v>127774786</v>
      </c>
      <c r="W247" s="30">
        <f>1938</f>
        <v>1938</v>
      </c>
      <c r="X247" s="34">
        <f>19</f>
        <v>19</v>
      </c>
    </row>
    <row r="248" spans="1:24" ht="13.5" customHeight="1" x14ac:dyDescent="0.15">
      <c r="A248" s="25" t="s">
        <v>994</v>
      </c>
      <c r="B248" s="25" t="s">
        <v>746</v>
      </c>
      <c r="C248" s="25" t="s">
        <v>747</v>
      </c>
      <c r="D248" s="25" t="s">
        <v>748</v>
      </c>
      <c r="E248" s="26" t="s">
        <v>45</v>
      </c>
      <c r="F248" s="27" t="s">
        <v>45</v>
      </c>
      <c r="G248" s="28" t="s">
        <v>45</v>
      </c>
      <c r="H248" s="29"/>
      <c r="I248" s="29" t="s">
        <v>46</v>
      </c>
      <c r="J248" s="30">
        <v>10</v>
      </c>
      <c r="K248" s="31">
        <f>1032</f>
        <v>1032</v>
      </c>
      <c r="L248" s="32" t="s">
        <v>995</v>
      </c>
      <c r="M248" s="31">
        <f>1046.5</f>
        <v>1046.5</v>
      </c>
      <c r="N248" s="32" t="s">
        <v>997</v>
      </c>
      <c r="O248" s="31">
        <f>1019</f>
        <v>1019</v>
      </c>
      <c r="P248" s="32" t="s">
        <v>1002</v>
      </c>
      <c r="Q248" s="31">
        <f>1044</f>
        <v>1044</v>
      </c>
      <c r="R248" s="32" t="s">
        <v>997</v>
      </c>
      <c r="S248" s="33">
        <f>1031.21</f>
        <v>1031.21</v>
      </c>
      <c r="T248" s="30">
        <f>8450</f>
        <v>8450</v>
      </c>
      <c r="U248" s="30" t="str">
        <f>"－"</f>
        <v>－</v>
      </c>
      <c r="V248" s="30">
        <f>8727960</f>
        <v>8727960</v>
      </c>
      <c r="W248" s="30" t="str">
        <f>"－"</f>
        <v>－</v>
      </c>
      <c r="X248" s="34">
        <f>19</f>
        <v>19</v>
      </c>
    </row>
    <row r="249" spans="1:24" ht="13.5" customHeight="1" x14ac:dyDescent="0.15">
      <c r="A249" s="25" t="s">
        <v>994</v>
      </c>
      <c r="B249" s="25" t="s">
        <v>749</v>
      </c>
      <c r="C249" s="25" t="s">
        <v>750</v>
      </c>
      <c r="D249" s="25" t="s">
        <v>751</v>
      </c>
      <c r="E249" s="26" t="s">
        <v>45</v>
      </c>
      <c r="F249" s="27" t="s">
        <v>45</v>
      </c>
      <c r="G249" s="28" t="s">
        <v>45</v>
      </c>
      <c r="H249" s="29"/>
      <c r="I249" s="29" t="s">
        <v>46</v>
      </c>
      <c r="J249" s="30">
        <v>10</v>
      </c>
      <c r="K249" s="31">
        <f>250.1</f>
        <v>250.1</v>
      </c>
      <c r="L249" s="32" t="s">
        <v>995</v>
      </c>
      <c r="M249" s="31">
        <f>253.4</f>
        <v>253.4</v>
      </c>
      <c r="N249" s="32" t="s">
        <v>56</v>
      </c>
      <c r="O249" s="31">
        <f>246.5</f>
        <v>246.5</v>
      </c>
      <c r="P249" s="32" t="s">
        <v>1001</v>
      </c>
      <c r="Q249" s="31">
        <f>250</f>
        <v>250</v>
      </c>
      <c r="R249" s="32" t="s">
        <v>997</v>
      </c>
      <c r="S249" s="33">
        <f>250.22</f>
        <v>250.22</v>
      </c>
      <c r="T249" s="30">
        <f>2990</f>
        <v>2990</v>
      </c>
      <c r="U249" s="30" t="str">
        <f>"－"</f>
        <v>－</v>
      </c>
      <c r="V249" s="30">
        <f>747163</f>
        <v>747163</v>
      </c>
      <c r="W249" s="30" t="str">
        <f>"－"</f>
        <v>－</v>
      </c>
      <c r="X249" s="34">
        <f>18</f>
        <v>18</v>
      </c>
    </row>
    <row r="250" spans="1:24" ht="13.5" customHeight="1" x14ac:dyDescent="0.15">
      <c r="A250" s="25" t="s">
        <v>994</v>
      </c>
      <c r="B250" s="25" t="s">
        <v>752</v>
      </c>
      <c r="C250" s="25" t="s">
        <v>753</v>
      </c>
      <c r="D250" s="25" t="s">
        <v>754</v>
      </c>
      <c r="E250" s="26" t="s">
        <v>45</v>
      </c>
      <c r="F250" s="27" t="s">
        <v>45</v>
      </c>
      <c r="G250" s="28" t="s">
        <v>45</v>
      </c>
      <c r="H250" s="29"/>
      <c r="I250" s="29" t="s">
        <v>46</v>
      </c>
      <c r="J250" s="30">
        <v>10</v>
      </c>
      <c r="K250" s="31">
        <f>2694.5</f>
        <v>2694.5</v>
      </c>
      <c r="L250" s="32" t="s">
        <v>995</v>
      </c>
      <c r="M250" s="31">
        <f>2936.5</f>
        <v>2936.5</v>
      </c>
      <c r="N250" s="32" t="s">
        <v>876</v>
      </c>
      <c r="O250" s="31">
        <f>2686</f>
        <v>2686</v>
      </c>
      <c r="P250" s="32" t="s">
        <v>995</v>
      </c>
      <c r="Q250" s="31">
        <f>2825.5</f>
        <v>2825.5</v>
      </c>
      <c r="R250" s="32" t="s">
        <v>997</v>
      </c>
      <c r="S250" s="33">
        <f>2822.29</f>
        <v>2822.29</v>
      </c>
      <c r="T250" s="30">
        <f>1356130</f>
        <v>1356130</v>
      </c>
      <c r="U250" s="30" t="str">
        <f>"－"</f>
        <v>－</v>
      </c>
      <c r="V250" s="30">
        <f>3831366685</f>
        <v>3831366685</v>
      </c>
      <c r="W250" s="30" t="str">
        <f>"－"</f>
        <v>－</v>
      </c>
      <c r="X250" s="34">
        <f>19</f>
        <v>19</v>
      </c>
    </row>
    <row r="251" spans="1:24" ht="13.5" customHeight="1" x14ac:dyDescent="0.15">
      <c r="A251" s="25" t="s">
        <v>994</v>
      </c>
      <c r="B251" s="25" t="s">
        <v>755</v>
      </c>
      <c r="C251" s="25" t="s">
        <v>756</v>
      </c>
      <c r="D251" s="25" t="s">
        <v>757</v>
      </c>
      <c r="E251" s="26" t="s">
        <v>45</v>
      </c>
      <c r="F251" s="27" t="s">
        <v>45</v>
      </c>
      <c r="G251" s="28" t="s">
        <v>45</v>
      </c>
      <c r="H251" s="29"/>
      <c r="I251" s="29" t="s">
        <v>46</v>
      </c>
      <c r="J251" s="30">
        <v>10</v>
      </c>
      <c r="K251" s="31">
        <f>2072</f>
        <v>2072</v>
      </c>
      <c r="L251" s="32" t="s">
        <v>995</v>
      </c>
      <c r="M251" s="31">
        <f>2192</f>
        <v>2192</v>
      </c>
      <c r="N251" s="32" t="s">
        <v>1000</v>
      </c>
      <c r="O251" s="31">
        <f>2053</f>
        <v>2053</v>
      </c>
      <c r="P251" s="32" t="s">
        <v>255</v>
      </c>
      <c r="Q251" s="31">
        <f>2066.5</f>
        <v>2066.5</v>
      </c>
      <c r="R251" s="32" t="s">
        <v>997</v>
      </c>
      <c r="S251" s="33">
        <f>2127</f>
        <v>2127</v>
      </c>
      <c r="T251" s="30">
        <f>2846400</f>
        <v>2846400</v>
      </c>
      <c r="U251" s="30">
        <f>438540</f>
        <v>438540</v>
      </c>
      <c r="V251" s="30">
        <f>6081014857</f>
        <v>6081014857</v>
      </c>
      <c r="W251" s="30">
        <f>946720227</f>
        <v>946720227</v>
      </c>
      <c r="X251" s="34">
        <f>19</f>
        <v>19</v>
      </c>
    </row>
    <row r="252" spans="1:24" ht="13.5" customHeight="1" x14ac:dyDescent="0.15">
      <c r="A252" s="25" t="s">
        <v>994</v>
      </c>
      <c r="B252" s="25" t="s">
        <v>758</v>
      </c>
      <c r="C252" s="25" t="s">
        <v>759</v>
      </c>
      <c r="D252" s="25" t="s">
        <v>760</v>
      </c>
      <c r="E252" s="26" t="s">
        <v>45</v>
      </c>
      <c r="F252" s="27" t="s">
        <v>45</v>
      </c>
      <c r="G252" s="28" t="s">
        <v>45</v>
      </c>
      <c r="H252" s="29"/>
      <c r="I252" s="29" t="s">
        <v>46</v>
      </c>
      <c r="J252" s="30">
        <v>10</v>
      </c>
      <c r="K252" s="31">
        <f>290</f>
        <v>290</v>
      </c>
      <c r="L252" s="32" t="s">
        <v>995</v>
      </c>
      <c r="M252" s="31">
        <f>301.8</f>
        <v>301.8</v>
      </c>
      <c r="N252" s="32" t="s">
        <v>997</v>
      </c>
      <c r="O252" s="31">
        <f>286.2</f>
        <v>286.2</v>
      </c>
      <c r="P252" s="32" t="s">
        <v>999</v>
      </c>
      <c r="Q252" s="31">
        <f>301.6</f>
        <v>301.60000000000002</v>
      </c>
      <c r="R252" s="32" t="s">
        <v>997</v>
      </c>
      <c r="S252" s="33">
        <f>294.62</f>
        <v>294.62</v>
      </c>
      <c r="T252" s="30">
        <f>7046450</f>
        <v>7046450</v>
      </c>
      <c r="U252" s="30">
        <f>2170110</f>
        <v>2170110</v>
      </c>
      <c r="V252" s="30">
        <f>2078541498</f>
        <v>2078541498</v>
      </c>
      <c r="W252" s="30">
        <f>643185813</f>
        <v>643185813</v>
      </c>
      <c r="X252" s="34">
        <f>19</f>
        <v>19</v>
      </c>
    </row>
    <row r="253" spans="1:24" ht="13.5" customHeight="1" x14ac:dyDescent="0.15">
      <c r="A253" s="25" t="s">
        <v>994</v>
      </c>
      <c r="B253" s="25" t="s">
        <v>761</v>
      </c>
      <c r="C253" s="25" t="s">
        <v>762</v>
      </c>
      <c r="D253" s="25" t="s">
        <v>763</v>
      </c>
      <c r="E253" s="26" t="s">
        <v>45</v>
      </c>
      <c r="F253" s="27" t="s">
        <v>45</v>
      </c>
      <c r="G253" s="28" t="s">
        <v>45</v>
      </c>
      <c r="H253" s="29"/>
      <c r="I253" s="29" t="s">
        <v>46</v>
      </c>
      <c r="J253" s="30">
        <v>1</v>
      </c>
      <c r="K253" s="31">
        <f>1539</f>
        <v>1539</v>
      </c>
      <c r="L253" s="32" t="s">
        <v>995</v>
      </c>
      <c r="M253" s="31">
        <f>1573</f>
        <v>1573</v>
      </c>
      <c r="N253" s="32" t="s">
        <v>996</v>
      </c>
      <c r="O253" s="31">
        <f>1446</f>
        <v>1446</v>
      </c>
      <c r="P253" s="32" t="s">
        <v>1001</v>
      </c>
      <c r="Q253" s="31">
        <f>1454</f>
        <v>1454</v>
      </c>
      <c r="R253" s="32" t="s">
        <v>997</v>
      </c>
      <c r="S253" s="33">
        <f>1501.47</f>
        <v>1501.47</v>
      </c>
      <c r="T253" s="30">
        <f>8330559</f>
        <v>8330559</v>
      </c>
      <c r="U253" s="30">
        <f>45201</f>
        <v>45201</v>
      </c>
      <c r="V253" s="30">
        <f>12501684492</f>
        <v>12501684492</v>
      </c>
      <c r="W253" s="30">
        <f>67113817</f>
        <v>67113817</v>
      </c>
      <c r="X253" s="34">
        <f>19</f>
        <v>19</v>
      </c>
    </row>
    <row r="254" spans="1:24" ht="13.5" customHeight="1" x14ac:dyDescent="0.15">
      <c r="A254" s="25" t="s">
        <v>994</v>
      </c>
      <c r="B254" s="25" t="s">
        <v>764</v>
      </c>
      <c r="C254" s="25" t="s">
        <v>765</v>
      </c>
      <c r="D254" s="25" t="s">
        <v>766</v>
      </c>
      <c r="E254" s="26" t="s">
        <v>45</v>
      </c>
      <c r="F254" s="27" t="s">
        <v>45</v>
      </c>
      <c r="G254" s="28" t="s">
        <v>45</v>
      </c>
      <c r="H254" s="29"/>
      <c r="I254" s="29" t="s">
        <v>46</v>
      </c>
      <c r="J254" s="30">
        <v>1</v>
      </c>
      <c r="K254" s="31">
        <f>1873</f>
        <v>1873</v>
      </c>
      <c r="L254" s="32" t="s">
        <v>995</v>
      </c>
      <c r="M254" s="31">
        <f>1935</f>
        <v>1935</v>
      </c>
      <c r="N254" s="32" t="s">
        <v>78</v>
      </c>
      <c r="O254" s="31">
        <f>1805</f>
        <v>1805</v>
      </c>
      <c r="P254" s="32" t="s">
        <v>1001</v>
      </c>
      <c r="Q254" s="31">
        <f>1831</f>
        <v>1831</v>
      </c>
      <c r="R254" s="32" t="s">
        <v>997</v>
      </c>
      <c r="S254" s="33">
        <f>1855.89</f>
        <v>1855.89</v>
      </c>
      <c r="T254" s="30">
        <f>43147</f>
        <v>43147</v>
      </c>
      <c r="U254" s="30">
        <f>6</f>
        <v>6</v>
      </c>
      <c r="V254" s="30">
        <f>79838534</f>
        <v>79838534</v>
      </c>
      <c r="W254" s="30">
        <f>11130</f>
        <v>11130</v>
      </c>
      <c r="X254" s="34">
        <f>19</f>
        <v>19</v>
      </c>
    </row>
    <row r="255" spans="1:24" ht="13.5" customHeight="1" x14ac:dyDescent="0.15">
      <c r="A255" s="25" t="s">
        <v>994</v>
      </c>
      <c r="B255" s="25" t="s">
        <v>767</v>
      </c>
      <c r="C255" s="25" t="s">
        <v>768</v>
      </c>
      <c r="D255" s="25" t="s">
        <v>769</v>
      </c>
      <c r="E255" s="26" t="s">
        <v>45</v>
      </c>
      <c r="F255" s="27" t="s">
        <v>45</v>
      </c>
      <c r="G255" s="28" t="s">
        <v>45</v>
      </c>
      <c r="H255" s="29"/>
      <c r="I255" s="29" t="s">
        <v>46</v>
      </c>
      <c r="J255" s="30">
        <v>1</v>
      </c>
      <c r="K255" s="31">
        <f>2171</f>
        <v>2171</v>
      </c>
      <c r="L255" s="32" t="s">
        <v>999</v>
      </c>
      <c r="M255" s="31">
        <f>2210</f>
        <v>2210</v>
      </c>
      <c r="N255" s="32" t="s">
        <v>875</v>
      </c>
      <c r="O255" s="31">
        <f>2129</f>
        <v>2129</v>
      </c>
      <c r="P255" s="32" t="s">
        <v>997</v>
      </c>
      <c r="Q255" s="31">
        <f>2129</f>
        <v>2129</v>
      </c>
      <c r="R255" s="32" t="s">
        <v>997</v>
      </c>
      <c r="S255" s="33">
        <f>2156.44</f>
        <v>2156.44</v>
      </c>
      <c r="T255" s="30">
        <f>385</f>
        <v>385</v>
      </c>
      <c r="U255" s="30" t="str">
        <f>"－"</f>
        <v>－</v>
      </c>
      <c r="V255" s="30">
        <f>836769</f>
        <v>836769</v>
      </c>
      <c r="W255" s="30" t="str">
        <f>"－"</f>
        <v>－</v>
      </c>
      <c r="X255" s="34">
        <f>18</f>
        <v>18</v>
      </c>
    </row>
    <row r="256" spans="1:24" ht="13.5" customHeight="1" x14ac:dyDescent="0.15">
      <c r="A256" s="25" t="s">
        <v>994</v>
      </c>
      <c r="B256" s="25" t="s">
        <v>770</v>
      </c>
      <c r="C256" s="25" t="s">
        <v>771</v>
      </c>
      <c r="D256" s="25" t="s">
        <v>772</v>
      </c>
      <c r="E256" s="26" t="s">
        <v>45</v>
      </c>
      <c r="F256" s="27" t="s">
        <v>45</v>
      </c>
      <c r="G256" s="28" t="s">
        <v>45</v>
      </c>
      <c r="H256" s="29"/>
      <c r="I256" s="29" t="s">
        <v>46</v>
      </c>
      <c r="J256" s="30">
        <v>1</v>
      </c>
      <c r="K256" s="31">
        <f>2759</f>
        <v>2759</v>
      </c>
      <c r="L256" s="32" t="s">
        <v>995</v>
      </c>
      <c r="M256" s="31">
        <f>2793</f>
        <v>2793</v>
      </c>
      <c r="N256" s="32" t="s">
        <v>78</v>
      </c>
      <c r="O256" s="31">
        <f>2715</f>
        <v>2715</v>
      </c>
      <c r="P256" s="32" t="s">
        <v>1001</v>
      </c>
      <c r="Q256" s="31">
        <f>2755</f>
        <v>2755</v>
      </c>
      <c r="R256" s="32" t="s">
        <v>997</v>
      </c>
      <c r="S256" s="33">
        <f>2761.11</f>
        <v>2761.11</v>
      </c>
      <c r="T256" s="30">
        <f>554842</f>
        <v>554842</v>
      </c>
      <c r="U256" s="30">
        <f>360001</f>
        <v>360001</v>
      </c>
      <c r="V256" s="30">
        <f>1532118890</f>
        <v>1532118890</v>
      </c>
      <c r="W256" s="30">
        <f>995272753</f>
        <v>995272753</v>
      </c>
      <c r="X256" s="34">
        <f>19</f>
        <v>19</v>
      </c>
    </row>
    <row r="257" spans="1:24" ht="13.5" customHeight="1" x14ac:dyDescent="0.15">
      <c r="A257" s="25" t="s">
        <v>994</v>
      </c>
      <c r="B257" s="25" t="s">
        <v>773</v>
      </c>
      <c r="C257" s="25" t="s">
        <v>774</v>
      </c>
      <c r="D257" s="25" t="s">
        <v>775</v>
      </c>
      <c r="E257" s="26" t="s">
        <v>45</v>
      </c>
      <c r="F257" s="27" t="s">
        <v>45</v>
      </c>
      <c r="G257" s="28" t="s">
        <v>45</v>
      </c>
      <c r="H257" s="29"/>
      <c r="I257" s="29" t="s">
        <v>46</v>
      </c>
      <c r="J257" s="30">
        <v>1</v>
      </c>
      <c r="K257" s="31">
        <f>1994</f>
        <v>1994</v>
      </c>
      <c r="L257" s="32" t="s">
        <v>995</v>
      </c>
      <c r="M257" s="31">
        <f>2007</f>
        <v>2007</v>
      </c>
      <c r="N257" s="32" t="s">
        <v>876</v>
      </c>
      <c r="O257" s="31">
        <f>1965</f>
        <v>1965</v>
      </c>
      <c r="P257" s="32" t="s">
        <v>996</v>
      </c>
      <c r="Q257" s="31">
        <f>1997</f>
        <v>1997</v>
      </c>
      <c r="R257" s="32" t="s">
        <v>997</v>
      </c>
      <c r="S257" s="33">
        <f>1989.21</f>
        <v>1989.21</v>
      </c>
      <c r="T257" s="30">
        <f>253399</f>
        <v>253399</v>
      </c>
      <c r="U257" s="30">
        <f>1</f>
        <v>1</v>
      </c>
      <c r="V257" s="30">
        <f>504232656</f>
        <v>504232656</v>
      </c>
      <c r="W257" s="30">
        <f>1991</f>
        <v>1991</v>
      </c>
      <c r="X257" s="34">
        <f>19</f>
        <v>19</v>
      </c>
    </row>
    <row r="258" spans="1:24" ht="13.5" customHeight="1" x14ac:dyDescent="0.15">
      <c r="A258" s="25" t="s">
        <v>994</v>
      </c>
      <c r="B258" s="25" t="s">
        <v>776</v>
      </c>
      <c r="C258" s="25" t="s">
        <v>777</v>
      </c>
      <c r="D258" s="25" t="s">
        <v>778</v>
      </c>
      <c r="E258" s="26" t="s">
        <v>45</v>
      </c>
      <c r="F258" s="27" t="s">
        <v>45</v>
      </c>
      <c r="G258" s="28" t="s">
        <v>45</v>
      </c>
      <c r="H258" s="29"/>
      <c r="I258" s="29" t="s">
        <v>46</v>
      </c>
      <c r="J258" s="30">
        <v>1</v>
      </c>
      <c r="K258" s="31">
        <f>1868</f>
        <v>1868</v>
      </c>
      <c r="L258" s="32" t="s">
        <v>995</v>
      </c>
      <c r="M258" s="31">
        <f>1887</f>
        <v>1887</v>
      </c>
      <c r="N258" s="32" t="s">
        <v>78</v>
      </c>
      <c r="O258" s="31">
        <f>1803</f>
        <v>1803</v>
      </c>
      <c r="P258" s="32" t="s">
        <v>997</v>
      </c>
      <c r="Q258" s="31">
        <f>1815</f>
        <v>1815</v>
      </c>
      <c r="R258" s="32" t="s">
        <v>997</v>
      </c>
      <c r="S258" s="33">
        <f>1848.37</f>
        <v>1848.37</v>
      </c>
      <c r="T258" s="30">
        <f>19228</f>
        <v>19228</v>
      </c>
      <c r="U258" s="30" t="str">
        <f>"－"</f>
        <v>－</v>
      </c>
      <c r="V258" s="30">
        <f>35721383</f>
        <v>35721383</v>
      </c>
      <c r="W258" s="30" t="str">
        <f>"－"</f>
        <v>－</v>
      </c>
      <c r="X258" s="34">
        <f>19</f>
        <v>19</v>
      </c>
    </row>
    <row r="259" spans="1:24" ht="13.5" customHeight="1" x14ac:dyDescent="0.15">
      <c r="A259" s="25" t="s">
        <v>994</v>
      </c>
      <c r="B259" s="25" t="s">
        <v>779</v>
      </c>
      <c r="C259" s="25" t="s">
        <v>780</v>
      </c>
      <c r="D259" s="25" t="s">
        <v>781</v>
      </c>
      <c r="E259" s="26" t="s">
        <v>45</v>
      </c>
      <c r="F259" s="27" t="s">
        <v>45</v>
      </c>
      <c r="G259" s="28" t="s">
        <v>45</v>
      </c>
      <c r="H259" s="29"/>
      <c r="I259" s="29" t="s">
        <v>46</v>
      </c>
      <c r="J259" s="30">
        <v>1</v>
      </c>
      <c r="K259" s="31">
        <f>1472</f>
        <v>1472</v>
      </c>
      <c r="L259" s="32" t="s">
        <v>995</v>
      </c>
      <c r="M259" s="31">
        <f>1554</f>
        <v>1554</v>
      </c>
      <c r="N259" s="32" t="s">
        <v>1005</v>
      </c>
      <c r="O259" s="31">
        <f>1363</f>
        <v>1363</v>
      </c>
      <c r="P259" s="32" t="s">
        <v>793</v>
      </c>
      <c r="Q259" s="31">
        <f>1380</f>
        <v>1380</v>
      </c>
      <c r="R259" s="32" t="s">
        <v>997</v>
      </c>
      <c r="S259" s="33">
        <f>1441.79</f>
        <v>1441.79</v>
      </c>
      <c r="T259" s="30">
        <f>36736</f>
        <v>36736</v>
      </c>
      <c r="U259" s="30" t="str">
        <f>"－"</f>
        <v>－</v>
      </c>
      <c r="V259" s="30">
        <f>53650724</f>
        <v>53650724</v>
      </c>
      <c r="W259" s="30" t="str">
        <f>"－"</f>
        <v>－</v>
      </c>
      <c r="X259" s="34">
        <f>19</f>
        <v>19</v>
      </c>
    </row>
    <row r="260" spans="1:24" ht="13.5" customHeight="1" x14ac:dyDescent="0.15">
      <c r="A260" s="25" t="s">
        <v>994</v>
      </c>
      <c r="B260" s="25" t="s">
        <v>797</v>
      </c>
      <c r="C260" s="25" t="s">
        <v>798</v>
      </c>
      <c r="D260" s="25" t="s">
        <v>799</v>
      </c>
      <c r="E260" s="26" t="s">
        <v>45</v>
      </c>
      <c r="F260" s="27" t="s">
        <v>45</v>
      </c>
      <c r="G260" s="28" t="s">
        <v>45</v>
      </c>
      <c r="H260" s="29"/>
      <c r="I260" s="29" t="s">
        <v>46</v>
      </c>
      <c r="J260" s="30">
        <v>1</v>
      </c>
      <c r="K260" s="31">
        <f>2010</f>
        <v>2010</v>
      </c>
      <c r="L260" s="32" t="s">
        <v>995</v>
      </c>
      <c r="M260" s="31">
        <f>2056</f>
        <v>2056</v>
      </c>
      <c r="N260" s="32" t="s">
        <v>78</v>
      </c>
      <c r="O260" s="31">
        <f>1937</f>
        <v>1937</v>
      </c>
      <c r="P260" s="32" t="s">
        <v>255</v>
      </c>
      <c r="Q260" s="31">
        <f>1963</f>
        <v>1963</v>
      </c>
      <c r="R260" s="32" t="s">
        <v>997</v>
      </c>
      <c r="S260" s="33">
        <f>1997.95</f>
        <v>1997.95</v>
      </c>
      <c r="T260" s="30">
        <f>10894</f>
        <v>10894</v>
      </c>
      <c r="U260" s="30" t="str">
        <f>"－"</f>
        <v>－</v>
      </c>
      <c r="V260" s="30">
        <f>21676709</f>
        <v>21676709</v>
      </c>
      <c r="W260" s="30" t="str">
        <f>"－"</f>
        <v>－</v>
      </c>
      <c r="X260" s="34">
        <f>19</f>
        <v>19</v>
      </c>
    </row>
    <row r="261" spans="1:24" ht="13.5" customHeight="1" x14ac:dyDescent="0.15">
      <c r="A261" s="25" t="s">
        <v>994</v>
      </c>
      <c r="B261" s="25" t="s">
        <v>800</v>
      </c>
      <c r="C261" s="25" t="s">
        <v>801</v>
      </c>
      <c r="D261" s="25" t="s">
        <v>802</v>
      </c>
      <c r="E261" s="26" t="s">
        <v>45</v>
      </c>
      <c r="F261" s="27" t="s">
        <v>45</v>
      </c>
      <c r="G261" s="28" t="s">
        <v>45</v>
      </c>
      <c r="H261" s="29"/>
      <c r="I261" s="29" t="s">
        <v>46</v>
      </c>
      <c r="J261" s="30">
        <v>1</v>
      </c>
      <c r="K261" s="31">
        <f>2559</f>
        <v>2559</v>
      </c>
      <c r="L261" s="32" t="s">
        <v>995</v>
      </c>
      <c r="M261" s="31">
        <f>2620</f>
        <v>2620</v>
      </c>
      <c r="N261" s="32" t="s">
        <v>1005</v>
      </c>
      <c r="O261" s="31">
        <f>2400</f>
        <v>2400</v>
      </c>
      <c r="P261" s="32" t="s">
        <v>255</v>
      </c>
      <c r="Q261" s="31">
        <f>2496</f>
        <v>2496</v>
      </c>
      <c r="R261" s="32" t="s">
        <v>997</v>
      </c>
      <c r="S261" s="33">
        <f>2528.61</f>
        <v>2528.61</v>
      </c>
      <c r="T261" s="30">
        <f>838</f>
        <v>838</v>
      </c>
      <c r="U261" s="30" t="str">
        <f>"－"</f>
        <v>－</v>
      </c>
      <c r="V261" s="30">
        <f>2116773</f>
        <v>2116773</v>
      </c>
      <c r="W261" s="30" t="str">
        <f>"－"</f>
        <v>－</v>
      </c>
      <c r="X261" s="34">
        <f>18</f>
        <v>18</v>
      </c>
    </row>
    <row r="262" spans="1:24" ht="13.5" customHeight="1" x14ac:dyDescent="0.15">
      <c r="A262" s="25" t="s">
        <v>994</v>
      </c>
      <c r="B262" s="25" t="s">
        <v>803</v>
      </c>
      <c r="C262" s="25" t="s">
        <v>804</v>
      </c>
      <c r="D262" s="25" t="s">
        <v>805</v>
      </c>
      <c r="E262" s="26" t="s">
        <v>45</v>
      </c>
      <c r="F262" s="27" t="s">
        <v>45</v>
      </c>
      <c r="G262" s="28" t="s">
        <v>45</v>
      </c>
      <c r="H262" s="29"/>
      <c r="I262" s="29" t="s">
        <v>46</v>
      </c>
      <c r="J262" s="30">
        <v>1</v>
      </c>
      <c r="K262" s="31">
        <f>10090</f>
        <v>10090</v>
      </c>
      <c r="L262" s="32" t="s">
        <v>995</v>
      </c>
      <c r="M262" s="31">
        <f>10330</f>
        <v>10330</v>
      </c>
      <c r="N262" s="32" t="s">
        <v>1000</v>
      </c>
      <c r="O262" s="31">
        <f>9820</f>
        <v>9820</v>
      </c>
      <c r="P262" s="32" t="s">
        <v>255</v>
      </c>
      <c r="Q262" s="31">
        <f>9850</f>
        <v>9850</v>
      </c>
      <c r="R262" s="32" t="s">
        <v>997</v>
      </c>
      <c r="S262" s="33">
        <f>10131.05</f>
        <v>10131.049999999999</v>
      </c>
      <c r="T262" s="30">
        <f>345435</f>
        <v>345435</v>
      </c>
      <c r="U262" s="30">
        <f>128000</f>
        <v>128000</v>
      </c>
      <c r="V262" s="30">
        <f>3505590188</f>
        <v>3505590188</v>
      </c>
      <c r="W262" s="30">
        <f>1303734680</f>
        <v>1303734680</v>
      </c>
      <c r="X262" s="34">
        <f>19</f>
        <v>19</v>
      </c>
    </row>
    <row r="263" spans="1:24" ht="13.5" customHeight="1" x14ac:dyDescent="0.15">
      <c r="A263" s="25" t="s">
        <v>994</v>
      </c>
      <c r="B263" s="25" t="s">
        <v>806</v>
      </c>
      <c r="C263" s="25" t="s">
        <v>807</v>
      </c>
      <c r="D263" s="25" t="s">
        <v>808</v>
      </c>
      <c r="E263" s="26" t="s">
        <v>45</v>
      </c>
      <c r="F263" s="27" t="s">
        <v>45</v>
      </c>
      <c r="G263" s="28" t="s">
        <v>45</v>
      </c>
      <c r="H263" s="29"/>
      <c r="I263" s="29" t="s">
        <v>46</v>
      </c>
      <c r="J263" s="30">
        <v>1</v>
      </c>
      <c r="K263" s="31">
        <f>11270</f>
        <v>11270</v>
      </c>
      <c r="L263" s="32" t="s">
        <v>995</v>
      </c>
      <c r="M263" s="31">
        <f>12290</f>
        <v>12290</v>
      </c>
      <c r="N263" s="32" t="s">
        <v>876</v>
      </c>
      <c r="O263" s="31">
        <f>11230</f>
        <v>11230</v>
      </c>
      <c r="P263" s="32" t="s">
        <v>995</v>
      </c>
      <c r="Q263" s="31">
        <f>11820</f>
        <v>11820</v>
      </c>
      <c r="R263" s="32" t="s">
        <v>997</v>
      </c>
      <c r="S263" s="33">
        <f>11814.74</f>
        <v>11814.74</v>
      </c>
      <c r="T263" s="30">
        <f>680398</f>
        <v>680398</v>
      </c>
      <c r="U263" s="30" t="str">
        <f>"－"</f>
        <v>－</v>
      </c>
      <c r="V263" s="30">
        <f>8038281665</f>
        <v>8038281665</v>
      </c>
      <c r="W263" s="30" t="str">
        <f>"－"</f>
        <v>－</v>
      </c>
      <c r="X263" s="34">
        <f>19</f>
        <v>19</v>
      </c>
    </row>
    <row r="264" spans="1:24" ht="13.5" customHeight="1" x14ac:dyDescent="0.15">
      <c r="A264" s="25" t="s">
        <v>994</v>
      </c>
      <c r="B264" s="25" t="s">
        <v>809</v>
      </c>
      <c r="C264" s="25" t="s">
        <v>810</v>
      </c>
      <c r="D264" s="25" t="s">
        <v>811</v>
      </c>
      <c r="E264" s="26" t="s">
        <v>45</v>
      </c>
      <c r="F264" s="27" t="s">
        <v>45</v>
      </c>
      <c r="G264" s="28" t="s">
        <v>45</v>
      </c>
      <c r="H264" s="29"/>
      <c r="I264" s="29" t="s">
        <v>46</v>
      </c>
      <c r="J264" s="30">
        <v>1</v>
      </c>
      <c r="K264" s="31">
        <f>8670</f>
        <v>8670</v>
      </c>
      <c r="L264" s="32" t="s">
        <v>995</v>
      </c>
      <c r="M264" s="31">
        <f>9181</f>
        <v>9181</v>
      </c>
      <c r="N264" s="32" t="s">
        <v>1000</v>
      </c>
      <c r="O264" s="31">
        <f>8602</f>
        <v>8602</v>
      </c>
      <c r="P264" s="32" t="s">
        <v>255</v>
      </c>
      <c r="Q264" s="31">
        <f>8665</f>
        <v>8665</v>
      </c>
      <c r="R264" s="32" t="s">
        <v>997</v>
      </c>
      <c r="S264" s="33">
        <f>8901.53</f>
        <v>8901.5300000000007</v>
      </c>
      <c r="T264" s="30">
        <f>528616</f>
        <v>528616</v>
      </c>
      <c r="U264" s="30">
        <f>72000</f>
        <v>72000</v>
      </c>
      <c r="V264" s="30">
        <f>4715577798</f>
        <v>4715577798</v>
      </c>
      <c r="W264" s="30">
        <f>651230092</f>
        <v>651230092</v>
      </c>
      <c r="X264" s="34">
        <f>19</f>
        <v>19</v>
      </c>
    </row>
    <row r="265" spans="1:24" ht="13.5" customHeight="1" x14ac:dyDescent="0.15">
      <c r="A265" s="25" t="s">
        <v>994</v>
      </c>
      <c r="B265" s="25" t="s">
        <v>812</v>
      </c>
      <c r="C265" s="25" t="s">
        <v>813</v>
      </c>
      <c r="D265" s="25" t="s">
        <v>814</v>
      </c>
      <c r="E265" s="26" t="s">
        <v>45</v>
      </c>
      <c r="F265" s="27" t="s">
        <v>45</v>
      </c>
      <c r="G265" s="28" t="s">
        <v>45</v>
      </c>
      <c r="H265" s="29"/>
      <c r="I265" s="29" t="s">
        <v>46</v>
      </c>
      <c r="J265" s="30">
        <v>10</v>
      </c>
      <c r="K265" s="31">
        <f>2449.5</f>
        <v>2449.5</v>
      </c>
      <c r="L265" s="32" t="s">
        <v>995</v>
      </c>
      <c r="M265" s="31">
        <f>2582</f>
        <v>2582</v>
      </c>
      <c r="N265" s="32" t="s">
        <v>876</v>
      </c>
      <c r="O265" s="31">
        <f>2443.5</f>
        <v>2443.5</v>
      </c>
      <c r="P265" s="32" t="s">
        <v>995</v>
      </c>
      <c r="Q265" s="31">
        <f>2517</f>
        <v>2517</v>
      </c>
      <c r="R265" s="32" t="s">
        <v>997</v>
      </c>
      <c r="S265" s="33">
        <f>2511.55</f>
        <v>2511.5500000000002</v>
      </c>
      <c r="T265" s="30">
        <f>1040460</f>
        <v>1040460</v>
      </c>
      <c r="U265" s="30">
        <f>40</f>
        <v>40</v>
      </c>
      <c r="V265" s="30">
        <f>2610908165</f>
        <v>2610908165</v>
      </c>
      <c r="W265" s="30">
        <f>100080</f>
        <v>100080</v>
      </c>
      <c r="X265" s="34">
        <f>19</f>
        <v>19</v>
      </c>
    </row>
    <row r="266" spans="1:24" ht="13.5" customHeight="1" x14ac:dyDescent="0.15">
      <c r="A266" s="25" t="s">
        <v>994</v>
      </c>
      <c r="B266" s="25" t="s">
        <v>815</v>
      </c>
      <c r="C266" s="25" t="s">
        <v>816</v>
      </c>
      <c r="D266" s="25" t="s">
        <v>817</v>
      </c>
      <c r="E266" s="26" t="s">
        <v>45</v>
      </c>
      <c r="F266" s="27" t="s">
        <v>45</v>
      </c>
      <c r="G266" s="28" t="s">
        <v>45</v>
      </c>
      <c r="H266" s="29"/>
      <c r="I266" s="29" t="s">
        <v>46</v>
      </c>
      <c r="J266" s="30">
        <v>10</v>
      </c>
      <c r="K266" s="31">
        <f>1988.5</f>
        <v>1988.5</v>
      </c>
      <c r="L266" s="32" t="s">
        <v>995</v>
      </c>
      <c r="M266" s="31">
        <f>2036.5</f>
        <v>2036.5</v>
      </c>
      <c r="N266" s="32" t="s">
        <v>1000</v>
      </c>
      <c r="O266" s="31">
        <f>1930</f>
        <v>1930</v>
      </c>
      <c r="P266" s="32" t="s">
        <v>255</v>
      </c>
      <c r="Q266" s="31">
        <f>1943</f>
        <v>1943</v>
      </c>
      <c r="R266" s="32" t="s">
        <v>997</v>
      </c>
      <c r="S266" s="33">
        <f>1995.66</f>
        <v>1995.66</v>
      </c>
      <c r="T266" s="30">
        <f>3245910</f>
        <v>3245910</v>
      </c>
      <c r="U266" s="30">
        <f>1147700</f>
        <v>1147700</v>
      </c>
      <c r="V266" s="30">
        <f>6507922706</f>
        <v>6507922706</v>
      </c>
      <c r="W266" s="30">
        <f>2289147221</f>
        <v>2289147221</v>
      </c>
      <c r="X266" s="34">
        <f>19</f>
        <v>19</v>
      </c>
    </row>
    <row r="267" spans="1:24" ht="13.5" customHeight="1" x14ac:dyDescent="0.15">
      <c r="A267" s="25" t="s">
        <v>994</v>
      </c>
      <c r="B267" s="25" t="s">
        <v>818</v>
      </c>
      <c r="C267" s="25" t="s">
        <v>819</v>
      </c>
      <c r="D267" s="25" t="s">
        <v>820</v>
      </c>
      <c r="E267" s="26" t="s">
        <v>45</v>
      </c>
      <c r="F267" s="27" t="s">
        <v>45</v>
      </c>
      <c r="G267" s="28" t="s">
        <v>45</v>
      </c>
      <c r="H267" s="29"/>
      <c r="I267" s="29" t="s">
        <v>46</v>
      </c>
      <c r="J267" s="30">
        <v>10</v>
      </c>
      <c r="K267" s="31">
        <f>2525</f>
        <v>2525</v>
      </c>
      <c r="L267" s="32" t="s">
        <v>995</v>
      </c>
      <c r="M267" s="31">
        <f>2661.5</f>
        <v>2661.5</v>
      </c>
      <c r="N267" s="32" t="s">
        <v>876</v>
      </c>
      <c r="O267" s="31">
        <f>2525</f>
        <v>2525</v>
      </c>
      <c r="P267" s="32" t="s">
        <v>995</v>
      </c>
      <c r="Q267" s="31">
        <f>2593.5</f>
        <v>2593.5</v>
      </c>
      <c r="R267" s="32" t="s">
        <v>997</v>
      </c>
      <c r="S267" s="33">
        <f>2588</f>
        <v>2588</v>
      </c>
      <c r="T267" s="30">
        <f>122890</f>
        <v>122890</v>
      </c>
      <c r="U267" s="30" t="str">
        <f>"－"</f>
        <v>－</v>
      </c>
      <c r="V267" s="30">
        <f>316389335</f>
        <v>316389335</v>
      </c>
      <c r="W267" s="30" t="str">
        <f>"－"</f>
        <v>－</v>
      </c>
      <c r="X267" s="34">
        <f>19</f>
        <v>19</v>
      </c>
    </row>
    <row r="268" spans="1:24" ht="13.5" customHeight="1" x14ac:dyDescent="0.15">
      <c r="A268" s="25" t="s">
        <v>994</v>
      </c>
      <c r="B268" s="25" t="s">
        <v>821</v>
      </c>
      <c r="C268" s="25" t="s">
        <v>822</v>
      </c>
      <c r="D268" s="25" t="s">
        <v>823</v>
      </c>
      <c r="E268" s="26" t="s">
        <v>45</v>
      </c>
      <c r="F268" s="27" t="s">
        <v>45</v>
      </c>
      <c r="G268" s="28" t="s">
        <v>45</v>
      </c>
      <c r="H268" s="29"/>
      <c r="I268" s="29" t="s">
        <v>46</v>
      </c>
      <c r="J268" s="30">
        <v>1</v>
      </c>
      <c r="K268" s="31">
        <f>2550</f>
        <v>2550</v>
      </c>
      <c r="L268" s="32" t="s">
        <v>995</v>
      </c>
      <c r="M268" s="31">
        <f>2585</f>
        <v>2585</v>
      </c>
      <c r="N268" s="32" t="s">
        <v>1005</v>
      </c>
      <c r="O268" s="31">
        <f>2474</f>
        <v>2474</v>
      </c>
      <c r="P268" s="32" t="s">
        <v>793</v>
      </c>
      <c r="Q268" s="31">
        <f>2510</f>
        <v>2510</v>
      </c>
      <c r="R268" s="32" t="s">
        <v>997</v>
      </c>
      <c r="S268" s="33">
        <f>2533.89</f>
        <v>2533.89</v>
      </c>
      <c r="T268" s="30">
        <f>649</f>
        <v>649</v>
      </c>
      <c r="U268" s="30" t="str">
        <f>"－"</f>
        <v>－</v>
      </c>
      <c r="V268" s="30">
        <f>1639147</f>
        <v>1639147</v>
      </c>
      <c r="W268" s="30" t="str">
        <f>"－"</f>
        <v>－</v>
      </c>
      <c r="X268" s="34">
        <f>18</f>
        <v>18</v>
      </c>
    </row>
    <row r="269" spans="1:24" ht="13.5" customHeight="1" x14ac:dyDescent="0.15">
      <c r="A269" s="25" t="s">
        <v>994</v>
      </c>
      <c r="B269" s="25" t="s">
        <v>824</v>
      </c>
      <c r="C269" s="25" t="s">
        <v>825</v>
      </c>
      <c r="D269" s="25" t="s">
        <v>826</v>
      </c>
      <c r="E269" s="26" t="s">
        <v>45</v>
      </c>
      <c r="F269" s="27" t="s">
        <v>45</v>
      </c>
      <c r="G269" s="28" t="s">
        <v>45</v>
      </c>
      <c r="H269" s="29"/>
      <c r="I269" s="29" t="s">
        <v>46</v>
      </c>
      <c r="J269" s="30">
        <v>1</v>
      </c>
      <c r="K269" s="31">
        <f>1581</f>
        <v>1581</v>
      </c>
      <c r="L269" s="32" t="s">
        <v>995</v>
      </c>
      <c r="M269" s="31">
        <f>1596</f>
        <v>1596</v>
      </c>
      <c r="N269" s="32" t="s">
        <v>1002</v>
      </c>
      <c r="O269" s="31">
        <f>1560</f>
        <v>1560</v>
      </c>
      <c r="P269" s="32" t="s">
        <v>1001</v>
      </c>
      <c r="Q269" s="31">
        <f>1590</f>
        <v>1590</v>
      </c>
      <c r="R269" s="32" t="s">
        <v>997</v>
      </c>
      <c r="S269" s="33">
        <f>1578</f>
        <v>1578</v>
      </c>
      <c r="T269" s="30">
        <f>41638</f>
        <v>41638</v>
      </c>
      <c r="U269" s="30" t="str">
        <f>"－"</f>
        <v>－</v>
      </c>
      <c r="V269" s="30">
        <f>65807691</f>
        <v>65807691</v>
      </c>
      <c r="W269" s="30" t="str">
        <f>"－"</f>
        <v>－</v>
      </c>
      <c r="X269" s="34">
        <f>19</f>
        <v>19</v>
      </c>
    </row>
    <row r="270" spans="1:24" ht="13.5" customHeight="1" x14ac:dyDescent="0.15">
      <c r="A270" s="25" t="s">
        <v>994</v>
      </c>
      <c r="B270" s="25" t="s">
        <v>827</v>
      </c>
      <c r="C270" s="25" t="s">
        <v>828</v>
      </c>
      <c r="D270" s="25" t="s">
        <v>829</v>
      </c>
      <c r="E270" s="26" t="s">
        <v>45</v>
      </c>
      <c r="F270" s="27" t="s">
        <v>45</v>
      </c>
      <c r="G270" s="28" t="s">
        <v>45</v>
      </c>
      <c r="H270" s="29"/>
      <c r="I270" s="29" t="s">
        <v>46</v>
      </c>
      <c r="J270" s="30">
        <v>1</v>
      </c>
      <c r="K270" s="31">
        <f>1979</f>
        <v>1979</v>
      </c>
      <c r="L270" s="32" t="s">
        <v>995</v>
      </c>
      <c r="M270" s="31">
        <f>2032</f>
        <v>2032</v>
      </c>
      <c r="N270" s="32" t="s">
        <v>875</v>
      </c>
      <c r="O270" s="31">
        <f>1917</f>
        <v>1917</v>
      </c>
      <c r="P270" s="32" t="s">
        <v>1001</v>
      </c>
      <c r="Q270" s="31">
        <f>1987</f>
        <v>1987</v>
      </c>
      <c r="R270" s="32" t="s">
        <v>997</v>
      </c>
      <c r="S270" s="33">
        <f>1985.26</f>
        <v>1985.26</v>
      </c>
      <c r="T270" s="30">
        <f>39044</f>
        <v>39044</v>
      </c>
      <c r="U270" s="30" t="str">
        <f>"－"</f>
        <v>－</v>
      </c>
      <c r="V270" s="30">
        <f>78047713</f>
        <v>78047713</v>
      </c>
      <c r="W270" s="30" t="str">
        <f>"－"</f>
        <v>－</v>
      </c>
      <c r="X270" s="34">
        <f>19</f>
        <v>19</v>
      </c>
    </row>
    <row r="271" spans="1:24" ht="13.5" customHeight="1" x14ac:dyDescent="0.15">
      <c r="A271" s="25" t="s">
        <v>994</v>
      </c>
      <c r="B271" s="25" t="s">
        <v>830</v>
      </c>
      <c r="C271" s="25" t="s">
        <v>831</v>
      </c>
      <c r="D271" s="25" t="s">
        <v>832</v>
      </c>
      <c r="E271" s="26" t="s">
        <v>45</v>
      </c>
      <c r="F271" s="27" t="s">
        <v>45</v>
      </c>
      <c r="G271" s="28" t="s">
        <v>45</v>
      </c>
      <c r="H271" s="29"/>
      <c r="I271" s="29" t="s">
        <v>46</v>
      </c>
      <c r="J271" s="30">
        <v>1</v>
      </c>
      <c r="K271" s="31">
        <f>1530</f>
        <v>1530</v>
      </c>
      <c r="L271" s="32" t="s">
        <v>995</v>
      </c>
      <c r="M271" s="31">
        <f>1549</f>
        <v>1549</v>
      </c>
      <c r="N271" s="32" t="s">
        <v>78</v>
      </c>
      <c r="O271" s="31">
        <f>1483</f>
        <v>1483</v>
      </c>
      <c r="P271" s="32" t="s">
        <v>793</v>
      </c>
      <c r="Q271" s="31">
        <f>1499</f>
        <v>1499</v>
      </c>
      <c r="R271" s="32" t="s">
        <v>997</v>
      </c>
      <c r="S271" s="33">
        <f>1517.89</f>
        <v>1517.89</v>
      </c>
      <c r="T271" s="30">
        <f>9605</f>
        <v>9605</v>
      </c>
      <c r="U271" s="30" t="str">
        <f>"－"</f>
        <v>－</v>
      </c>
      <c r="V271" s="30">
        <f>14603470</f>
        <v>14603470</v>
      </c>
      <c r="W271" s="30" t="str">
        <f>"－"</f>
        <v>－</v>
      </c>
      <c r="X271" s="34">
        <f>19</f>
        <v>19</v>
      </c>
    </row>
    <row r="272" spans="1:24" ht="13.5" customHeight="1" x14ac:dyDescent="0.15">
      <c r="A272" s="25" t="s">
        <v>994</v>
      </c>
      <c r="B272" s="25" t="s">
        <v>833</v>
      </c>
      <c r="C272" s="25" t="s">
        <v>834</v>
      </c>
      <c r="D272" s="25" t="s">
        <v>835</v>
      </c>
      <c r="E272" s="26" t="s">
        <v>45</v>
      </c>
      <c r="F272" s="27" t="s">
        <v>45</v>
      </c>
      <c r="G272" s="28" t="s">
        <v>45</v>
      </c>
      <c r="H272" s="29"/>
      <c r="I272" s="29" t="s">
        <v>46</v>
      </c>
      <c r="J272" s="30">
        <v>1</v>
      </c>
      <c r="K272" s="31">
        <f>2583</f>
        <v>2583</v>
      </c>
      <c r="L272" s="32" t="s">
        <v>995</v>
      </c>
      <c r="M272" s="31">
        <f>2641</f>
        <v>2641</v>
      </c>
      <c r="N272" s="32" t="s">
        <v>876</v>
      </c>
      <c r="O272" s="31">
        <f>2530</f>
        <v>2530</v>
      </c>
      <c r="P272" s="32" t="s">
        <v>255</v>
      </c>
      <c r="Q272" s="31">
        <f>2560</f>
        <v>2560</v>
      </c>
      <c r="R272" s="32" t="s">
        <v>997</v>
      </c>
      <c r="S272" s="33">
        <f>2577.58</f>
        <v>2577.58</v>
      </c>
      <c r="T272" s="30">
        <f>18395</f>
        <v>18395</v>
      </c>
      <c r="U272" s="30">
        <f>2853</f>
        <v>2853</v>
      </c>
      <c r="V272" s="30">
        <f>47379812</f>
        <v>47379812</v>
      </c>
      <c r="W272" s="30">
        <f>7317945</f>
        <v>7317945</v>
      </c>
      <c r="X272" s="34">
        <f>19</f>
        <v>19</v>
      </c>
    </row>
    <row r="273" spans="1:24" ht="13.5" customHeight="1" x14ac:dyDescent="0.15">
      <c r="A273" s="25" t="s">
        <v>994</v>
      </c>
      <c r="B273" s="25" t="s">
        <v>836</v>
      </c>
      <c r="C273" s="25" t="s">
        <v>837</v>
      </c>
      <c r="D273" s="25" t="s">
        <v>838</v>
      </c>
      <c r="E273" s="26" t="s">
        <v>45</v>
      </c>
      <c r="F273" s="27" t="s">
        <v>45</v>
      </c>
      <c r="G273" s="28" t="s">
        <v>45</v>
      </c>
      <c r="H273" s="29"/>
      <c r="I273" s="29" t="s">
        <v>46</v>
      </c>
      <c r="J273" s="30">
        <v>1</v>
      </c>
      <c r="K273" s="31">
        <f>2030</f>
        <v>2030</v>
      </c>
      <c r="L273" s="32" t="s">
        <v>995</v>
      </c>
      <c r="M273" s="31">
        <f>2071</f>
        <v>2071</v>
      </c>
      <c r="N273" s="32" t="s">
        <v>875</v>
      </c>
      <c r="O273" s="31">
        <f>1995</f>
        <v>1995</v>
      </c>
      <c r="P273" s="32" t="s">
        <v>793</v>
      </c>
      <c r="Q273" s="31">
        <f>2006</f>
        <v>2006</v>
      </c>
      <c r="R273" s="32" t="s">
        <v>997</v>
      </c>
      <c r="S273" s="33">
        <f>2031.53</f>
        <v>2031.53</v>
      </c>
      <c r="T273" s="30">
        <f>29231</f>
        <v>29231</v>
      </c>
      <c r="U273" s="30">
        <f>1</f>
        <v>1</v>
      </c>
      <c r="V273" s="30">
        <f>59542167</f>
        <v>59542167</v>
      </c>
      <c r="W273" s="30">
        <f>2005</f>
        <v>2005</v>
      </c>
      <c r="X273" s="34">
        <f>19</f>
        <v>19</v>
      </c>
    </row>
    <row r="274" spans="1:24" ht="13.5" customHeight="1" x14ac:dyDescent="0.15">
      <c r="A274" s="25" t="s">
        <v>994</v>
      </c>
      <c r="B274" s="25" t="s">
        <v>839</v>
      </c>
      <c r="C274" s="25" t="s">
        <v>840</v>
      </c>
      <c r="D274" s="25" t="s">
        <v>841</v>
      </c>
      <c r="E274" s="26" t="s">
        <v>45</v>
      </c>
      <c r="F274" s="27" t="s">
        <v>45</v>
      </c>
      <c r="G274" s="28" t="s">
        <v>45</v>
      </c>
      <c r="H274" s="29"/>
      <c r="I274" s="29" t="s">
        <v>46</v>
      </c>
      <c r="J274" s="30">
        <v>1</v>
      </c>
      <c r="K274" s="31">
        <f>26100</f>
        <v>26100</v>
      </c>
      <c r="L274" s="32" t="s">
        <v>78</v>
      </c>
      <c r="M274" s="31">
        <f>26250</f>
        <v>26250</v>
      </c>
      <c r="N274" s="32" t="s">
        <v>997</v>
      </c>
      <c r="O274" s="31">
        <f>25950</f>
        <v>25950</v>
      </c>
      <c r="P274" s="32" t="s">
        <v>56</v>
      </c>
      <c r="Q274" s="31">
        <f>26250</f>
        <v>26250</v>
      </c>
      <c r="R274" s="32" t="s">
        <v>997</v>
      </c>
      <c r="S274" s="33">
        <f>26146</f>
        <v>26146</v>
      </c>
      <c r="T274" s="30">
        <f>14</f>
        <v>14</v>
      </c>
      <c r="U274" s="30" t="str">
        <f>"－"</f>
        <v>－</v>
      </c>
      <c r="V274" s="30">
        <f>365630</f>
        <v>365630</v>
      </c>
      <c r="W274" s="30" t="str">
        <f>"－"</f>
        <v>－</v>
      </c>
      <c r="X274" s="34">
        <f>5</f>
        <v>5</v>
      </c>
    </row>
    <row r="275" spans="1:24" ht="13.5" customHeight="1" x14ac:dyDescent="0.15">
      <c r="A275" s="25" t="s">
        <v>994</v>
      </c>
      <c r="B275" s="25" t="s">
        <v>842</v>
      </c>
      <c r="C275" s="25" t="s">
        <v>843</v>
      </c>
      <c r="D275" s="25" t="s">
        <v>844</v>
      </c>
      <c r="E275" s="26" t="s">
        <v>45</v>
      </c>
      <c r="F275" s="27" t="s">
        <v>45</v>
      </c>
      <c r="G275" s="28" t="s">
        <v>45</v>
      </c>
      <c r="H275" s="29"/>
      <c r="I275" s="29" t="s">
        <v>46</v>
      </c>
      <c r="J275" s="30">
        <v>1</v>
      </c>
      <c r="K275" s="31">
        <f>2037</f>
        <v>2037</v>
      </c>
      <c r="L275" s="32" t="s">
        <v>995</v>
      </c>
      <c r="M275" s="31">
        <f>2058</f>
        <v>2058</v>
      </c>
      <c r="N275" s="32" t="s">
        <v>875</v>
      </c>
      <c r="O275" s="31">
        <f>1997</f>
        <v>1997</v>
      </c>
      <c r="P275" s="32" t="s">
        <v>1005</v>
      </c>
      <c r="Q275" s="31">
        <f>2032</f>
        <v>2032</v>
      </c>
      <c r="R275" s="32" t="s">
        <v>997</v>
      </c>
      <c r="S275" s="33">
        <f>2035.07</f>
        <v>2035.07</v>
      </c>
      <c r="T275" s="30">
        <f>14304</f>
        <v>14304</v>
      </c>
      <c r="U275" s="30" t="str">
        <f>"－"</f>
        <v>－</v>
      </c>
      <c r="V275" s="30">
        <f>29152164</f>
        <v>29152164</v>
      </c>
      <c r="W275" s="30" t="str">
        <f>"－"</f>
        <v>－</v>
      </c>
      <c r="X275" s="34">
        <f>15</f>
        <v>15</v>
      </c>
    </row>
    <row r="276" spans="1:24" ht="13.5" customHeight="1" x14ac:dyDescent="0.15">
      <c r="A276" s="25" t="s">
        <v>994</v>
      </c>
      <c r="B276" s="25" t="s">
        <v>845</v>
      </c>
      <c r="C276" s="25" t="s">
        <v>846</v>
      </c>
      <c r="D276" s="25" t="s">
        <v>847</v>
      </c>
      <c r="E276" s="26" t="s">
        <v>45</v>
      </c>
      <c r="F276" s="27" t="s">
        <v>45</v>
      </c>
      <c r="G276" s="28" t="s">
        <v>45</v>
      </c>
      <c r="H276" s="29"/>
      <c r="I276" s="29" t="s">
        <v>46</v>
      </c>
      <c r="J276" s="30">
        <v>1</v>
      </c>
      <c r="K276" s="31">
        <f>2271</f>
        <v>2271</v>
      </c>
      <c r="L276" s="32" t="s">
        <v>995</v>
      </c>
      <c r="M276" s="31">
        <f>2398</f>
        <v>2398</v>
      </c>
      <c r="N276" s="32" t="s">
        <v>997</v>
      </c>
      <c r="O276" s="31">
        <f>2260</f>
        <v>2260</v>
      </c>
      <c r="P276" s="32" t="s">
        <v>995</v>
      </c>
      <c r="Q276" s="31">
        <f>2378</f>
        <v>2378</v>
      </c>
      <c r="R276" s="32" t="s">
        <v>997</v>
      </c>
      <c r="S276" s="33">
        <f>2332.42</f>
        <v>2332.42</v>
      </c>
      <c r="T276" s="30">
        <f>334031</f>
        <v>334031</v>
      </c>
      <c r="U276" s="30" t="str">
        <f>"－"</f>
        <v>－</v>
      </c>
      <c r="V276" s="30">
        <f>779012342</f>
        <v>779012342</v>
      </c>
      <c r="W276" s="30" t="str">
        <f>"－"</f>
        <v>－</v>
      </c>
      <c r="X276" s="34">
        <f>19</f>
        <v>19</v>
      </c>
    </row>
    <row r="277" spans="1:24" ht="13.5" customHeight="1" x14ac:dyDescent="0.15">
      <c r="A277" s="25" t="s">
        <v>994</v>
      </c>
      <c r="B277" s="25" t="s">
        <v>848</v>
      </c>
      <c r="C277" s="25" t="s">
        <v>849</v>
      </c>
      <c r="D277" s="25" t="s">
        <v>850</v>
      </c>
      <c r="E277" s="26" t="s">
        <v>45</v>
      </c>
      <c r="F277" s="27" t="s">
        <v>45</v>
      </c>
      <c r="G277" s="28" t="s">
        <v>45</v>
      </c>
      <c r="H277" s="29"/>
      <c r="I277" s="29" t="s">
        <v>46</v>
      </c>
      <c r="J277" s="30">
        <v>1</v>
      </c>
      <c r="K277" s="31">
        <f>1802</f>
        <v>1802</v>
      </c>
      <c r="L277" s="32" t="s">
        <v>995</v>
      </c>
      <c r="M277" s="31">
        <f>1832</f>
        <v>1832</v>
      </c>
      <c r="N277" s="32" t="s">
        <v>78</v>
      </c>
      <c r="O277" s="31">
        <f>1729</f>
        <v>1729</v>
      </c>
      <c r="P277" s="32" t="s">
        <v>1001</v>
      </c>
      <c r="Q277" s="31">
        <f>1766</f>
        <v>1766</v>
      </c>
      <c r="R277" s="32" t="s">
        <v>997</v>
      </c>
      <c r="S277" s="33">
        <f>1783.79</f>
        <v>1783.79</v>
      </c>
      <c r="T277" s="30">
        <f>10354</f>
        <v>10354</v>
      </c>
      <c r="U277" s="30" t="str">
        <f>"－"</f>
        <v>－</v>
      </c>
      <c r="V277" s="30">
        <f>18341643</f>
        <v>18341643</v>
      </c>
      <c r="W277" s="30" t="str">
        <f>"－"</f>
        <v>－</v>
      </c>
      <c r="X277" s="34">
        <f>19</f>
        <v>19</v>
      </c>
    </row>
    <row r="278" spans="1:24" ht="13.5" customHeight="1" x14ac:dyDescent="0.15">
      <c r="A278" s="25" t="s">
        <v>994</v>
      </c>
      <c r="B278" s="25" t="s">
        <v>851</v>
      </c>
      <c r="C278" s="25" t="s">
        <v>852</v>
      </c>
      <c r="D278" s="25" t="s">
        <v>853</v>
      </c>
      <c r="E278" s="26" t="s">
        <v>45</v>
      </c>
      <c r="F278" s="27" t="s">
        <v>45</v>
      </c>
      <c r="G278" s="28" t="s">
        <v>45</v>
      </c>
      <c r="H278" s="29"/>
      <c r="I278" s="29" t="s">
        <v>46</v>
      </c>
      <c r="J278" s="30">
        <v>1</v>
      </c>
      <c r="K278" s="31">
        <f>1465</f>
        <v>1465</v>
      </c>
      <c r="L278" s="32" t="s">
        <v>995</v>
      </c>
      <c r="M278" s="31">
        <f>1513</f>
        <v>1513</v>
      </c>
      <c r="N278" s="32" t="s">
        <v>998</v>
      </c>
      <c r="O278" s="31">
        <f>1428</f>
        <v>1428</v>
      </c>
      <c r="P278" s="32" t="s">
        <v>996</v>
      </c>
      <c r="Q278" s="31">
        <f>1498</f>
        <v>1498</v>
      </c>
      <c r="R278" s="32" t="s">
        <v>997</v>
      </c>
      <c r="S278" s="33">
        <f>1469.63</f>
        <v>1469.63</v>
      </c>
      <c r="T278" s="30">
        <f>8347</f>
        <v>8347</v>
      </c>
      <c r="U278" s="30" t="str">
        <f>"－"</f>
        <v>－</v>
      </c>
      <c r="V278" s="30">
        <f>12291583</f>
        <v>12291583</v>
      </c>
      <c r="W278" s="30" t="str">
        <f>"－"</f>
        <v>－</v>
      </c>
      <c r="X278" s="34">
        <f>19</f>
        <v>19</v>
      </c>
    </row>
    <row r="279" spans="1:24" ht="13.5" customHeight="1" x14ac:dyDescent="0.15">
      <c r="A279" s="25" t="s">
        <v>994</v>
      </c>
      <c r="B279" s="25" t="s">
        <v>854</v>
      </c>
      <c r="C279" s="25" t="s">
        <v>855</v>
      </c>
      <c r="D279" s="25" t="s">
        <v>856</v>
      </c>
      <c r="E279" s="26" t="s">
        <v>45</v>
      </c>
      <c r="F279" s="27" t="s">
        <v>45</v>
      </c>
      <c r="G279" s="28" t="s">
        <v>45</v>
      </c>
      <c r="H279" s="29"/>
      <c r="I279" s="29" t="s">
        <v>46</v>
      </c>
      <c r="J279" s="30">
        <v>10</v>
      </c>
      <c r="K279" s="31">
        <f>4969</f>
        <v>4969</v>
      </c>
      <c r="L279" s="32" t="s">
        <v>999</v>
      </c>
      <c r="M279" s="31">
        <f>5364</f>
        <v>5364</v>
      </c>
      <c r="N279" s="32" t="s">
        <v>255</v>
      </c>
      <c r="O279" s="31">
        <f>4969</f>
        <v>4969</v>
      </c>
      <c r="P279" s="32" t="s">
        <v>999</v>
      </c>
      <c r="Q279" s="31">
        <f>5072</f>
        <v>5072</v>
      </c>
      <c r="R279" s="32" t="s">
        <v>997</v>
      </c>
      <c r="S279" s="33">
        <f>5020.72</f>
        <v>5020.72</v>
      </c>
      <c r="T279" s="30">
        <f>144440</f>
        <v>144440</v>
      </c>
      <c r="U279" s="30">
        <f>12000</f>
        <v>12000</v>
      </c>
      <c r="V279" s="30">
        <f>726802040</f>
        <v>726802040</v>
      </c>
      <c r="W279" s="30">
        <f>60084960</f>
        <v>60084960</v>
      </c>
      <c r="X279" s="34">
        <f>18</f>
        <v>18</v>
      </c>
    </row>
    <row r="280" spans="1:24" ht="13.5" customHeight="1" x14ac:dyDescent="0.15">
      <c r="A280" s="25" t="s">
        <v>994</v>
      </c>
      <c r="B280" s="25" t="s">
        <v>857</v>
      </c>
      <c r="C280" s="25" t="s">
        <v>858</v>
      </c>
      <c r="D280" s="25" t="s">
        <v>859</v>
      </c>
      <c r="E280" s="26" t="s">
        <v>45</v>
      </c>
      <c r="F280" s="27" t="s">
        <v>45</v>
      </c>
      <c r="G280" s="28" t="s">
        <v>45</v>
      </c>
      <c r="H280" s="29"/>
      <c r="I280" s="29" t="s">
        <v>46</v>
      </c>
      <c r="J280" s="30">
        <v>10</v>
      </c>
      <c r="K280" s="31">
        <f>4190</f>
        <v>4190</v>
      </c>
      <c r="L280" s="32" t="s">
        <v>995</v>
      </c>
      <c r="M280" s="31">
        <f>4245</f>
        <v>4245</v>
      </c>
      <c r="N280" s="32" t="s">
        <v>996</v>
      </c>
      <c r="O280" s="31">
        <f>4040</f>
        <v>4040</v>
      </c>
      <c r="P280" s="32" t="s">
        <v>255</v>
      </c>
      <c r="Q280" s="31">
        <f>4042</f>
        <v>4042</v>
      </c>
      <c r="R280" s="32" t="s">
        <v>997</v>
      </c>
      <c r="S280" s="33">
        <f>4127.71</f>
        <v>4127.71</v>
      </c>
      <c r="T280" s="30">
        <f>734480</f>
        <v>734480</v>
      </c>
      <c r="U280" s="30">
        <f>171760</f>
        <v>171760</v>
      </c>
      <c r="V280" s="30">
        <f>3018765780</f>
        <v>3018765780</v>
      </c>
      <c r="W280" s="30">
        <f>695595620</f>
        <v>695595620</v>
      </c>
      <c r="X280" s="34">
        <f>17</f>
        <v>17</v>
      </c>
    </row>
    <row r="281" spans="1:24" ht="13.5" customHeight="1" x14ac:dyDescent="0.15">
      <c r="A281" s="25" t="s">
        <v>994</v>
      </c>
      <c r="B281" s="25" t="s">
        <v>860</v>
      </c>
      <c r="C281" s="25" t="s">
        <v>861</v>
      </c>
      <c r="D281" s="25" t="s">
        <v>862</v>
      </c>
      <c r="E281" s="26" t="s">
        <v>45</v>
      </c>
      <c r="F281" s="27" t="s">
        <v>45</v>
      </c>
      <c r="G281" s="28" t="s">
        <v>45</v>
      </c>
      <c r="H281" s="29"/>
      <c r="I281" s="29" t="s">
        <v>46</v>
      </c>
      <c r="J281" s="30">
        <v>10</v>
      </c>
      <c r="K281" s="31">
        <f>708.1</f>
        <v>708.1</v>
      </c>
      <c r="L281" s="32" t="s">
        <v>999</v>
      </c>
      <c r="M281" s="31">
        <f>712</f>
        <v>712</v>
      </c>
      <c r="N281" s="32" t="s">
        <v>996</v>
      </c>
      <c r="O281" s="31">
        <f>682.3</f>
        <v>682.3</v>
      </c>
      <c r="P281" s="32" t="s">
        <v>998</v>
      </c>
      <c r="Q281" s="31">
        <f>683.5</f>
        <v>683.5</v>
      </c>
      <c r="R281" s="32" t="s">
        <v>997</v>
      </c>
      <c r="S281" s="33">
        <f>695.38</f>
        <v>695.38</v>
      </c>
      <c r="T281" s="30">
        <f>17430</f>
        <v>17430</v>
      </c>
      <c r="U281" s="30" t="str">
        <f>"－"</f>
        <v>－</v>
      </c>
      <c r="V281" s="30">
        <f>12302324</f>
        <v>12302324</v>
      </c>
      <c r="W281" s="30" t="str">
        <f>"－"</f>
        <v>－</v>
      </c>
      <c r="X281" s="34">
        <f>17</f>
        <v>17</v>
      </c>
    </row>
    <row r="282" spans="1:24" ht="13.5" customHeight="1" x14ac:dyDescent="0.15">
      <c r="A282" s="25" t="s">
        <v>994</v>
      </c>
      <c r="B282" s="25" t="s">
        <v>863</v>
      </c>
      <c r="C282" s="25" t="s">
        <v>864</v>
      </c>
      <c r="D282" s="25" t="s">
        <v>865</v>
      </c>
      <c r="E282" s="26" t="s">
        <v>45</v>
      </c>
      <c r="F282" s="27" t="s">
        <v>45</v>
      </c>
      <c r="G282" s="28" t="s">
        <v>45</v>
      </c>
      <c r="H282" s="29"/>
      <c r="I282" s="29" t="s">
        <v>46</v>
      </c>
      <c r="J282" s="30">
        <v>1</v>
      </c>
      <c r="K282" s="31">
        <f>2183</f>
        <v>2183</v>
      </c>
      <c r="L282" s="32" t="s">
        <v>995</v>
      </c>
      <c r="M282" s="31">
        <f>2200</f>
        <v>2200</v>
      </c>
      <c r="N282" s="32" t="s">
        <v>1004</v>
      </c>
      <c r="O282" s="31">
        <f>2100</f>
        <v>2100</v>
      </c>
      <c r="P282" s="32" t="s">
        <v>1001</v>
      </c>
      <c r="Q282" s="31">
        <f>2117</f>
        <v>2117</v>
      </c>
      <c r="R282" s="32" t="s">
        <v>997</v>
      </c>
      <c r="S282" s="33">
        <f>2156.22</f>
        <v>2156.2199999999998</v>
      </c>
      <c r="T282" s="30">
        <f>804</f>
        <v>804</v>
      </c>
      <c r="U282" s="30" t="str">
        <f>"－"</f>
        <v>－</v>
      </c>
      <c r="V282" s="30">
        <f>1727394</f>
        <v>1727394</v>
      </c>
      <c r="W282" s="30" t="str">
        <f>"－"</f>
        <v>－</v>
      </c>
      <c r="X282" s="34">
        <f>18</f>
        <v>18</v>
      </c>
    </row>
    <row r="283" spans="1:24" ht="13.5" customHeight="1" x14ac:dyDescent="0.15">
      <c r="A283" s="25" t="s">
        <v>994</v>
      </c>
      <c r="B283" s="25" t="s">
        <v>866</v>
      </c>
      <c r="C283" s="25" t="s">
        <v>867</v>
      </c>
      <c r="D283" s="25" t="s">
        <v>868</v>
      </c>
      <c r="E283" s="26" t="s">
        <v>45</v>
      </c>
      <c r="F283" s="27" t="s">
        <v>45</v>
      </c>
      <c r="G283" s="28" t="s">
        <v>45</v>
      </c>
      <c r="H283" s="29"/>
      <c r="I283" s="29" t="s">
        <v>46</v>
      </c>
      <c r="J283" s="30">
        <v>1</v>
      </c>
      <c r="K283" s="31">
        <f>1925</f>
        <v>1925</v>
      </c>
      <c r="L283" s="32" t="s">
        <v>996</v>
      </c>
      <c r="M283" s="31">
        <f>1956</f>
        <v>1956</v>
      </c>
      <c r="N283" s="32" t="s">
        <v>255</v>
      </c>
      <c r="O283" s="31">
        <f>1900</f>
        <v>1900</v>
      </c>
      <c r="P283" s="32" t="s">
        <v>1001</v>
      </c>
      <c r="Q283" s="31">
        <f>1924</f>
        <v>1924</v>
      </c>
      <c r="R283" s="32" t="s">
        <v>997</v>
      </c>
      <c r="S283" s="33">
        <f>1928.5</f>
        <v>1928.5</v>
      </c>
      <c r="T283" s="30">
        <f>347</f>
        <v>347</v>
      </c>
      <c r="U283" s="30" t="str">
        <f>"－"</f>
        <v>－</v>
      </c>
      <c r="V283" s="30">
        <f>669753</f>
        <v>669753</v>
      </c>
      <c r="W283" s="30" t="str">
        <f>"－"</f>
        <v>－</v>
      </c>
      <c r="X283" s="34">
        <f>14</f>
        <v>14</v>
      </c>
    </row>
    <row r="284" spans="1:24" ht="13.5" customHeight="1" x14ac:dyDescent="0.15">
      <c r="A284" s="25" t="s">
        <v>994</v>
      </c>
      <c r="B284" s="25" t="s">
        <v>869</v>
      </c>
      <c r="C284" s="25" t="s">
        <v>870</v>
      </c>
      <c r="D284" s="25" t="s">
        <v>871</v>
      </c>
      <c r="E284" s="26" t="s">
        <v>45</v>
      </c>
      <c r="F284" s="27" t="s">
        <v>45</v>
      </c>
      <c r="G284" s="28" t="s">
        <v>45</v>
      </c>
      <c r="H284" s="29"/>
      <c r="I284" s="29" t="s">
        <v>46</v>
      </c>
      <c r="J284" s="30">
        <v>1</v>
      </c>
      <c r="K284" s="31">
        <f>7444</f>
        <v>7444</v>
      </c>
      <c r="L284" s="32" t="s">
        <v>995</v>
      </c>
      <c r="M284" s="31">
        <f>7796</f>
        <v>7796</v>
      </c>
      <c r="N284" s="32" t="s">
        <v>80</v>
      </c>
      <c r="O284" s="31">
        <f>7380</f>
        <v>7380</v>
      </c>
      <c r="P284" s="32" t="s">
        <v>56</v>
      </c>
      <c r="Q284" s="31">
        <f>7528</f>
        <v>7528</v>
      </c>
      <c r="R284" s="32" t="s">
        <v>997</v>
      </c>
      <c r="S284" s="33">
        <f>7489.68</f>
        <v>7489.68</v>
      </c>
      <c r="T284" s="30">
        <f>38316</f>
        <v>38316</v>
      </c>
      <c r="U284" s="30" t="str">
        <f>"－"</f>
        <v>－</v>
      </c>
      <c r="V284" s="30">
        <f>284751709</f>
        <v>284751709</v>
      </c>
      <c r="W284" s="30" t="str">
        <f>"－"</f>
        <v>－</v>
      </c>
      <c r="X284" s="34">
        <f>19</f>
        <v>19</v>
      </c>
    </row>
    <row r="285" spans="1:24" ht="13.5" customHeight="1" x14ac:dyDescent="0.15">
      <c r="A285" s="25" t="s">
        <v>994</v>
      </c>
      <c r="B285" s="25" t="s">
        <v>872</v>
      </c>
      <c r="C285" s="25" t="s">
        <v>873</v>
      </c>
      <c r="D285" s="25" t="s">
        <v>874</v>
      </c>
      <c r="E285" s="26" t="s">
        <v>45</v>
      </c>
      <c r="F285" s="27" t="s">
        <v>45</v>
      </c>
      <c r="G285" s="28" t="s">
        <v>45</v>
      </c>
      <c r="H285" s="29"/>
      <c r="I285" s="29" t="s">
        <v>46</v>
      </c>
      <c r="J285" s="30">
        <v>1</v>
      </c>
      <c r="K285" s="31">
        <f>6256</f>
        <v>6256</v>
      </c>
      <c r="L285" s="32" t="s">
        <v>995</v>
      </c>
      <c r="M285" s="31">
        <f>6337</f>
        <v>6337</v>
      </c>
      <c r="N285" s="32" t="s">
        <v>996</v>
      </c>
      <c r="O285" s="31">
        <f>5995</f>
        <v>5995</v>
      </c>
      <c r="P285" s="32" t="s">
        <v>255</v>
      </c>
      <c r="Q285" s="31">
        <f>6010</f>
        <v>6010</v>
      </c>
      <c r="R285" s="32" t="s">
        <v>997</v>
      </c>
      <c r="S285" s="33">
        <f>6130.58</f>
        <v>6130.58</v>
      </c>
      <c r="T285" s="30">
        <f>111209</f>
        <v>111209</v>
      </c>
      <c r="U285" s="30">
        <f>40000</f>
        <v>40000</v>
      </c>
      <c r="V285" s="30">
        <f>681070282</f>
        <v>681070282</v>
      </c>
      <c r="W285" s="30">
        <f>247005135</f>
        <v>247005135</v>
      </c>
      <c r="X285" s="34">
        <f>19</f>
        <v>19</v>
      </c>
    </row>
    <row r="286" spans="1:24" ht="13.5" customHeight="1" x14ac:dyDescent="0.15">
      <c r="A286" s="25" t="s">
        <v>994</v>
      </c>
      <c r="B286" s="25" t="s">
        <v>878</v>
      </c>
      <c r="C286" s="25" t="s">
        <v>879</v>
      </c>
      <c r="D286" s="25" t="s">
        <v>880</v>
      </c>
      <c r="E286" s="26" t="s">
        <v>45</v>
      </c>
      <c r="F286" s="27" t="s">
        <v>45</v>
      </c>
      <c r="G286" s="28" t="s">
        <v>45</v>
      </c>
      <c r="H286" s="29"/>
      <c r="I286" s="29" t="s">
        <v>46</v>
      </c>
      <c r="J286" s="30">
        <v>1</v>
      </c>
      <c r="K286" s="31">
        <f>14780</f>
        <v>14780</v>
      </c>
      <c r="L286" s="32" t="s">
        <v>995</v>
      </c>
      <c r="M286" s="31">
        <f>16110</f>
        <v>16110</v>
      </c>
      <c r="N286" s="32" t="s">
        <v>876</v>
      </c>
      <c r="O286" s="31">
        <f>14750</f>
        <v>14750</v>
      </c>
      <c r="P286" s="32" t="s">
        <v>995</v>
      </c>
      <c r="Q286" s="31">
        <f>15510</f>
        <v>15510</v>
      </c>
      <c r="R286" s="32" t="s">
        <v>997</v>
      </c>
      <c r="S286" s="33">
        <f>15478.16</f>
        <v>15478.16</v>
      </c>
      <c r="T286" s="30">
        <f>310743</f>
        <v>310743</v>
      </c>
      <c r="U286" s="30" t="str">
        <f>"－"</f>
        <v>－</v>
      </c>
      <c r="V286" s="30">
        <f>4813715770</f>
        <v>4813715770</v>
      </c>
      <c r="W286" s="30" t="str">
        <f>"－"</f>
        <v>－</v>
      </c>
      <c r="X286" s="34">
        <f>19</f>
        <v>19</v>
      </c>
    </row>
    <row r="287" spans="1:24" ht="13.5" customHeight="1" x14ac:dyDescent="0.15">
      <c r="A287" s="25" t="s">
        <v>994</v>
      </c>
      <c r="B287" s="25" t="s">
        <v>881</v>
      </c>
      <c r="C287" s="25" t="s">
        <v>882</v>
      </c>
      <c r="D287" s="25" t="s">
        <v>883</v>
      </c>
      <c r="E287" s="26" t="s">
        <v>45</v>
      </c>
      <c r="F287" s="27" t="s">
        <v>45</v>
      </c>
      <c r="G287" s="28" t="s">
        <v>45</v>
      </c>
      <c r="H287" s="29"/>
      <c r="I287" s="29" t="s">
        <v>46</v>
      </c>
      <c r="J287" s="30">
        <v>1</v>
      </c>
      <c r="K287" s="31">
        <f>8182</f>
        <v>8182</v>
      </c>
      <c r="L287" s="32" t="s">
        <v>995</v>
      </c>
      <c r="M287" s="31">
        <f>8659</f>
        <v>8659</v>
      </c>
      <c r="N287" s="32" t="s">
        <v>1000</v>
      </c>
      <c r="O287" s="31">
        <f>8115</f>
        <v>8115</v>
      </c>
      <c r="P287" s="32" t="s">
        <v>255</v>
      </c>
      <c r="Q287" s="31">
        <f>8168</f>
        <v>8168</v>
      </c>
      <c r="R287" s="32" t="s">
        <v>997</v>
      </c>
      <c r="S287" s="33">
        <f>8394.89</f>
        <v>8394.89</v>
      </c>
      <c r="T287" s="30">
        <f>622339</f>
        <v>622339</v>
      </c>
      <c r="U287" s="30" t="str">
        <f>"－"</f>
        <v>－</v>
      </c>
      <c r="V287" s="30">
        <f>5234905495</f>
        <v>5234905495</v>
      </c>
      <c r="W287" s="30" t="str">
        <f>"－"</f>
        <v>－</v>
      </c>
      <c r="X287" s="34">
        <f>19</f>
        <v>19</v>
      </c>
    </row>
    <row r="288" spans="1:24" ht="13.5" customHeight="1" x14ac:dyDescent="0.15">
      <c r="A288" s="25" t="s">
        <v>994</v>
      </c>
      <c r="B288" s="25" t="s">
        <v>884</v>
      </c>
      <c r="C288" s="25" t="s">
        <v>885</v>
      </c>
      <c r="D288" s="25" t="s">
        <v>886</v>
      </c>
      <c r="E288" s="26" t="s">
        <v>45</v>
      </c>
      <c r="F288" s="27" t="s">
        <v>45</v>
      </c>
      <c r="G288" s="28" t="s">
        <v>45</v>
      </c>
      <c r="H288" s="29"/>
      <c r="I288" s="29" t="s">
        <v>46</v>
      </c>
      <c r="J288" s="30">
        <v>1</v>
      </c>
      <c r="K288" s="31">
        <f>30280</f>
        <v>30280</v>
      </c>
      <c r="L288" s="32" t="s">
        <v>995</v>
      </c>
      <c r="M288" s="31">
        <f>30420</f>
        <v>30420</v>
      </c>
      <c r="N288" s="32" t="s">
        <v>255</v>
      </c>
      <c r="O288" s="31">
        <f>28585</f>
        <v>28585</v>
      </c>
      <c r="P288" s="32" t="s">
        <v>1000</v>
      </c>
      <c r="Q288" s="31">
        <f>30220</f>
        <v>30220</v>
      </c>
      <c r="R288" s="32" t="s">
        <v>997</v>
      </c>
      <c r="S288" s="33">
        <f>29472.37</f>
        <v>29472.37</v>
      </c>
      <c r="T288" s="30">
        <f>863905</f>
        <v>863905</v>
      </c>
      <c r="U288" s="30">
        <f>414005</f>
        <v>414005</v>
      </c>
      <c r="V288" s="30">
        <f>25419683230</f>
        <v>25419683230</v>
      </c>
      <c r="W288" s="30">
        <f>12182966430</f>
        <v>12182966430</v>
      </c>
      <c r="X288" s="34">
        <f>19</f>
        <v>19</v>
      </c>
    </row>
    <row r="289" spans="1:24" ht="13.5" customHeight="1" x14ac:dyDescent="0.15">
      <c r="A289" s="25" t="s">
        <v>994</v>
      </c>
      <c r="B289" s="25" t="s">
        <v>887</v>
      </c>
      <c r="C289" s="25" t="s">
        <v>888</v>
      </c>
      <c r="D289" s="25" t="s">
        <v>889</v>
      </c>
      <c r="E289" s="26" t="s">
        <v>45</v>
      </c>
      <c r="F289" s="27" t="s">
        <v>45</v>
      </c>
      <c r="G289" s="28" t="s">
        <v>45</v>
      </c>
      <c r="H289" s="29"/>
      <c r="I289" s="29" t="s">
        <v>46</v>
      </c>
      <c r="J289" s="30">
        <v>10</v>
      </c>
      <c r="K289" s="31">
        <f>4480</f>
        <v>4480</v>
      </c>
      <c r="L289" s="32" t="s">
        <v>999</v>
      </c>
      <c r="M289" s="31">
        <f>4538</f>
        <v>4538</v>
      </c>
      <c r="N289" s="32" t="s">
        <v>996</v>
      </c>
      <c r="O289" s="31">
        <f>4324</f>
        <v>4324</v>
      </c>
      <c r="P289" s="32" t="s">
        <v>1001</v>
      </c>
      <c r="Q289" s="31">
        <f>4324</f>
        <v>4324</v>
      </c>
      <c r="R289" s="32" t="s">
        <v>1001</v>
      </c>
      <c r="S289" s="33">
        <f>4402.78</f>
        <v>4402.78</v>
      </c>
      <c r="T289" s="30">
        <f>560</f>
        <v>560</v>
      </c>
      <c r="U289" s="30" t="str">
        <f>"－"</f>
        <v>－</v>
      </c>
      <c r="V289" s="30">
        <f>2462730</f>
        <v>2462730</v>
      </c>
      <c r="W289" s="30" t="str">
        <f>"－"</f>
        <v>－</v>
      </c>
      <c r="X289" s="34">
        <f>9</f>
        <v>9</v>
      </c>
    </row>
    <row r="290" spans="1:24" ht="13.5" customHeight="1" x14ac:dyDescent="0.15">
      <c r="A290" s="25" t="s">
        <v>994</v>
      </c>
      <c r="B290" s="25" t="s">
        <v>890</v>
      </c>
      <c r="C290" s="25" t="s">
        <v>891</v>
      </c>
      <c r="D290" s="25" t="s">
        <v>892</v>
      </c>
      <c r="E290" s="26" t="s">
        <v>45</v>
      </c>
      <c r="F290" s="27" t="s">
        <v>45</v>
      </c>
      <c r="G290" s="28" t="s">
        <v>45</v>
      </c>
      <c r="H290" s="29"/>
      <c r="I290" s="29" t="s">
        <v>46</v>
      </c>
      <c r="J290" s="30">
        <v>10</v>
      </c>
      <c r="K290" s="31">
        <f>5062</f>
        <v>5062</v>
      </c>
      <c r="L290" s="32" t="s">
        <v>995</v>
      </c>
      <c r="M290" s="31">
        <f>5077</f>
        <v>5077</v>
      </c>
      <c r="N290" s="32" t="s">
        <v>999</v>
      </c>
      <c r="O290" s="31">
        <f>4882</f>
        <v>4882</v>
      </c>
      <c r="P290" s="32" t="s">
        <v>56</v>
      </c>
      <c r="Q290" s="31">
        <f>4908</f>
        <v>4908</v>
      </c>
      <c r="R290" s="32" t="s">
        <v>997</v>
      </c>
      <c r="S290" s="33">
        <f>4965.29</f>
        <v>4965.29</v>
      </c>
      <c r="T290" s="30">
        <f>10490</f>
        <v>10490</v>
      </c>
      <c r="U290" s="30" t="str">
        <f>"－"</f>
        <v>－</v>
      </c>
      <c r="V290" s="30">
        <f>52364790</f>
        <v>52364790</v>
      </c>
      <c r="W290" s="30" t="str">
        <f>"－"</f>
        <v>－</v>
      </c>
      <c r="X290" s="34">
        <f>14</f>
        <v>14</v>
      </c>
    </row>
    <row r="291" spans="1:24" ht="13.5" customHeight="1" x14ac:dyDescent="0.15">
      <c r="A291" s="25" t="s">
        <v>994</v>
      </c>
      <c r="B291" s="25" t="s">
        <v>902</v>
      </c>
      <c r="C291" s="25" t="s">
        <v>903</v>
      </c>
      <c r="D291" s="25" t="s">
        <v>904</v>
      </c>
      <c r="E291" s="26" t="s">
        <v>45</v>
      </c>
      <c r="F291" s="27" t="s">
        <v>45</v>
      </c>
      <c r="G291" s="28" t="s">
        <v>45</v>
      </c>
      <c r="H291" s="29"/>
      <c r="I291" s="29" t="s">
        <v>46</v>
      </c>
      <c r="J291" s="30">
        <v>10</v>
      </c>
      <c r="K291" s="31">
        <f>1708</f>
        <v>1708</v>
      </c>
      <c r="L291" s="32" t="s">
        <v>995</v>
      </c>
      <c r="M291" s="31">
        <f>1808</f>
        <v>1808</v>
      </c>
      <c r="N291" s="32" t="s">
        <v>1000</v>
      </c>
      <c r="O291" s="31">
        <f>1692</f>
        <v>1692</v>
      </c>
      <c r="P291" s="32" t="s">
        <v>255</v>
      </c>
      <c r="Q291" s="31">
        <f>1703</f>
        <v>1703</v>
      </c>
      <c r="R291" s="32" t="s">
        <v>997</v>
      </c>
      <c r="S291" s="33">
        <f>1750.74</f>
        <v>1750.74</v>
      </c>
      <c r="T291" s="30">
        <f>4593380</f>
        <v>4593380</v>
      </c>
      <c r="U291" s="30">
        <f>1201200</f>
        <v>1201200</v>
      </c>
      <c r="V291" s="30">
        <f>8063547157</f>
        <v>8063547157</v>
      </c>
      <c r="W291" s="30">
        <f>2100978327</f>
        <v>2100978327</v>
      </c>
      <c r="X291" s="34">
        <f>19</f>
        <v>19</v>
      </c>
    </row>
    <row r="292" spans="1:24" ht="13.5" customHeight="1" x14ac:dyDescent="0.15">
      <c r="A292" s="25" t="s">
        <v>994</v>
      </c>
      <c r="B292" s="25" t="s">
        <v>905</v>
      </c>
      <c r="C292" s="25" t="s">
        <v>906</v>
      </c>
      <c r="D292" s="25" t="s">
        <v>907</v>
      </c>
      <c r="E292" s="26" t="s">
        <v>45</v>
      </c>
      <c r="F292" s="27" t="s">
        <v>45</v>
      </c>
      <c r="G292" s="28" t="s">
        <v>45</v>
      </c>
      <c r="H292" s="29"/>
      <c r="I292" s="29" t="s">
        <v>46</v>
      </c>
      <c r="J292" s="30">
        <v>10</v>
      </c>
      <c r="K292" s="31">
        <f>1960</f>
        <v>1960</v>
      </c>
      <c r="L292" s="32" t="s">
        <v>995</v>
      </c>
      <c r="M292" s="31">
        <f>1966.5</f>
        <v>1966.5</v>
      </c>
      <c r="N292" s="32" t="s">
        <v>1000</v>
      </c>
      <c r="O292" s="31">
        <f>1868</f>
        <v>1868</v>
      </c>
      <c r="P292" s="32" t="s">
        <v>255</v>
      </c>
      <c r="Q292" s="31">
        <f>1875</f>
        <v>1875</v>
      </c>
      <c r="R292" s="32" t="s">
        <v>997</v>
      </c>
      <c r="S292" s="33">
        <f>1931.32</f>
        <v>1931.32</v>
      </c>
      <c r="T292" s="30">
        <f>1099400</f>
        <v>1099400</v>
      </c>
      <c r="U292" s="30">
        <f>160020</f>
        <v>160020</v>
      </c>
      <c r="V292" s="30">
        <f>2115699890</f>
        <v>2115699890</v>
      </c>
      <c r="W292" s="30">
        <f>302646735</f>
        <v>302646735</v>
      </c>
      <c r="X292" s="34">
        <f>19</f>
        <v>19</v>
      </c>
    </row>
    <row r="293" spans="1:24" ht="13.5" customHeight="1" x14ac:dyDescent="0.15">
      <c r="A293" s="25" t="s">
        <v>994</v>
      </c>
      <c r="B293" s="25" t="s">
        <v>908</v>
      </c>
      <c r="C293" s="25" t="s">
        <v>909</v>
      </c>
      <c r="D293" s="25" t="s">
        <v>910</v>
      </c>
      <c r="E293" s="26" t="s">
        <v>45</v>
      </c>
      <c r="F293" s="27" t="s">
        <v>45</v>
      </c>
      <c r="G293" s="28" t="s">
        <v>45</v>
      </c>
      <c r="H293" s="29"/>
      <c r="I293" s="29" t="s">
        <v>46</v>
      </c>
      <c r="J293" s="30">
        <v>1</v>
      </c>
      <c r="K293" s="31">
        <f>1570</f>
        <v>1570</v>
      </c>
      <c r="L293" s="32" t="s">
        <v>995</v>
      </c>
      <c r="M293" s="31">
        <f>1574</f>
        <v>1574</v>
      </c>
      <c r="N293" s="32" t="s">
        <v>875</v>
      </c>
      <c r="O293" s="31">
        <f>1545</f>
        <v>1545</v>
      </c>
      <c r="P293" s="32" t="s">
        <v>78</v>
      </c>
      <c r="Q293" s="31">
        <f>1568</f>
        <v>1568</v>
      </c>
      <c r="R293" s="32" t="s">
        <v>997</v>
      </c>
      <c r="S293" s="33">
        <f>1558.65</f>
        <v>1558.65</v>
      </c>
      <c r="T293" s="30">
        <f>372</f>
        <v>372</v>
      </c>
      <c r="U293" s="30" t="str">
        <f>"－"</f>
        <v>－</v>
      </c>
      <c r="V293" s="30">
        <f>581480</f>
        <v>581480</v>
      </c>
      <c r="W293" s="30" t="str">
        <f>"－"</f>
        <v>－</v>
      </c>
      <c r="X293" s="34">
        <f>17</f>
        <v>17</v>
      </c>
    </row>
    <row r="294" spans="1:24" ht="13.5" customHeight="1" x14ac:dyDescent="0.15">
      <c r="A294" s="25" t="s">
        <v>994</v>
      </c>
      <c r="B294" s="25" t="s">
        <v>911</v>
      </c>
      <c r="C294" s="25" t="s">
        <v>912</v>
      </c>
      <c r="D294" s="25" t="s">
        <v>913</v>
      </c>
      <c r="E294" s="26" t="s">
        <v>45</v>
      </c>
      <c r="F294" s="27" t="s">
        <v>45</v>
      </c>
      <c r="G294" s="28" t="s">
        <v>45</v>
      </c>
      <c r="H294" s="29"/>
      <c r="I294" s="29" t="s">
        <v>46</v>
      </c>
      <c r="J294" s="30">
        <v>1</v>
      </c>
      <c r="K294" s="31">
        <f>1564</f>
        <v>1564</v>
      </c>
      <c r="L294" s="32" t="s">
        <v>995</v>
      </c>
      <c r="M294" s="31">
        <f>1571</f>
        <v>1571</v>
      </c>
      <c r="N294" s="32" t="s">
        <v>875</v>
      </c>
      <c r="O294" s="31">
        <f>1542</f>
        <v>1542</v>
      </c>
      <c r="P294" s="32" t="s">
        <v>1001</v>
      </c>
      <c r="Q294" s="31">
        <f>1564</f>
        <v>1564</v>
      </c>
      <c r="R294" s="32" t="s">
        <v>997</v>
      </c>
      <c r="S294" s="33">
        <f>1557.58</f>
        <v>1557.58</v>
      </c>
      <c r="T294" s="30">
        <f>402</f>
        <v>402</v>
      </c>
      <c r="U294" s="30" t="str">
        <f>"－"</f>
        <v>－</v>
      </c>
      <c r="V294" s="30">
        <f>626811</f>
        <v>626811</v>
      </c>
      <c r="W294" s="30" t="str">
        <f>"－"</f>
        <v>－</v>
      </c>
      <c r="X294" s="34">
        <f>12</f>
        <v>12</v>
      </c>
    </row>
    <row r="295" spans="1:24" ht="13.5" customHeight="1" x14ac:dyDescent="0.15">
      <c r="A295" s="25" t="s">
        <v>994</v>
      </c>
      <c r="B295" s="25" t="s">
        <v>914</v>
      </c>
      <c r="C295" s="25" t="s">
        <v>915</v>
      </c>
      <c r="D295" s="25" t="s">
        <v>916</v>
      </c>
      <c r="E295" s="26" t="s">
        <v>45</v>
      </c>
      <c r="F295" s="27" t="s">
        <v>45</v>
      </c>
      <c r="G295" s="28" t="s">
        <v>45</v>
      </c>
      <c r="H295" s="29"/>
      <c r="I295" s="29" t="s">
        <v>46</v>
      </c>
      <c r="J295" s="30">
        <v>1</v>
      </c>
      <c r="K295" s="31">
        <f>3210</f>
        <v>3210</v>
      </c>
      <c r="L295" s="32" t="s">
        <v>995</v>
      </c>
      <c r="M295" s="31">
        <f>3340</f>
        <v>3340</v>
      </c>
      <c r="N295" s="32" t="s">
        <v>998</v>
      </c>
      <c r="O295" s="31">
        <f>3180</f>
        <v>3180</v>
      </c>
      <c r="P295" s="32" t="s">
        <v>999</v>
      </c>
      <c r="Q295" s="31">
        <f>3255</f>
        <v>3255</v>
      </c>
      <c r="R295" s="32" t="s">
        <v>997</v>
      </c>
      <c r="S295" s="33">
        <f>3234.74</f>
        <v>3234.74</v>
      </c>
      <c r="T295" s="30">
        <f>2644</f>
        <v>2644</v>
      </c>
      <c r="U295" s="30" t="str">
        <f>"－"</f>
        <v>－</v>
      </c>
      <c r="V295" s="30">
        <f>8571715</f>
        <v>8571715</v>
      </c>
      <c r="W295" s="30" t="str">
        <f>"－"</f>
        <v>－</v>
      </c>
      <c r="X295" s="34">
        <f>19</f>
        <v>19</v>
      </c>
    </row>
    <row r="296" spans="1:24" ht="13.5" customHeight="1" x14ac:dyDescent="0.15">
      <c r="A296" s="25" t="s">
        <v>994</v>
      </c>
      <c r="B296" s="25" t="s">
        <v>917</v>
      </c>
      <c r="C296" s="25" t="s">
        <v>918</v>
      </c>
      <c r="D296" s="25" t="s">
        <v>919</v>
      </c>
      <c r="E296" s="26" t="s">
        <v>45</v>
      </c>
      <c r="F296" s="27" t="s">
        <v>45</v>
      </c>
      <c r="G296" s="28" t="s">
        <v>45</v>
      </c>
      <c r="H296" s="29"/>
      <c r="I296" s="29" t="s">
        <v>46</v>
      </c>
      <c r="J296" s="30">
        <v>10</v>
      </c>
      <c r="K296" s="31">
        <f>2000</f>
        <v>2000</v>
      </c>
      <c r="L296" s="32" t="s">
        <v>78</v>
      </c>
      <c r="M296" s="31">
        <f>2000</f>
        <v>2000</v>
      </c>
      <c r="N296" s="32" t="s">
        <v>78</v>
      </c>
      <c r="O296" s="31">
        <f>1950</f>
        <v>1950</v>
      </c>
      <c r="P296" s="32" t="s">
        <v>1001</v>
      </c>
      <c r="Q296" s="31">
        <f>1975.5</f>
        <v>1975.5</v>
      </c>
      <c r="R296" s="32" t="s">
        <v>997</v>
      </c>
      <c r="S296" s="33">
        <f>1979</f>
        <v>1979</v>
      </c>
      <c r="T296" s="30">
        <f>240</f>
        <v>240</v>
      </c>
      <c r="U296" s="30" t="str">
        <f>"－"</f>
        <v>－</v>
      </c>
      <c r="V296" s="30">
        <f>477200</f>
        <v>477200</v>
      </c>
      <c r="W296" s="30" t="str">
        <f>"－"</f>
        <v>－</v>
      </c>
      <c r="X296" s="34">
        <f>5</f>
        <v>5</v>
      </c>
    </row>
    <row r="297" spans="1:24" ht="13.5" customHeight="1" x14ac:dyDescent="0.15">
      <c r="A297" s="25" t="s">
        <v>994</v>
      </c>
      <c r="B297" s="25" t="s">
        <v>928</v>
      </c>
      <c r="C297" s="25" t="s">
        <v>929</v>
      </c>
      <c r="D297" s="25" t="s">
        <v>930</v>
      </c>
      <c r="E297" s="26" t="s">
        <v>45</v>
      </c>
      <c r="F297" s="27" t="s">
        <v>45</v>
      </c>
      <c r="G297" s="28" t="s">
        <v>45</v>
      </c>
      <c r="H297" s="29"/>
      <c r="I297" s="29" t="s">
        <v>46</v>
      </c>
      <c r="J297" s="30">
        <v>10</v>
      </c>
      <c r="K297" s="31">
        <f>204.1</f>
        <v>204.1</v>
      </c>
      <c r="L297" s="32" t="s">
        <v>995</v>
      </c>
      <c r="M297" s="31">
        <f>213</f>
        <v>213</v>
      </c>
      <c r="N297" s="32" t="s">
        <v>876</v>
      </c>
      <c r="O297" s="31">
        <f>195.2</f>
        <v>195.2</v>
      </c>
      <c r="P297" s="32" t="s">
        <v>875</v>
      </c>
      <c r="Q297" s="31">
        <f>204.5</f>
        <v>204.5</v>
      </c>
      <c r="R297" s="32" t="s">
        <v>997</v>
      </c>
      <c r="S297" s="33">
        <f>203.25</f>
        <v>203.25</v>
      </c>
      <c r="T297" s="30">
        <f>5820</f>
        <v>5820</v>
      </c>
      <c r="U297" s="30" t="str">
        <f>"－"</f>
        <v>－</v>
      </c>
      <c r="V297" s="30">
        <f>1190176</f>
        <v>1190176</v>
      </c>
      <c r="W297" s="30" t="str">
        <f>"－"</f>
        <v>－</v>
      </c>
      <c r="X297" s="34">
        <f>19</f>
        <v>19</v>
      </c>
    </row>
    <row r="298" spans="1:24" ht="13.5" customHeight="1" x14ac:dyDescent="0.15">
      <c r="A298" s="25" t="s">
        <v>994</v>
      </c>
      <c r="B298" s="25" t="s">
        <v>920</v>
      </c>
      <c r="C298" s="25" t="s">
        <v>921</v>
      </c>
      <c r="D298" s="25" t="s">
        <v>922</v>
      </c>
      <c r="E298" s="26" t="s">
        <v>45</v>
      </c>
      <c r="F298" s="27" t="s">
        <v>45</v>
      </c>
      <c r="G298" s="28" t="s">
        <v>45</v>
      </c>
      <c r="H298" s="29"/>
      <c r="I298" s="29" t="s">
        <v>46</v>
      </c>
      <c r="J298" s="30">
        <v>10</v>
      </c>
      <c r="K298" s="31">
        <f>187.6</f>
        <v>187.6</v>
      </c>
      <c r="L298" s="32" t="s">
        <v>995</v>
      </c>
      <c r="M298" s="31">
        <f>187.6</f>
        <v>187.6</v>
      </c>
      <c r="N298" s="32" t="s">
        <v>995</v>
      </c>
      <c r="O298" s="31">
        <f>181.6</f>
        <v>181.6</v>
      </c>
      <c r="P298" s="32" t="s">
        <v>56</v>
      </c>
      <c r="Q298" s="31">
        <f>186.4</f>
        <v>186.4</v>
      </c>
      <c r="R298" s="32" t="s">
        <v>997</v>
      </c>
      <c r="S298" s="33">
        <f>185.47</f>
        <v>185.47</v>
      </c>
      <c r="T298" s="30">
        <f>319870</f>
        <v>319870</v>
      </c>
      <c r="U298" s="30">
        <f>310000</f>
        <v>310000</v>
      </c>
      <c r="V298" s="30">
        <f>59842942</f>
        <v>59842942</v>
      </c>
      <c r="W298" s="30">
        <f>58016500</f>
        <v>58016500</v>
      </c>
      <c r="X298" s="34">
        <f>19</f>
        <v>19</v>
      </c>
    </row>
    <row r="299" spans="1:24" ht="13.5" customHeight="1" x14ac:dyDescent="0.15">
      <c r="A299" s="25" t="s">
        <v>994</v>
      </c>
      <c r="B299" s="25" t="s">
        <v>923</v>
      </c>
      <c r="C299" s="25" t="s">
        <v>924</v>
      </c>
      <c r="D299" s="25" t="s">
        <v>925</v>
      </c>
      <c r="E299" s="26" t="s">
        <v>45</v>
      </c>
      <c r="F299" s="27" t="s">
        <v>45</v>
      </c>
      <c r="G299" s="28" t="s">
        <v>45</v>
      </c>
      <c r="H299" s="29"/>
      <c r="I299" s="29" t="s">
        <v>46</v>
      </c>
      <c r="J299" s="30">
        <v>10</v>
      </c>
      <c r="K299" s="31">
        <f>718.3</f>
        <v>718.3</v>
      </c>
      <c r="L299" s="32" t="s">
        <v>995</v>
      </c>
      <c r="M299" s="31">
        <f>724.3</f>
        <v>724.3</v>
      </c>
      <c r="N299" s="32" t="s">
        <v>999</v>
      </c>
      <c r="O299" s="31">
        <f>705.8</f>
        <v>705.8</v>
      </c>
      <c r="P299" s="32" t="s">
        <v>997</v>
      </c>
      <c r="Q299" s="31">
        <f>706</f>
        <v>706</v>
      </c>
      <c r="R299" s="32" t="s">
        <v>997</v>
      </c>
      <c r="S299" s="33">
        <f>715.63</f>
        <v>715.63</v>
      </c>
      <c r="T299" s="30">
        <f>22350</f>
        <v>22350</v>
      </c>
      <c r="U299" s="30">
        <f>18590</f>
        <v>18590</v>
      </c>
      <c r="V299" s="30">
        <f>15994024</f>
        <v>15994024</v>
      </c>
      <c r="W299" s="30">
        <f>13329167</f>
        <v>13329167</v>
      </c>
      <c r="X299" s="34">
        <f>11</f>
        <v>11</v>
      </c>
    </row>
    <row r="300" spans="1:24" ht="13.5" customHeight="1" x14ac:dyDescent="0.15">
      <c r="A300" s="25" t="s">
        <v>994</v>
      </c>
      <c r="B300" s="25" t="s">
        <v>931</v>
      </c>
      <c r="C300" s="25" t="s">
        <v>932</v>
      </c>
      <c r="D300" s="25" t="s">
        <v>933</v>
      </c>
      <c r="E300" s="26" t="s">
        <v>45</v>
      </c>
      <c r="F300" s="27" t="s">
        <v>45</v>
      </c>
      <c r="G300" s="28" t="s">
        <v>45</v>
      </c>
      <c r="H300" s="29"/>
      <c r="I300" s="29" t="s">
        <v>46</v>
      </c>
      <c r="J300" s="30">
        <v>1</v>
      </c>
      <c r="K300" s="31">
        <f>1059</f>
        <v>1059</v>
      </c>
      <c r="L300" s="32" t="s">
        <v>995</v>
      </c>
      <c r="M300" s="31">
        <f>1089</f>
        <v>1089</v>
      </c>
      <c r="N300" s="32" t="s">
        <v>78</v>
      </c>
      <c r="O300" s="31">
        <f>1008</f>
        <v>1008</v>
      </c>
      <c r="P300" s="32" t="s">
        <v>1001</v>
      </c>
      <c r="Q300" s="31">
        <f>1025</f>
        <v>1025</v>
      </c>
      <c r="R300" s="32" t="s">
        <v>997</v>
      </c>
      <c r="S300" s="33">
        <f>1049</f>
        <v>1049</v>
      </c>
      <c r="T300" s="30">
        <f>19415</f>
        <v>19415</v>
      </c>
      <c r="U300" s="30" t="str">
        <f>"－"</f>
        <v>－</v>
      </c>
      <c r="V300" s="30">
        <f>20575013</f>
        <v>20575013</v>
      </c>
      <c r="W300" s="30" t="str">
        <f>"－"</f>
        <v>－</v>
      </c>
      <c r="X300" s="34">
        <f>19</f>
        <v>19</v>
      </c>
    </row>
    <row r="301" spans="1:24" ht="13.5" customHeight="1" x14ac:dyDescent="0.15">
      <c r="A301" s="25" t="s">
        <v>994</v>
      </c>
      <c r="B301" s="25" t="s">
        <v>934</v>
      </c>
      <c r="C301" s="25" t="s">
        <v>935</v>
      </c>
      <c r="D301" s="25" t="s">
        <v>936</v>
      </c>
      <c r="E301" s="26" t="s">
        <v>45</v>
      </c>
      <c r="F301" s="27" t="s">
        <v>45</v>
      </c>
      <c r="G301" s="28" t="s">
        <v>45</v>
      </c>
      <c r="H301" s="29"/>
      <c r="I301" s="29" t="s">
        <v>46</v>
      </c>
      <c r="J301" s="30">
        <v>1</v>
      </c>
      <c r="K301" s="31">
        <f>956</f>
        <v>956</v>
      </c>
      <c r="L301" s="32" t="s">
        <v>995</v>
      </c>
      <c r="M301" s="31">
        <f>973</f>
        <v>973</v>
      </c>
      <c r="N301" s="32" t="s">
        <v>793</v>
      </c>
      <c r="O301" s="31">
        <f>935</f>
        <v>935</v>
      </c>
      <c r="P301" s="32" t="s">
        <v>792</v>
      </c>
      <c r="Q301" s="31">
        <f>958</f>
        <v>958</v>
      </c>
      <c r="R301" s="32" t="s">
        <v>997</v>
      </c>
      <c r="S301" s="33">
        <f>949.63</f>
        <v>949.63</v>
      </c>
      <c r="T301" s="30">
        <f>89968</f>
        <v>89968</v>
      </c>
      <c r="U301" s="30" t="str">
        <f>"－"</f>
        <v>－</v>
      </c>
      <c r="V301" s="30">
        <f>85174575</f>
        <v>85174575</v>
      </c>
      <c r="W301" s="30" t="str">
        <f>"－"</f>
        <v>－</v>
      </c>
      <c r="X301" s="34">
        <f>19</f>
        <v>19</v>
      </c>
    </row>
    <row r="302" spans="1:24" ht="13.5" customHeight="1" x14ac:dyDescent="0.15">
      <c r="A302" s="25" t="s">
        <v>994</v>
      </c>
      <c r="B302" s="25" t="s">
        <v>937</v>
      </c>
      <c r="C302" s="25" t="s">
        <v>938</v>
      </c>
      <c r="D302" s="25" t="s">
        <v>939</v>
      </c>
      <c r="E302" s="26" t="s">
        <v>45</v>
      </c>
      <c r="F302" s="27" t="s">
        <v>45</v>
      </c>
      <c r="G302" s="28" t="s">
        <v>45</v>
      </c>
      <c r="H302" s="29"/>
      <c r="I302" s="29" t="s">
        <v>46</v>
      </c>
      <c r="J302" s="30">
        <v>10</v>
      </c>
      <c r="K302" s="31">
        <f>760.4</f>
        <v>760.4</v>
      </c>
      <c r="L302" s="32" t="s">
        <v>995</v>
      </c>
      <c r="M302" s="31">
        <f>768</f>
        <v>768</v>
      </c>
      <c r="N302" s="32" t="s">
        <v>996</v>
      </c>
      <c r="O302" s="31">
        <f>740.1</f>
        <v>740.1</v>
      </c>
      <c r="P302" s="32" t="s">
        <v>255</v>
      </c>
      <c r="Q302" s="31">
        <f>741.4</f>
        <v>741.4</v>
      </c>
      <c r="R302" s="32" t="s">
        <v>997</v>
      </c>
      <c r="S302" s="33">
        <f>751.53</f>
        <v>751.53</v>
      </c>
      <c r="T302" s="30">
        <f>12197030</f>
        <v>12197030</v>
      </c>
      <c r="U302" s="30">
        <f>12029600</f>
        <v>12029600</v>
      </c>
      <c r="V302" s="30">
        <f>9125016184</f>
        <v>9125016184</v>
      </c>
      <c r="W302" s="30">
        <f>8999539980</f>
        <v>8999539980</v>
      </c>
      <c r="X302" s="34">
        <f>19</f>
        <v>19</v>
      </c>
    </row>
    <row r="303" spans="1:24" ht="13.5" customHeight="1" x14ac:dyDescent="0.15">
      <c r="A303" s="25" t="s">
        <v>994</v>
      </c>
      <c r="B303" s="25" t="s">
        <v>940</v>
      </c>
      <c r="C303" s="25" t="s">
        <v>941</v>
      </c>
      <c r="D303" s="25" t="s">
        <v>942</v>
      </c>
      <c r="E303" s="26" t="s">
        <v>45</v>
      </c>
      <c r="F303" s="27" t="s">
        <v>45</v>
      </c>
      <c r="G303" s="28" t="s">
        <v>45</v>
      </c>
      <c r="H303" s="29"/>
      <c r="I303" s="29" t="s">
        <v>46</v>
      </c>
      <c r="J303" s="30">
        <v>10</v>
      </c>
      <c r="K303" s="31">
        <f>737.4</f>
        <v>737.4</v>
      </c>
      <c r="L303" s="32" t="s">
        <v>996</v>
      </c>
      <c r="M303" s="31">
        <f>745</f>
        <v>745</v>
      </c>
      <c r="N303" s="32" t="s">
        <v>1003</v>
      </c>
      <c r="O303" s="31">
        <f>711.8</f>
        <v>711.8</v>
      </c>
      <c r="P303" s="32" t="s">
        <v>997</v>
      </c>
      <c r="Q303" s="31">
        <f>711.8</f>
        <v>711.8</v>
      </c>
      <c r="R303" s="32" t="s">
        <v>997</v>
      </c>
      <c r="S303" s="33">
        <f>722.14</f>
        <v>722.14</v>
      </c>
      <c r="T303" s="30">
        <f>127880</f>
        <v>127880</v>
      </c>
      <c r="U303" s="30">
        <f>111600</f>
        <v>111600</v>
      </c>
      <c r="V303" s="30">
        <f>92294340</f>
        <v>92294340</v>
      </c>
      <c r="W303" s="30">
        <f>80386560</f>
        <v>80386560</v>
      </c>
      <c r="X303" s="34">
        <f>16</f>
        <v>16</v>
      </c>
    </row>
    <row r="304" spans="1:24" ht="13.5" customHeight="1" x14ac:dyDescent="0.15">
      <c r="A304" s="25" t="s">
        <v>994</v>
      </c>
      <c r="B304" s="25" t="s">
        <v>943</v>
      </c>
      <c r="C304" s="25" t="s">
        <v>944</v>
      </c>
      <c r="D304" s="25" t="s">
        <v>945</v>
      </c>
      <c r="E304" s="26" t="s">
        <v>45</v>
      </c>
      <c r="F304" s="27" t="s">
        <v>45</v>
      </c>
      <c r="G304" s="28" t="s">
        <v>45</v>
      </c>
      <c r="H304" s="29"/>
      <c r="I304" s="29" t="s">
        <v>46</v>
      </c>
      <c r="J304" s="30">
        <v>1</v>
      </c>
      <c r="K304" s="31">
        <f>1020</f>
        <v>1020</v>
      </c>
      <c r="L304" s="32" t="s">
        <v>995</v>
      </c>
      <c r="M304" s="31">
        <f>1022</f>
        <v>1022</v>
      </c>
      <c r="N304" s="32" t="s">
        <v>78</v>
      </c>
      <c r="O304" s="31">
        <f>1006</f>
        <v>1006</v>
      </c>
      <c r="P304" s="32" t="s">
        <v>1001</v>
      </c>
      <c r="Q304" s="31">
        <f>1020</f>
        <v>1020</v>
      </c>
      <c r="R304" s="32" t="s">
        <v>997</v>
      </c>
      <c r="S304" s="33">
        <f>1018.32</f>
        <v>1018.32</v>
      </c>
      <c r="T304" s="30">
        <f>10321</f>
        <v>10321</v>
      </c>
      <c r="U304" s="30" t="str">
        <f>"－"</f>
        <v>－</v>
      </c>
      <c r="V304" s="30">
        <f>10505936</f>
        <v>10505936</v>
      </c>
      <c r="W304" s="30" t="str">
        <f>"－"</f>
        <v>－</v>
      </c>
      <c r="X304" s="34">
        <f>19</f>
        <v>19</v>
      </c>
    </row>
    <row r="305" spans="1:24" ht="13.5" customHeight="1" x14ac:dyDescent="0.15">
      <c r="A305" s="25" t="s">
        <v>994</v>
      </c>
      <c r="B305" s="25" t="s">
        <v>952</v>
      </c>
      <c r="C305" s="25" t="s">
        <v>953</v>
      </c>
      <c r="D305" s="25" t="s">
        <v>954</v>
      </c>
      <c r="E305" s="26" t="s">
        <v>45</v>
      </c>
      <c r="F305" s="27" t="s">
        <v>45</v>
      </c>
      <c r="G305" s="28" t="s">
        <v>45</v>
      </c>
      <c r="H305" s="29"/>
      <c r="I305" s="29" t="s">
        <v>46</v>
      </c>
      <c r="J305" s="30">
        <v>10</v>
      </c>
      <c r="K305" s="31">
        <f>2331.5</f>
        <v>2331.5</v>
      </c>
      <c r="L305" s="32" t="s">
        <v>999</v>
      </c>
      <c r="M305" s="31">
        <f>2392.5</f>
        <v>2392.5</v>
      </c>
      <c r="N305" s="32" t="s">
        <v>876</v>
      </c>
      <c r="O305" s="31">
        <f>2325.5</f>
        <v>2325.5</v>
      </c>
      <c r="P305" s="32" t="s">
        <v>255</v>
      </c>
      <c r="Q305" s="31">
        <f>2353.5</f>
        <v>2353.5</v>
      </c>
      <c r="R305" s="32" t="s">
        <v>997</v>
      </c>
      <c r="S305" s="33">
        <f>2353.69</f>
        <v>2353.69</v>
      </c>
      <c r="T305" s="30">
        <f>886520</f>
        <v>886520</v>
      </c>
      <c r="U305" s="30" t="str">
        <f>"－"</f>
        <v>－</v>
      </c>
      <c r="V305" s="30">
        <f>2081440050</f>
        <v>2081440050</v>
      </c>
      <c r="W305" s="30" t="str">
        <f>"－"</f>
        <v>－</v>
      </c>
      <c r="X305" s="34">
        <f>18</f>
        <v>18</v>
      </c>
    </row>
    <row r="306" spans="1:24" ht="13.5" customHeight="1" x14ac:dyDescent="0.15">
      <c r="A306" s="25" t="s">
        <v>994</v>
      </c>
      <c r="B306" s="25" t="s">
        <v>955</v>
      </c>
      <c r="C306" s="25" t="s">
        <v>956</v>
      </c>
      <c r="D306" s="25" t="s">
        <v>957</v>
      </c>
      <c r="E306" s="26" t="s">
        <v>45</v>
      </c>
      <c r="F306" s="27" t="s">
        <v>45</v>
      </c>
      <c r="G306" s="28" t="s">
        <v>45</v>
      </c>
      <c r="H306" s="29"/>
      <c r="I306" s="29" t="s">
        <v>46</v>
      </c>
      <c r="J306" s="30">
        <v>10</v>
      </c>
      <c r="K306" s="31">
        <f>2308</f>
        <v>2308</v>
      </c>
      <c r="L306" s="32" t="s">
        <v>995</v>
      </c>
      <c r="M306" s="31">
        <f>2384.5</f>
        <v>2384.5</v>
      </c>
      <c r="N306" s="32" t="s">
        <v>78</v>
      </c>
      <c r="O306" s="31">
        <f>2308</f>
        <v>2308</v>
      </c>
      <c r="P306" s="32" t="s">
        <v>995</v>
      </c>
      <c r="Q306" s="31">
        <f>2336.5</f>
        <v>2336.5</v>
      </c>
      <c r="R306" s="32" t="s">
        <v>997</v>
      </c>
      <c r="S306" s="33">
        <f>2342.37</f>
        <v>2342.37</v>
      </c>
      <c r="T306" s="30">
        <f>930300</f>
        <v>930300</v>
      </c>
      <c r="U306" s="30">
        <f>100</f>
        <v>100</v>
      </c>
      <c r="V306" s="30">
        <f>2164177025</f>
        <v>2164177025</v>
      </c>
      <c r="W306" s="30">
        <f>236525</f>
        <v>236525</v>
      </c>
      <c r="X306" s="34">
        <f>19</f>
        <v>19</v>
      </c>
    </row>
    <row r="307" spans="1:24" ht="13.5" customHeight="1" x14ac:dyDescent="0.15">
      <c r="A307" s="25" t="s">
        <v>994</v>
      </c>
      <c r="B307" s="25" t="s">
        <v>946</v>
      </c>
      <c r="C307" s="25" t="s">
        <v>947</v>
      </c>
      <c r="D307" s="25" t="s">
        <v>948</v>
      </c>
      <c r="E307" s="26" t="s">
        <v>45</v>
      </c>
      <c r="F307" s="27" t="s">
        <v>45</v>
      </c>
      <c r="G307" s="28" t="s">
        <v>45</v>
      </c>
      <c r="H307" s="29"/>
      <c r="I307" s="29" t="s">
        <v>46</v>
      </c>
      <c r="J307" s="30">
        <v>10</v>
      </c>
      <c r="K307" s="31">
        <f>4718</f>
        <v>4718</v>
      </c>
      <c r="L307" s="32" t="s">
        <v>255</v>
      </c>
      <c r="M307" s="31">
        <f>4723</f>
        <v>4723</v>
      </c>
      <c r="N307" s="32" t="s">
        <v>997</v>
      </c>
      <c r="O307" s="31">
        <f>4718</f>
        <v>4718</v>
      </c>
      <c r="P307" s="32" t="s">
        <v>255</v>
      </c>
      <c r="Q307" s="31">
        <f>4723</f>
        <v>4723</v>
      </c>
      <c r="R307" s="32" t="s">
        <v>997</v>
      </c>
      <c r="S307" s="33">
        <f>4720.5</f>
        <v>4720.5</v>
      </c>
      <c r="T307" s="30">
        <f>110</f>
        <v>110</v>
      </c>
      <c r="U307" s="30" t="str">
        <f>"－"</f>
        <v>－</v>
      </c>
      <c r="V307" s="30">
        <f>519480</f>
        <v>519480</v>
      </c>
      <c r="W307" s="30" t="str">
        <f>"－"</f>
        <v>－</v>
      </c>
      <c r="X307" s="34">
        <f>2</f>
        <v>2</v>
      </c>
    </row>
    <row r="308" spans="1:24" ht="13.5" customHeight="1" x14ac:dyDescent="0.15">
      <c r="A308" s="25" t="s">
        <v>994</v>
      </c>
      <c r="B308" s="25" t="s">
        <v>949</v>
      </c>
      <c r="C308" s="25" t="s">
        <v>950</v>
      </c>
      <c r="D308" s="25" t="s">
        <v>951</v>
      </c>
      <c r="E308" s="26" t="s">
        <v>45</v>
      </c>
      <c r="F308" s="27" t="s">
        <v>45</v>
      </c>
      <c r="G308" s="28" t="s">
        <v>45</v>
      </c>
      <c r="H308" s="29"/>
      <c r="I308" s="29" t="s">
        <v>46</v>
      </c>
      <c r="J308" s="30">
        <v>10</v>
      </c>
      <c r="K308" s="31">
        <f>4470</f>
        <v>4470</v>
      </c>
      <c r="L308" s="32" t="s">
        <v>1004</v>
      </c>
      <c r="M308" s="31">
        <f>4470</f>
        <v>4470</v>
      </c>
      <c r="N308" s="32" t="s">
        <v>1004</v>
      </c>
      <c r="O308" s="31">
        <f>4444</f>
        <v>4444</v>
      </c>
      <c r="P308" s="32" t="s">
        <v>1002</v>
      </c>
      <c r="Q308" s="31">
        <f>4444</f>
        <v>4444</v>
      </c>
      <c r="R308" s="32" t="s">
        <v>1002</v>
      </c>
      <c r="S308" s="33">
        <f>4457</f>
        <v>4457</v>
      </c>
      <c r="T308" s="30">
        <f>22020</f>
        <v>22020</v>
      </c>
      <c r="U308" s="30">
        <f>22000</f>
        <v>22000</v>
      </c>
      <c r="V308" s="30">
        <f>99269540</f>
        <v>99269540</v>
      </c>
      <c r="W308" s="30">
        <f>99180400</f>
        <v>99180400</v>
      </c>
      <c r="X308" s="34">
        <f>2</f>
        <v>2</v>
      </c>
    </row>
    <row r="309" spans="1:24" ht="13.5" customHeight="1" x14ac:dyDescent="0.15">
      <c r="A309" s="25" t="s">
        <v>994</v>
      </c>
      <c r="B309" s="25" t="s">
        <v>958</v>
      </c>
      <c r="C309" s="25" t="s">
        <v>959</v>
      </c>
      <c r="D309" s="25" t="s">
        <v>960</v>
      </c>
      <c r="E309" s="26" t="s">
        <v>45</v>
      </c>
      <c r="F309" s="27" t="s">
        <v>45</v>
      </c>
      <c r="G309" s="28" t="s">
        <v>45</v>
      </c>
      <c r="H309" s="29"/>
      <c r="I309" s="29" t="s">
        <v>46</v>
      </c>
      <c r="J309" s="30">
        <v>10</v>
      </c>
      <c r="K309" s="31">
        <f>2003.5</f>
        <v>2003.5</v>
      </c>
      <c r="L309" s="32" t="s">
        <v>999</v>
      </c>
      <c r="M309" s="31">
        <f>2013</f>
        <v>2013</v>
      </c>
      <c r="N309" s="32" t="s">
        <v>996</v>
      </c>
      <c r="O309" s="31">
        <f>1915.5</f>
        <v>1915.5</v>
      </c>
      <c r="P309" s="32" t="s">
        <v>255</v>
      </c>
      <c r="Q309" s="31">
        <f>1922.5</f>
        <v>1922.5</v>
      </c>
      <c r="R309" s="32" t="s">
        <v>997</v>
      </c>
      <c r="S309" s="33">
        <f>1961.33</f>
        <v>1961.33</v>
      </c>
      <c r="T309" s="30">
        <f>1690</f>
        <v>1690</v>
      </c>
      <c r="U309" s="30" t="str">
        <f>"－"</f>
        <v>－</v>
      </c>
      <c r="V309" s="30">
        <f>3307265</f>
        <v>3307265</v>
      </c>
      <c r="W309" s="30" t="str">
        <f>"－"</f>
        <v>－</v>
      </c>
      <c r="X309" s="34">
        <f>9</f>
        <v>9</v>
      </c>
    </row>
    <row r="310" spans="1:24" ht="13.5" customHeight="1" x14ac:dyDescent="0.15">
      <c r="A310" s="25" t="s">
        <v>994</v>
      </c>
      <c r="B310" s="25" t="s">
        <v>961</v>
      </c>
      <c r="C310" s="25" t="s">
        <v>962</v>
      </c>
      <c r="D310" s="25" t="s">
        <v>963</v>
      </c>
      <c r="E310" s="26" t="s">
        <v>45</v>
      </c>
      <c r="F310" s="27" t="s">
        <v>45</v>
      </c>
      <c r="G310" s="28" t="s">
        <v>45</v>
      </c>
      <c r="H310" s="29"/>
      <c r="I310" s="29" t="s">
        <v>46</v>
      </c>
      <c r="J310" s="30">
        <v>1</v>
      </c>
      <c r="K310" s="31">
        <f>1130</f>
        <v>1130</v>
      </c>
      <c r="L310" s="32" t="s">
        <v>995</v>
      </c>
      <c r="M310" s="31">
        <f>1170</f>
        <v>1170</v>
      </c>
      <c r="N310" s="32" t="s">
        <v>78</v>
      </c>
      <c r="O310" s="31">
        <f>1108</f>
        <v>1108</v>
      </c>
      <c r="P310" s="32" t="s">
        <v>56</v>
      </c>
      <c r="Q310" s="31">
        <f>1126</f>
        <v>1126</v>
      </c>
      <c r="R310" s="32" t="s">
        <v>997</v>
      </c>
      <c r="S310" s="33">
        <f>1137.11</f>
        <v>1137.1099999999999</v>
      </c>
      <c r="T310" s="30">
        <f>5225</f>
        <v>5225</v>
      </c>
      <c r="U310" s="30" t="str">
        <f>"－"</f>
        <v>－</v>
      </c>
      <c r="V310" s="30">
        <f>5941640</f>
        <v>5941640</v>
      </c>
      <c r="W310" s="30" t="str">
        <f>"－"</f>
        <v>－</v>
      </c>
      <c r="X310" s="34">
        <f>19</f>
        <v>19</v>
      </c>
    </row>
    <row r="311" spans="1:24" ht="13.5" customHeight="1" x14ac:dyDescent="0.15">
      <c r="A311" s="25" t="s">
        <v>994</v>
      </c>
      <c r="B311" s="25" t="s">
        <v>964</v>
      </c>
      <c r="C311" s="25" t="s">
        <v>965</v>
      </c>
      <c r="D311" s="25" t="s">
        <v>966</v>
      </c>
      <c r="E311" s="26" t="s">
        <v>45</v>
      </c>
      <c r="F311" s="27" t="s">
        <v>45</v>
      </c>
      <c r="G311" s="28" t="s">
        <v>45</v>
      </c>
      <c r="H311" s="29"/>
      <c r="I311" s="29" t="s">
        <v>46</v>
      </c>
      <c r="J311" s="30">
        <v>1</v>
      </c>
      <c r="K311" s="31">
        <f>949</f>
        <v>949</v>
      </c>
      <c r="L311" s="32" t="s">
        <v>995</v>
      </c>
      <c r="M311" s="31">
        <f>1002</f>
        <v>1002</v>
      </c>
      <c r="N311" s="32" t="s">
        <v>1000</v>
      </c>
      <c r="O311" s="31">
        <f>940</f>
        <v>940</v>
      </c>
      <c r="P311" s="32" t="s">
        <v>999</v>
      </c>
      <c r="Q311" s="31">
        <f>972</f>
        <v>972</v>
      </c>
      <c r="R311" s="32" t="s">
        <v>997</v>
      </c>
      <c r="S311" s="33">
        <f>966.21</f>
        <v>966.21</v>
      </c>
      <c r="T311" s="30">
        <f>711791</f>
        <v>711791</v>
      </c>
      <c r="U311" s="30" t="str">
        <f>"－"</f>
        <v>－</v>
      </c>
      <c r="V311" s="30">
        <f>686590012</f>
        <v>686590012</v>
      </c>
      <c r="W311" s="30" t="str">
        <f>"－"</f>
        <v>－</v>
      </c>
      <c r="X311" s="34">
        <f>19</f>
        <v>19</v>
      </c>
    </row>
    <row r="312" spans="1:24" ht="13.5" customHeight="1" x14ac:dyDescent="0.15">
      <c r="A312" s="25" t="s">
        <v>994</v>
      </c>
      <c r="B312" s="25" t="s">
        <v>967</v>
      </c>
      <c r="C312" s="25" t="s">
        <v>968</v>
      </c>
      <c r="D312" s="25" t="s">
        <v>969</v>
      </c>
      <c r="E312" s="26" t="s">
        <v>45</v>
      </c>
      <c r="F312" s="27" t="s">
        <v>45</v>
      </c>
      <c r="G312" s="28" t="s">
        <v>45</v>
      </c>
      <c r="H312" s="29"/>
      <c r="I312" s="29" t="s">
        <v>46</v>
      </c>
      <c r="J312" s="30">
        <v>1</v>
      </c>
      <c r="K312" s="31">
        <f>943</f>
        <v>943</v>
      </c>
      <c r="L312" s="32" t="s">
        <v>995</v>
      </c>
      <c r="M312" s="31">
        <f>960</f>
        <v>960</v>
      </c>
      <c r="N312" s="32" t="s">
        <v>997</v>
      </c>
      <c r="O312" s="31">
        <f>930</f>
        <v>930</v>
      </c>
      <c r="P312" s="32" t="s">
        <v>56</v>
      </c>
      <c r="Q312" s="31">
        <f>959</f>
        <v>959</v>
      </c>
      <c r="R312" s="32" t="s">
        <v>997</v>
      </c>
      <c r="S312" s="33">
        <f>945.95</f>
        <v>945.95</v>
      </c>
      <c r="T312" s="30">
        <f>234476</f>
        <v>234476</v>
      </c>
      <c r="U312" s="30">
        <f>18</f>
        <v>18</v>
      </c>
      <c r="V312" s="30">
        <f>221735086</f>
        <v>221735086</v>
      </c>
      <c r="W312" s="30">
        <f>17613</f>
        <v>17613</v>
      </c>
      <c r="X312" s="34">
        <f>19</f>
        <v>19</v>
      </c>
    </row>
    <row r="313" spans="1:24" ht="13.5" customHeight="1" x14ac:dyDescent="0.15">
      <c r="A313" s="25" t="s">
        <v>994</v>
      </c>
      <c r="B313" s="25" t="s">
        <v>974</v>
      </c>
      <c r="C313" s="25" t="s">
        <v>975</v>
      </c>
      <c r="D313" s="25" t="s">
        <v>976</v>
      </c>
      <c r="E313" s="26" t="s">
        <v>45</v>
      </c>
      <c r="F313" s="27" t="s">
        <v>45</v>
      </c>
      <c r="G313" s="28" t="s">
        <v>45</v>
      </c>
      <c r="H313" s="29"/>
      <c r="I313" s="29" t="s">
        <v>46</v>
      </c>
      <c r="J313" s="30">
        <v>1</v>
      </c>
      <c r="K313" s="31">
        <f>985</f>
        <v>985</v>
      </c>
      <c r="L313" s="32" t="s">
        <v>995</v>
      </c>
      <c r="M313" s="31">
        <f>1055</f>
        <v>1055</v>
      </c>
      <c r="N313" s="32" t="s">
        <v>876</v>
      </c>
      <c r="O313" s="31">
        <f>980</f>
        <v>980</v>
      </c>
      <c r="P313" s="32" t="s">
        <v>995</v>
      </c>
      <c r="Q313" s="31">
        <f>1005</f>
        <v>1005</v>
      </c>
      <c r="R313" s="32" t="s">
        <v>997</v>
      </c>
      <c r="S313" s="33">
        <f>1012.74</f>
        <v>1012.74</v>
      </c>
      <c r="T313" s="30">
        <f>165512</f>
        <v>165512</v>
      </c>
      <c r="U313" s="30" t="str">
        <f>"－"</f>
        <v>－</v>
      </c>
      <c r="V313" s="30">
        <f>166252199</f>
        <v>166252199</v>
      </c>
      <c r="W313" s="30" t="str">
        <f>"－"</f>
        <v>－</v>
      </c>
      <c r="X313" s="34">
        <f>19</f>
        <v>19</v>
      </c>
    </row>
    <row r="314" spans="1:24" ht="13.5" customHeight="1" x14ac:dyDescent="0.15">
      <c r="A314" s="25" t="s">
        <v>994</v>
      </c>
      <c r="B314" s="25" t="s">
        <v>977</v>
      </c>
      <c r="C314" s="25" t="s">
        <v>978</v>
      </c>
      <c r="D314" s="25" t="s">
        <v>979</v>
      </c>
      <c r="E314" s="26" t="s">
        <v>45</v>
      </c>
      <c r="F314" s="27" t="s">
        <v>45</v>
      </c>
      <c r="G314" s="28" t="s">
        <v>45</v>
      </c>
      <c r="H314" s="29"/>
      <c r="I314" s="29" t="s">
        <v>46</v>
      </c>
      <c r="J314" s="30">
        <v>1</v>
      </c>
      <c r="K314" s="31">
        <f>910</f>
        <v>910</v>
      </c>
      <c r="L314" s="32" t="s">
        <v>995</v>
      </c>
      <c r="M314" s="31">
        <f>949</f>
        <v>949</v>
      </c>
      <c r="N314" s="32" t="s">
        <v>997</v>
      </c>
      <c r="O314" s="31">
        <f>900</f>
        <v>900</v>
      </c>
      <c r="P314" s="32" t="s">
        <v>999</v>
      </c>
      <c r="Q314" s="31">
        <f>947</f>
        <v>947</v>
      </c>
      <c r="R314" s="32" t="s">
        <v>997</v>
      </c>
      <c r="S314" s="33">
        <f>929.05</f>
        <v>929.05</v>
      </c>
      <c r="T314" s="30">
        <f>257275</f>
        <v>257275</v>
      </c>
      <c r="U314" s="30" t="str">
        <f>"－"</f>
        <v>－</v>
      </c>
      <c r="V314" s="30">
        <f>238898078</f>
        <v>238898078</v>
      </c>
      <c r="W314" s="30" t="str">
        <f>"－"</f>
        <v>－</v>
      </c>
      <c r="X314" s="34">
        <f>19</f>
        <v>19</v>
      </c>
    </row>
    <row r="315" spans="1:24" ht="13.5" customHeight="1" x14ac:dyDescent="0.15">
      <c r="A315" s="25" t="s">
        <v>994</v>
      </c>
      <c r="B315" s="25" t="s">
        <v>980</v>
      </c>
      <c r="C315" s="25" t="s">
        <v>981</v>
      </c>
      <c r="D315" s="25" t="s">
        <v>982</v>
      </c>
      <c r="E315" s="26" t="s">
        <v>45</v>
      </c>
      <c r="F315" s="27" t="s">
        <v>45</v>
      </c>
      <c r="G315" s="28" t="s">
        <v>45</v>
      </c>
      <c r="H315" s="29"/>
      <c r="I315" s="29" t="s">
        <v>46</v>
      </c>
      <c r="J315" s="30">
        <v>1</v>
      </c>
      <c r="K315" s="31">
        <f>20280</f>
        <v>20280</v>
      </c>
      <c r="L315" s="32" t="s">
        <v>995</v>
      </c>
      <c r="M315" s="31">
        <f>22610</f>
        <v>22610</v>
      </c>
      <c r="N315" s="32" t="s">
        <v>1000</v>
      </c>
      <c r="O315" s="31">
        <f>19795</f>
        <v>19795</v>
      </c>
      <c r="P315" s="32" t="s">
        <v>255</v>
      </c>
      <c r="Q315" s="31">
        <f>20050</f>
        <v>20050</v>
      </c>
      <c r="R315" s="32" t="s">
        <v>997</v>
      </c>
      <c r="S315" s="33">
        <f>21249.21</f>
        <v>21249.21</v>
      </c>
      <c r="T315" s="30">
        <f>295932</f>
        <v>295932</v>
      </c>
      <c r="U315" s="30">
        <f>8</f>
        <v>8</v>
      </c>
      <c r="V315" s="30">
        <f>6337724415</f>
        <v>6337724415</v>
      </c>
      <c r="W315" s="30">
        <f>166290</f>
        <v>166290</v>
      </c>
      <c r="X315" s="34">
        <f>19</f>
        <v>19</v>
      </c>
    </row>
    <row r="316" spans="1:24" ht="13.5" customHeight="1" x14ac:dyDescent="0.15">
      <c r="A316" s="25" t="s">
        <v>994</v>
      </c>
      <c r="B316" s="25" t="s">
        <v>983</v>
      </c>
      <c r="C316" s="25" t="s">
        <v>984</v>
      </c>
      <c r="D316" s="25" t="s">
        <v>985</v>
      </c>
      <c r="E316" s="26" t="s">
        <v>45</v>
      </c>
      <c r="F316" s="27" t="s">
        <v>45</v>
      </c>
      <c r="G316" s="28" t="s">
        <v>45</v>
      </c>
      <c r="H316" s="29"/>
      <c r="I316" s="29" t="s">
        <v>46</v>
      </c>
      <c r="J316" s="30">
        <v>1</v>
      </c>
      <c r="K316" s="31">
        <f>54880</f>
        <v>54880</v>
      </c>
      <c r="L316" s="32" t="s">
        <v>995</v>
      </c>
      <c r="M316" s="31">
        <f>55150</f>
        <v>55150</v>
      </c>
      <c r="N316" s="32" t="s">
        <v>255</v>
      </c>
      <c r="O316" s="31">
        <f>48760</f>
        <v>48760</v>
      </c>
      <c r="P316" s="32" t="s">
        <v>876</v>
      </c>
      <c r="Q316" s="31">
        <f>54390</f>
        <v>54390</v>
      </c>
      <c r="R316" s="32" t="s">
        <v>997</v>
      </c>
      <c r="S316" s="33">
        <f>51860.53</f>
        <v>51860.53</v>
      </c>
      <c r="T316" s="30">
        <f>208258</f>
        <v>208258</v>
      </c>
      <c r="U316" s="30" t="str">
        <f>"－"</f>
        <v>－</v>
      </c>
      <c r="V316" s="30">
        <f>10750074720</f>
        <v>10750074720</v>
      </c>
      <c r="W316" s="30" t="str">
        <f>"－"</f>
        <v>－</v>
      </c>
      <c r="X316" s="34">
        <f>19</f>
        <v>19</v>
      </c>
    </row>
  </sheetData>
  <mergeCells count="3">
    <mergeCell ref="N1:X3"/>
    <mergeCell ref="A2:M2"/>
    <mergeCell ref="A3:M3"/>
  </mergeCells>
  <phoneticPr fontId="3"/>
  <printOptions horizontalCentered="1"/>
  <pageMargins left="0.39370078740157483" right="0.39370078740157483" top="0.39370078740157483" bottom="0.59055118110236227" header="0.27559055118110237" footer="0.27559055118110237"/>
  <pageSetup paperSize="9" scale="34" fitToHeight="0" orientation="landscape" r:id="rId1"/>
  <headerFooter>
    <oddFooter>&amp;C&amp;P/&amp;N&amp;RCopyright (c) Tokyo Stock Exchange, Inc. All Rights Reserved.</oddFooter>
  </headerFooter>
  <customProperties>
    <customPr name="layoutContexts" r:id="rId2"/>
  </customPropertie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F5B34E-8D35-43ED-9FAE-85CE5EA9B0CB}">
  <sheetPr>
    <pageSetUpPr fitToPage="1"/>
  </sheetPr>
  <dimension ref="A1:X314"/>
  <sheetViews>
    <sheetView showGridLines="0" view="pageBreakPreview" zoomScaleNormal="70" zoomScaleSheetLayoutView="100" workbookViewId="0">
      <pane ySplit="6" topLeftCell="A7" activePane="bottomLeft" state="frozen"/>
      <selection activeCell="A2" sqref="A2:M2"/>
      <selection pane="bottomLeft"/>
    </sheetView>
  </sheetViews>
  <sheetFormatPr defaultColWidth="9" defaultRowHeight="13.5" customHeight="1" x14ac:dyDescent="0.4"/>
  <cols>
    <col min="1" max="1" width="13.125" style="3" bestFit="1" customWidth="1"/>
    <col min="2" max="2" width="10.75" style="3" bestFit="1" customWidth="1"/>
    <col min="3" max="4" width="27.625" style="3" customWidth="1"/>
    <col min="5" max="5" width="13.75" style="3" bestFit="1" customWidth="1"/>
    <col min="6" max="6" width="20.75" style="3" bestFit="1" customWidth="1"/>
    <col min="7" max="7" width="11.25" style="3" customWidth="1"/>
    <col min="8" max="8" width="8.75" style="3" bestFit="1" customWidth="1"/>
    <col min="9" max="9" width="11.75" style="3" bestFit="1" customWidth="1"/>
    <col min="10" max="10" width="12.625" style="3" bestFit="1" customWidth="1"/>
    <col min="11" max="11" width="16.25" style="3" customWidth="1"/>
    <col min="12" max="12" width="5.625" style="3" bestFit="1" customWidth="1"/>
    <col min="13" max="13" width="16.25" style="3" customWidth="1"/>
    <col min="14" max="14" width="5.625" style="3" bestFit="1" customWidth="1"/>
    <col min="15" max="15" width="16.25" style="3" customWidth="1"/>
    <col min="16" max="16" width="5.625" style="3" bestFit="1" customWidth="1"/>
    <col min="17" max="17" width="16.25" style="3" customWidth="1"/>
    <col min="18" max="18" width="5.625" style="3" bestFit="1" customWidth="1"/>
    <col min="19" max="19" width="23.875" style="3" bestFit="1" customWidth="1"/>
    <col min="20" max="20" width="16.25" style="3" customWidth="1"/>
    <col min="21" max="21" width="24.125" style="3" customWidth="1"/>
    <col min="22" max="22" width="19.875" style="3" bestFit="1" customWidth="1"/>
    <col min="23" max="23" width="25" style="3" bestFit="1" customWidth="1"/>
    <col min="24" max="24" width="13.125" style="3" bestFit="1" customWidth="1"/>
    <col min="25" max="16384" width="9" style="3"/>
  </cols>
  <sheetData>
    <row r="1" spans="1:24" ht="13.5" customHeight="1" x14ac:dyDescent="0.4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6" t="s">
        <v>0</v>
      </c>
      <c r="O1" s="36"/>
      <c r="P1" s="36"/>
      <c r="Q1" s="36"/>
      <c r="R1" s="36"/>
      <c r="S1" s="36"/>
      <c r="T1" s="36"/>
      <c r="U1" s="36"/>
      <c r="V1" s="36"/>
      <c r="W1" s="36"/>
      <c r="X1" s="37"/>
    </row>
    <row r="2" spans="1:24" ht="99" customHeight="1" x14ac:dyDescent="0.4">
      <c r="A2" s="42" t="s">
        <v>1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38"/>
      <c r="O2" s="38"/>
      <c r="P2" s="38"/>
      <c r="Q2" s="38"/>
      <c r="R2" s="38"/>
      <c r="S2" s="38"/>
      <c r="T2" s="38"/>
      <c r="U2" s="38"/>
      <c r="V2" s="38"/>
      <c r="W2" s="38"/>
      <c r="X2" s="39"/>
    </row>
    <row r="3" spans="1:24" ht="39" customHeight="1" x14ac:dyDescent="0.4">
      <c r="A3" s="44" t="s">
        <v>2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0"/>
      <c r="O3" s="40"/>
      <c r="P3" s="40"/>
      <c r="Q3" s="40"/>
      <c r="R3" s="40"/>
      <c r="S3" s="40"/>
      <c r="T3" s="40"/>
      <c r="U3" s="40"/>
      <c r="V3" s="40"/>
      <c r="W3" s="40"/>
      <c r="X3" s="41"/>
    </row>
    <row r="4" spans="1:24" s="10" customFormat="1" ht="13.5" customHeight="1" x14ac:dyDescent="0.4">
      <c r="A4" s="4" t="s">
        <v>3</v>
      </c>
      <c r="B4" s="4" t="s">
        <v>4</v>
      </c>
      <c r="C4" s="4"/>
      <c r="D4" s="4"/>
      <c r="E4" s="5"/>
      <c r="F4" s="6"/>
      <c r="G4" s="7" t="s">
        <v>5</v>
      </c>
      <c r="H4" s="4" t="s">
        <v>6</v>
      </c>
      <c r="I4" s="4" t="s">
        <v>7</v>
      </c>
      <c r="J4" s="4" t="s">
        <v>8</v>
      </c>
      <c r="K4" s="8" t="s">
        <v>9</v>
      </c>
      <c r="L4" s="7" t="s">
        <v>5</v>
      </c>
      <c r="M4" s="8" t="s">
        <v>10</v>
      </c>
      <c r="N4" s="7" t="s">
        <v>5</v>
      </c>
      <c r="O4" s="8" t="s">
        <v>11</v>
      </c>
      <c r="P4" s="7" t="s">
        <v>5</v>
      </c>
      <c r="Q4" s="8" t="s">
        <v>12</v>
      </c>
      <c r="R4" s="7" t="s">
        <v>5</v>
      </c>
      <c r="S4" s="4" t="s">
        <v>13</v>
      </c>
      <c r="T4" s="4" t="s">
        <v>14</v>
      </c>
      <c r="U4" s="9" t="s">
        <v>15</v>
      </c>
      <c r="V4" s="4" t="s">
        <v>16</v>
      </c>
      <c r="W4" s="4" t="s">
        <v>17</v>
      </c>
      <c r="X4" s="4" t="s">
        <v>18</v>
      </c>
    </row>
    <row r="5" spans="1:24" ht="13.5" customHeight="1" x14ac:dyDescent="0.4">
      <c r="A5" s="11" t="s">
        <v>19</v>
      </c>
      <c r="B5" s="11" t="s">
        <v>20</v>
      </c>
      <c r="C5" s="11" t="s">
        <v>21</v>
      </c>
      <c r="D5" s="11" t="s">
        <v>22</v>
      </c>
      <c r="E5" s="12" t="s">
        <v>23</v>
      </c>
      <c r="F5" s="13" t="s">
        <v>24</v>
      </c>
      <c r="G5" s="14" t="s">
        <v>25</v>
      </c>
      <c r="H5" s="15" t="s">
        <v>26</v>
      </c>
      <c r="I5" s="15" t="s">
        <v>27</v>
      </c>
      <c r="J5" s="15" t="s">
        <v>28</v>
      </c>
      <c r="K5" s="16" t="s">
        <v>29</v>
      </c>
      <c r="L5" s="14" t="s">
        <v>25</v>
      </c>
      <c r="M5" s="16" t="s">
        <v>30</v>
      </c>
      <c r="N5" s="14" t="s">
        <v>25</v>
      </c>
      <c r="O5" s="16" t="s">
        <v>31</v>
      </c>
      <c r="P5" s="14" t="s">
        <v>25</v>
      </c>
      <c r="Q5" s="16" t="s">
        <v>32</v>
      </c>
      <c r="R5" s="14" t="s">
        <v>25</v>
      </c>
      <c r="S5" s="17" t="s">
        <v>33</v>
      </c>
      <c r="T5" s="17" t="s">
        <v>34</v>
      </c>
      <c r="U5" s="11" t="s">
        <v>35</v>
      </c>
      <c r="V5" s="17" t="s">
        <v>36</v>
      </c>
      <c r="W5" s="17" t="s">
        <v>37</v>
      </c>
      <c r="X5" s="17" t="s">
        <v>38</v>
      </c>
    </row>
    <row r="6" spans="1:24" ht="13.5" customHeight="1" x14ac:dyDescent="0.15">
      <c r="A6" s="18"/>
      <c r="B6" s="18"/>
      <c r="C6" s="18"/>
      <c r="D6" s="18"/>
      <c r="E6" s="19"/>
      <c r="F6" s="20"/>
      <c r="G6" s="21"/>
      <c r="H6" s="22"/>
      <c r="I6" s="22"/>
      <c r="J6" s="22" t="s">
        <v>39</v>
      </c>
      <c r="K6" s="23" t="s">
        <v>40</v>
      </c>
      <c r="L6" s="24"/>
      <c r="M6" s="23" t="s">
        <v>40</v>
      </c>
      <c r="N6" s="24"/>
      <c r="O6" s="23" t="s">
        <v>40</v>
      </c>
      <c r="P6" s="24"/>
      <c r="Q6" s="23" t="s">
        <v>40</v>
      </c>
      <c r="R6" s="24"/>
      <c r="S6" s="23" t="s">
        <v>40</v>
      </c>
      <c r="T6" s="22" t="s">
        <v>41</v>
      </c>
      <c r="U6" s="22" t="s">
        <v>41</v>
      </c>
      <c r="V6" s="23" t="s">
        <v>40</v>
      </c>
      <c r="W6" s="23" t="s">
        <v>40</v>
      </c>
      <c r="X6" s="22"/>
    </row>
    <row r="7" spans="1:24" s="35" customFormat="1" ht="13.5" customHeight="1" x14ac:dyDescent="0.15">
      <c r="A7" s="25" t="s">
        <v>989</v>
      </c>
      <c r="B7" s="25" t="s">
        <v>42</v>
      </c>
      <c r="C7" s="25" t="s">
        <v>43</v>
      </c>
      <c r="D7" s="25" t="s">
        <v>44</v>
      </c>
      <c r="E7" s="26" t="s">
        <v>45</v>
      </c>
      <c r="F7" s="27" t="s">
        <v>45</v>
      </c>
      <c r="G7" s="28" t="s">
        <v>45</v>
      </c>
      <c r="H7" s="29"/>
      <c r="I7" s="29" t="s">
        <v>46</v>
      </c>
      <c r="J7" s="30">
        <v>10</v>
      </c>
      <c r="K7" s="31">
        <f>1982.5</f>
        <v>1982.5</v>
      </c>
      <c r="L7" s="32" t="s">
        <v>785</v>
      </c>
      <c r="M7" s="31">
        <f>2102</f>
        <v>2102</v>
      </c>
      <c r="N7" s="32" t="s">
        <v>791</v>
      </c>
      <c r="O7" s="31">
        <f>1965</f>
        <v>1965</v>
      </c>
      <c r="P7" s="32" t="s">
        <v>785</v>
      </c>
      <c r="Q7" s="31">
        <f>2083.5</f>
        <v>2083.5</v>
      </c>
      <c r="R7" s="32" t="s">
        <v>791</v>
      </c>
      <c r="S7" s="33">
        <f>2033.13</f>
        <v>2033.13</v>
      </c>
      <c r="T7" s="30">
        <f>5042720</f>
        <v>5042720</v>
      </c>
      <c r="U7" s="30">
        <f>2497420</f>
        <v>2497420</v>
      </c>
      <c r="V7" s="30">
        <f>10244636692</f>
        <v>10244636692</v>
      </c>
      <c r="W7" s="30">
        <f>5040364802</f>
        <v>5040364802</v>
      </c>
      <c r="X7" s="34">
        <f>19</f>
        <v>19</v>
      </c>
    </row>
    <row r="8" spans="1:24" ht="13.5" customHeight="1" x14ac:dyDescent="0.15">
      <c r="A8" s="25" t="s">
        <v>989</v>
      </c>
      <c r="B8" s="25" t="s">
        <v>47</v>
      </c>
      <c r="C8" s="25" t="s">
        <v>48</v>
      </c>
      <c r="D8" s="25" t="s">
        <v>49</v>
      </c>
      <c r="E8" s="26" t="s">
        <v>45</v>
      </c>
      <c r="F8" s="27" t="s">
        <v>45</v>
      </c>
      <c r="G8" s="28" t="s">
        <v>45</v>
      </c>
      <c r="H8" s="29"/>
      <c r="I8" s="29" t="s">
        <v>46</v>
      </c>
      <c r="J8" s="30">
        <v>10</v>
      </c>
      <c r="K8" s="31">
        <f>1961</f>
        <v>1961</v>
      </c>
      <c r="L8" s="32" t="s">
        <v>785</v>
      </c>
      <c r="M8" s="31">
        <f>2078.5</f>
        <v>2078.5</v>
      </c>
      <c r="N8" s="32" t="s">
        <v>791</v>
      </c>
      <c r="O8" s="31">
        <f>1943</f>
        <v>1943</v>
      </c>
      <c r="P8" s="32" t="s">
        <v>785</v>
      </c>
      <c r="Q8" s="31">
        <f>2062</f>
        <v>2062</v>
      </c>
      <c r="R8" s="32" t="s">
        <v>791</v>
      </c>
      <c r="S8" s="33">
        <f>2009.95</f>
        <v>2009.95</v>
      </c>
      <c r="T8" s="30">
        <f>36440590</f>
        <v>36440590</v>
      </c>
      <c r="U8" s="30">
        <f>5106640</f>
        <v>5106640</v>
      </c>
      <c r="V8" s="30">
        <f>73152190112</f>
        <v>73152190112</v>
      </c>
      <c r="W8" s="30">
        <f>10222191052</f>
        <v>10222191052</v>
      </c>
      <c r="X8" s="34">
        <f>19</f>
        <v>19</v>
      </c>
    </row>
    <row r="9" spans="1:24" ht="13.5" customHeight="1" x14ac:dyDescent="0.15">
      <c r="A9" s="25" t="s">
        <v>989</v>
      </c>
      <c r="B9" s="25" t="s">
        <v>50</v>
      </c>
      <c r="C9" s="25" t="s">
        <v>51</v>
      </c>
      <c r="D9" s="25" t="s">
        <v>52</v>
      </c>
      <c r="E9" s="26" t="s">
        <v>45</v>
      </c>
      <c r="F9" s="27" t="s">
        <v>45</v>
      </c>
      <c r="G9" s="28" t="s">
        <v>45</v>
      </c>
      <c r="H9" s="29"/>
      <c r="I9" s="29" t="s">
        <v>46</v>
      </c>
      <c r="J9" s="30">
        <v>100</v>
      </c>
      <c r="K9" s="31">
        <f>1939</f>
        <v>1939</v>
      </c>
      <c r="L9" s="32" t="s">
        <v>785</v>
      </c>
      <c r="M9" s="31">
        <f>2054.5</f>
        <v>2054.5</v>
      </c>
      <c r="N9" s="32" t="s">
        <v>791</v>
      </c>
      <c r="O9" s="31">
        <f>1922</f>
        <v>1922</v>
      </c>
      <c r="P9" s="32" t="s">
        <v>78</v>
      </c>
      <c r="Q9" s="31">
        <f>2036.5</f>
        <v>2036.5</v>
      </c>
      <c r="R9" s="32" t="s">
        <v>791</v>
      </c>
      <c r="S9" s="33">
        <f>1986.42</f>
        <v>1986.42</v>
      </c>
      <c r="T9" s="30">
        <f>7264200</f>
        <v>7264200</v>
      </c>
      <c r="U9" s="30">
        <f>3237900</f>
        <v>3237900</v>
      </c>
      <c r="V9" s="30">
        <f>14585135280</f>
        <v>14585135280</v>
      </c>
      <c r="W9" s="30">
        <f>6581757380</f>
        <v>6581757380</v>
      </c>
      <c r="X9" s="34">
        <f>19</f>
        <v>19</v>
      </c>
    </row>
    <row r="10" spans="1:24" ht="13.5" customHeight="1" x14ac:dyDescent="0.15">
      <c r="A10" s="25" t="s">
        <v>989</v>
      </c>
      <c r="B10" s="25" t="s">
        <v>53</v>
      </c>
      <c r="C10" s="25" t="s">
        <v>54</v>
      </c>
      <c r="D10" s="25" t="s">
        <v>55</v>
      </c>
      <c r="E10" s="26" t="s">
        <v>45</v>
      </c>
      <c r="F10" s="27" t="s">
        <v>45</v>
      </c>
      <c r="G10" s="28" t="s">
        <v>45</v>
      </c>
      <c r="H10" s="29"/>
      <c r="I10" s="29" t="s">
        <v>46</v>
      </c>
      <c r="J10" s="30">
        <v>1</v>
      </c>
      <c r="K10" s="31">
        <f>37850</f>
        <v>37850</v>
      </c>
      <c r="L10" s="32" t="s">
        <v>785</v>
      </c>
      <c r="M10" s="31">
        <f>42910</f>
        <v>42910</v>
      </c>
      <c r="N10" s="32" t="s">
        <v>786</v>
      </c>
      <c r="O10" s="31">
        <f>37850</f>
        <v>37850</v>
      </c>
      <c r="P10" s="32" t="s">
        <v>785</v>
      </c>
      <c r="Q10" s="31">
        <f>41550</f>
        <v>41550</v>
      </c>
      <c r="R10" s="32" t="s">
        <v>791</v>
      </c>
      <c r="S10" s="33">
        <f>41255.79</f>
        <v>41255.79</v>
      </c>
      <c r="T10" s="30">
        <f>4351</f>
        <v>4351</v>
      </c>
      <c r="U10" s="30">
        <f>5</f>
        <v>5</v>
      </c>
      <c r="V10" s="30">
        <f>179067920</f>
        <v>179067920</v>
      </c>
      <c r="W10" s="30">
        <f>210100</f>
        <v>210100</v>
      </c>
      <c r="X10" s="34">
        <f>19</f>
        <v>19</v>
      </c>
    </row>
    <row r="11" spans="1:24" ht="13.5" customHeight="1" x14ac:dyDescent="0.15">
      <c r="A11" s="25" t="s">
        <v>989</v>
      </c>
      <c r="B11" s="25" t="s">
        <v>57</v>
      </c>
      <c r="C11" s="25" t="s">
        <v>58</v>
      </c>
      <c r="D11" s="25" t="s">
        <v>59</v>
      </c>
      <c r="E11" s="26" t="s">
        <v>45</v>
      </c>
      <c r="F11" s="27" t="s">
        <v>45</v>
      </c>
      <c r="G11" s="28" t="s">
        <v>45</v>
      </c>
      <c r="H11" s="29"/>
      <c r="I11" s="29" t="s">
        <v>46</v>
      </c>
      <c r="J11" s="30">
        <v>10</v>
      </c>
      <c r="K11" s="31">
        <f>911</f>
        <v>911</v>
      </c>
      <c r="L11" s="32" t="s">
        <v>785</v>
      </c>
      <c r="M11" s="31">
        <f>1000</f>
        <v>1000</v>
      </c>
      <c r="N11" s="32" t="s">
        <v>793</v>
      </c>
      <c r="O11" s="31">
        <f>905.1</f>
        <v>905.1</v>
      </c>
      <c r="P11" s="32" t="s">
        <v>787</v>
      </c>
      <c r="Q11" s="31">
        <f>985.7</f>
        <v>985.7</v>
      </c>
      <c r="R11" s="32" t="s">
        <v>791</v>
      </c>
      <c r="S11" s="33">
        <f>951.58</f>
        <v>951.58</v>
      </c>
      <c r="T11" s="30">
        <f>102300</f>
        <v>102300</v>
      </c>
      <c r="U11" s="30">
        <f>60</f>
        <v>60</v>
      </c>
      <c r="V11" s="30">
        <f>97543544</f>
        <v>97543544</v>
      </c>
      <c r="W11" s="30">
        <f>58692</f>
        <v>58692</v>
      </c>
      <c r="X11" s="34">
        <f>19</f>
        <v>19</v>
      </c>
    </row>
    <row r="12" spans="1:24" ht="13.5" customHeight="1" x14ac:dyDescent="0.15">
      <c r="A12" s="25" t="s">
        <v>989</v>
      </c>
      <c r="B12" s="25" t="s">
        <v>60</v>
      </c>
      <c r="C12" s="25" t="s">
        <v>61</v>
      </c>
      <c r="D12" s="25" t="s">
        <v>62</v>
      </c>
      <c r="E12" s="26" t="s">
        <v>45</v>
      </c>
      <c r="F12" s="27" t="s">
        <v>45</v>
      </c>
      <c r="G12" s="28" t="s">
        <v>45</v>
      </c>
      <c r="H12" s="29" t="s">
        <v>316</v>
      </c>
      <c r="I12" s="29" t="s">
        <v>46</v>
      </c>
      <c r="J12" s="30">
        <v>1</v>
      </c>
      <c r="K12" s="31">
        <f>19900</f>
        <v>19900</v>
      </c>
      <c r="L12" s="32" t="s">
        <v>785</v>
      </c>
      <c r="M12" s="31">
        <f>20545</f>
        <v>20545</v>
      </c>
      <c r="N12" s="32" t="s">
        <v>875</v>
      </c>
      <c r="O12" s="31">
        <f>19765</f>
        <v>19765</v>
      </c>
      <c r="P12" s="32" t="s">
        <v>894</v>
      </c>
      <c r="Q12" s="31">
        <f>20205</f>
        <v>20205</v>
      </c>
      <c r="R12" s="32" t="s">
        <v>791</v>
      </c>
      <c r="S12" s="33">
        <f>20052.63</f>
        <v>20052.63</v>
      </c>
      <c r="T12" s="30">
        <f>1994</f>
        <v>1994</v>
      </c>
      <c r="U12" s="30">
        <f>4</f>
        <v>4</v>
      </c>
      <c r="V12" s="30">
        <f>39977280</f>
        <v>39977280</v>
      </c>
      <c r="W12" s="30">
        <f>80200</f>
        <v>80200</v>
      </c>
      <c r="X12" s="34">
        <f>19</f>
        <v>19</v>
      </c>
    </row>
    <row r="13" spans="1:24" ht="13.5" customHeight="1" x14ac:dyDescent="0.15">
      <c r="A13" s="25" t="s">
        <v>989</v>
      </c>
      <c r="B13" s="25" t="s">
        <v>63</v>
      </c>
      <c r="C13" s="25" t="s">
        <v>64</v>
      </c>
      <c r="D13" s="25" t="s">
        <v>65</v>
      </c>
      <c r="E13" s="26" t="s">
        <v>45</v>
      </c>
      <c r="F13" s="27" t="s">
        <v>45</v>
      </c>
      <c r="G13" s="28" t="s">
        <v>45</v>
      </c>
      <c r="H13" s="29" t="s">
        <v>877</v>
      </c>
      <c r="I13" s="29"/>
      <c r="J13" s="30">
        <v>10</v>
      </c>
      <c r="K13" s="31">
        <f>2680</f>
        <v>2680</v>
      </c>
      <c r="L13" s="32" t="s">
        <v>785</v>
      </c>
      <c r="M13" s="31">
        <f>3490</f>
        <v>3490</v>
      </c>
      <c r="N13" s="32" t="s">
        <v>893</v>
      </c>
      <c r="O13" s="31">
        <f>2633.5</f>
        <v>2633.5</v>
      </c>
      <c r="P13" s="32" t="s">
        <v>785</v>
      </c>
      <c r="Q13" s="31">
        <f>3350</f>
        <v>3350</v>
      </c>
      <c r="R13" s="32" t="s">
        <v>791</v>
      </c>
      <c r="S13" s="33">
        <f>3261.82</f>
        <v>3261.82</v>
      </c>
      <c r="T13" s="30">
        <f>38080</f>
        <v>38080</v>
      </c>
      <c r="U13" s="30" t="str">
        <f>"－"</f>
        <v>－</v>
      </c>
      <c r="V13" s="30">
        <f>119349550</f>
        <v>119349550</v>
      </c>
      <c r="W13" s="30" t="str">
        <f>"－"</f>
        <v>－</v>
      </c>
      <c r="X13" s="34">
        <f>19</f>
        <v>19</v>
      </c>
    </row>
    <row r="14" spans="1:24" ht="13.5" customHeight="1" x14ac:dyDescent="0.15">
      <c r="A14" s="25" t="s">
        <v>989</v>
      </c>
      <c r="B14" s="25" t="s">
        <v>66</v>
      </c>
      <c r="C14" s="25" t="s">
        <v>67</v>
      </c>
      <c r="D14" s="25" t="s">
        <v>68</v>
      </c>
      <c r="E14" s="26" t="s">
        <v>45</v>
      </c>
      <c r="F14" s="27" t="s">
        <v>45</v>
      </c>
      <c r="G14" s="28" t="s">
        <v>45</v>
      </c>
      <c r="H14" s="29"/>
      <c r="I14" s="29" t="s">
        <v>46</v>
      </c>
      <c r="J14" s="30">
        <v>1000</v>
      </c>
      <c r="K14" s="31">
        <f>338.9</f>
        <v>338.9</v>
      </c>
      <c r="L14" s="32" t="s">
        <v>785</v>
      </c>
      <c r="M14" s="31">
        <f>344.5</f>
        <v>344.5</v>
      </c>
      <c r="N14" s="32" t="s">
        <v>793</v>
      </c>
      <c r="O14" s="31">
        <f>327.4</f>
        <v>327.39999999999998</v>
      </c>
      <c r="P14" s="32" t="s">
        <v>876</v>
      </c>
      <c r="Q14" s="31">
        <f>338.2</f>
        <v>338.2</v>
      </c>
      <c r="R14" s="32" t="s">
        <v>791</v>
      </c>
      <c r="S14" s="33">
        <f>335.93</f>
        <v>335.93</v>
      </c>
      <c r="T14" s="30">
        <f>52000</f>
        <v>52000</v>
      </c>
      <c r="U14" s="30" t="str">
        <f>"－"</f>
        <v>－</v>
      </c>
      <c r="V14" s="30">
        <f>17520800</f>
        <v>17520800</v>
      </c>
      <c r="W14" s="30" t="str">
        <f>"－"</f>
        <v>－</v>
      </c>
      <c r="X14" s="34">
        <f>12</f>
        <v>12</v>
      </c>
    </row>
    <row r="15" spans="1:24" ht="13.5" customHeight="1" x14ac:dyDescent="0.15">
      <c r="A15" s="25" t="s">
        <v>989</v>
      </c>
      <c r="B15" s="25" t="s">
        <v>69</v>
      </c>
      <c r="C15" s="25" t="s">
        <v>70</v>
      </c>
      <c r="D15" s="25" t="s">
        <v>71</v>
      </c>
      <c r="E15" s="26" t="s">
        <v>45</v>
      </c>
      <c r="F15" s="27" t="s">
        <v>45</v>
      </c>
      <c r="G15" s="28" t="s">
        <v>45</v>
      </c>
      <c r="H15" s="29"/>
      <c r="I15" s="29" t="s">
        <v>46</v>
      </c>
      <c r="J15" s="30">
        <v>1</v>
      </c>
      <c r="K15" s="31">
        <f>26680</f>
        <v>26680</v>
      </c>
      <c r="L15" s="32" t="s">
        <v>785</v>
      </c>
      <c r="M15" s="31">
        <f>28375</f>
        <v>28375</v>
      </c>
      <c r="N15" s="32" t="s">
        <v>786</v>
      </c>
      <c r="O15" s="31">
        <f>26490</f>
        <v>26490</v>
      </c>
      <c r="P15" s="32" t="s">
        <v>785</v>
      </c>
      <c r="Q15" s="31">
        <f>28175</f>
        <v>28175</v>
      </c>
      <c r="R15" s="32" t="s">
        <v>791</v>
      </c>
      <c r="S15" s="33">
        <f>27444.21</f>
        <v>27444.21</v>
      </c>
      <c r="T15" s="30">
        <f>1910594</f>
        <v>1910594</v>
      </c>
      <c r="U15" s="30">
        <f>1134110</f>
        <v>1134110</v>
      </c>
      <c r="V15" s="30">
        <f>53092611257</f>
        <v>53092611257</v>
      </c>
      <c r="W15" s="30">
        <f>31772985702</f>
        <v>31772985702</v>
      </c>
      <c r="X15" s="34">
        <f>19</f>
        <v>19</v>
      </c>
    </row>
    <row r="16" spans="1:24" ht="13.5" customHeight="1" x14ac:dyDescent="0.15">
      <c r="A16" s="25" t="s">
        <v>989</v>
      </c>
      <c r="B16" s="25" t="s">
        <v>72</v>
      </c>
      <c r="C16" s="25" t="s">
        <v>73</v>
      </c>
      <c r="D16" s="25" t="s">
        <v>74</v>
      </c>
      <c r="E16" s="26" t="s">
        <v>45</v>
      </c>
      <c r="F16" s="27" t="s">
        <v>45</v>
      </c>
      <c r="G16" s="28" t="s">
        <v>45</v>
      </c>
      <c r="H16" s="29"/>
      <c r="I16" s="29" t="s">
        <v>46</v>
      </c>
      <c r="J16" s="30">
        <v>1</v>
      </c>
      <c r="K16" s="31">
        <f>26760</f>
        <v>26760</v>
      </c>
      <c r="L16" s="32" t="s">
        <v>785</v>
      </c>
      <c r="M16" s="31">
        <f>28455</f>
        <v>28455</v>
      </c>
      <c r="N16" s="32" t="s">
        <v>786</v>
      </c>
      <c r="O16" s="31">
        <f>26565</f>
        <v>26565</v>
      </c>
      <c r="P16" s="32" t="s">
        <v>785</v>
      </c>
      <c r="Q16" s="31">
        <f>28260</f>
        <v>28260</v>
      </c>
      <c r="R16" s="32" t="s">
        <v>791</v>
      </c>
      <c r="S16" s="33">
        <f>27523.42</f>
        <v>27523.42</v>
      </c>
      <c r="T16" s="30">
        <f>5181559</f>
        <v>5181559</v>
      </c>
      <c r="U16" s="30">
        <f>180210</f>
        <v>180210</v>
      </c>
      <c r="V16" s="30">
        <f>142361034573</f>
        <v>142361034573</v>
      </c>
      <c r="W16" s="30">
        <f>4917667343</f>
        <v>4917667343</v>
      </c>
      <c r="X16" s="34">
        <f>19</f>
        <v>19</v>
      </c>
    </row>
    <row r="17" spans="1:24" ht="13.5" customHeight="1" x14ac:dyDescent="0.15">
      <c r="A17" s="25" t="s">
        <v>989</v>
      </c>
      <c r="B17" s="25" t="s">
        <v>75</v>
      </c>
      <c r="C17" s="25" t="s">
        <v>76</v>
      </c>
      <c r="D17" s="25" t="s">
        <v>77</v>
      </c>
      <c r="E17" s="26" t="s">
        <v>45</v>
      </c>
      <c r="F17" s="27" t="s">
        <v>45</v>
      </c>
      <c r="G17" s="28" t="s">
        <v>45</v>
      </c>
      <c r="H17" s="29"/>
      <c r="I17" s="29" t="s">
        <v>46</v>
      </c>
      <c r="J17" s="30">
        <v>10</v>
      </c>
      <c r="K17" s="31">
        <f>7364</f>
        <v>7364</v>
      </c>
      <c r="L17" s="32" t="s">
        <v>785</v>
      </c>
      <c r="M17" s="31">
        <f>8300</f>
        <v>8300</v>
      </c>
      <c r="N17" s="32" t="s">
        <v>893</v>
      </c>
      <c r="O17" s="31">
        <f>7200</f>
        <v>7200</v>
      </c>
      <c r="P17" s="32" t="s">
        <v>785</v>
      </c>
      <c r="Q17" s="31">
        <f>8090</f>
        <v>8090</v>
      </c>
      <c r="R17" s="32" t="s">
        <v>791</v>
      </c>
      <c r="S17" s="33">
        <f>7932.11</f>
        <v>7932.11</v>
      </c>
      <c r="T17" s="30">
        <f>8970</f>
        <v>8970</v>
      </c>
      <c r="U17" s="30" t="str">
        <f>"－"</f>
        <v>－</v>
      </c>
      <c r="V17" s="30">
        <f>71088630</f>
        <v>71088630</v>
      </c>
      <c r="W17" s="30" t="str">
        <f>"－"</f>
        <v>－</v>
      </c>
      <c r="X17" s="34">
        <f>19</f>
        <v>19</v>
      </c>
    </row>
    <row r="18" spans="1:24" ht="13.5" customHeight="1" x14ac:dyDescent="0.15">
      <c r="A18" s="25" t="s">
        <v>989</v>
      </c>
      <c r="B18" s="25" t="s">
        <v>79</v>
      </c>
      <c r="C18" s="25" t="s">
        <v>926</v>
      </c>
      <c r="D18" s="25" t="s">
        <v>927</v>
      </c>
      <c r="E18" s="26" t="s">
        <v>45</v>
      </c>
      <c r="F18" s="27" t="s">
        <v>45</v>
      </c>
      <c r="G18" s="28" t="s">
        <v>45</v>
      </c>
      <c r="H18" s="29"/>
      <c r="I18" s="29" t="s">
        <v>46</v>
      </c>
      <c r="J18" s="30">
        <v>100</v>
      </c>
      <c r="K18" s="31" t="str">
        <f>"－"</f>
        <v>－</v>
      </c>
      <c r="L18" s="32"/>
      <c r="M18" s="31" t="str">
        <f>"－"</f>
        <v>－</v>
      </c>
      <c r="N18" s="32"/>
      <c r="O18" s="31" t="str">
        <f>"－"</f>
        <v>－</v>
      </c>
      <c r="P18" s="32"/>
      <c r="Q18" s="31" t="str">
        <f>"－"</f>
        <v>－</v>
      </c>
      <c r="R18" s="32"/>
      <c r="S18" s="33" t="str">
        <f>"－"</f>
        <v>－</v>
      </c>
      <c r="T18" s="30" t="str">
        <f>"－"</f>
        <v>－</v>
      </c>
      <c r="U18" s="30" t="str">
        <f>"－"</f>
        <v>－</v>
      </c>
      <c r="V18" s="30" t="str">
        <f>"－"</f>
        <v>－</v>
      </c>
      <c r="W18" s="30" t="str">
        <f>"－"</f>
        <v>－</v>
      </c>
      <c r="X18" s="34" t="str">
        <f>"－"</f>
        <v>－</v>
      </c>
    </row>
    <row r="19" spans="1:24" ht="13.5" customHeight="1" x14ac:dyDescent="0.15">
      <c r="A19" s="25" t="s">
        <v>989</v>
      </c>
      <c r="B19" s="25" t="s">
        <v>81</v>
      </c>
      <c r="C19" s="25" t="s">
        <v>82</v>
      </c>
      <c r="D19" s="25" t="s">
        <v>83</v>
      </c>
      <c r="E19" s="26" t="s">
        <v>45</v>
      </c>
      <c r="F19" s="27" t="s">
        <v>45</v>
      </c>
      <c r="G19" s="28" t="s">
        <v>45</v>
      </c>
      <c r="H19" s="29"/>
      <c r="I19" s="29" t="s">
        <v>46</v>
      </c>
      <c r="J19" s="30">
        <v>100</v>
      </c>
      <c r="K19" s="31">
        <f>192</f>
        <v>192</v>
      </c>
      <c r="L19" s="32" t="s">
        <v>785</v>
      </c>
      <c r="M19" s="31">
        <f>206</f>
        <v>206</v>
      </c>
      <c r="N19" s="32" t="s">
        <v>255</v>
      </c>
      <c r="O19" s="31">
        <f>191.1</f>
        <v>191.1</v>
      </c>
      <c r="P19" s="32" t="s">
        <v>785</v>
      </c>
      <c r="Q19" s="31">
        <f>200.7</f>
        <v>200.7</v>
      </c>
      <c r="R19" s="32" t="s">
        <v>791</v>
      </c>
      <c r="S19" s="33">
        <f>199.29</f>
        <v>199.29</v>
      </c>
      <c r="T19" s="30">
        <f>421600</f>
        <v>421600</v>
      </c>
      <c r="U19" s="30">
        <f>100</f>
        <v>100</v>
      </c>
      <c r="V19" s="30">
        <f>83982780</f>
        <v>83982780</v>
      </c>
      <c r="W19" s="30">
        <f>20100</f>
        <v>20100</v>
      </c>
      <c r="X19" s="34">
        <f>19</f>
        <v>19</v>
      </c>
    </row>
    <row r="20" spans="1:24" ht="13.5" customHeight="1" x14ac:dyDescent="0.15">
      <c r="A20" s="25" t="s">
        <v>989</v>
      </c>
      <c r="B20" s="25" t="s">
        <v>84</v>
      </c>
      <c r="C20" s="25" t="s">
        <v>85</v>
      </c>
      <c r="D20" s="25" t="s">
        <v>86</v>
      </c>
      <c r="E20" s="26" t="s">
        <v>45</v>
      </c>
      <c r="F20" s="27" t="s">
        <v>45</v>
      </c>
      <c r="G20" s="28" t="s">
        <v>45</v>
      </c>
      <c r="H20" s="29"/>
      <c r="I20" s="29" t="s">
        <v>46</v>
      </c>
      <c r="J20" s="30">
        <v>1</v>
      </c>
      <c r="K20" s="31">
        <f>22445</f>
        <v>22445</v>
      </c>
      <c r="L20" s="32" t="s">
        <v>785</v>
      </c>
      <c r="M20" s="31">
        <f>23495</f>
        <v>23495</v>
      </c>
      <c r="N20" s="32" t="s">
        <v>789</v>
      </c>
      <c r="O20" s="31">
        <f>22380</f>
        <v>22380</v>
      </c>
      <c r="P20" s="32" t="s">
        <v>785</v>
      </c>
      <c r="Q20" s="31">
        <f>23210</f>
        <v>23210</v>
      </c>
      <c r="R20" s="32" t="s">
        <v>791</v>
      </c>
      <c r="S20" s="33">
        <f>23057.37</f>
        <v>23057.37</v>
      </c>
      <c r="T20" s="30">
        <f>138611</f>
        <v>138611</v>
      </c>
      <c r="U20" s="30" t="str">
        <f>"－"</f>
        <v>－</v>
      </c>
      <c r="V20" s="30">
        <f>3198382890</f>
        <v>3198382890</v>
      </c>
      <c r="W20" s="30" t="str">
        <f>"－"</f>
        <v>－</v>
      </c>
      <c r="X20" s="34">
        <f>19</f>
        <v>19</v>
      </c>
    </row>
    <row r="21" spans="1:24" ht="13.5" customHeight="1" x14ac:dyDescent="0.15">
      <c r="A21" s="25" t="s">
        <v>989</v>
      </c>
      <c r="B21" s="25" t="s">
        <v>87</v>
      </c>
      <c r="C21" s="25" t="s">
        <v>88</v>
      </c>
      <c r="D21" s="25" t="s">
        <v>89</v>
      </c>
      <c r="E21" s="26" t="s">
        <v>45</v>
      </c>
      <c r="F21" s="27" t="s">
        <v>45</v>
      </c>
      <c r="G21" s="28" t="s">
        <v>45</v>
      </c>
      <c r="H21" s="29"/>
      <c r="I21" s="29" t="s">
        <v>46</v>
      </c>
      <c r="J21" s="30">
        <v>10</v>
      </c>
      <c r="K21" s="31">
        <f>6014</f>
        <v>6014</v>
      </c>
      <c r="L21" s="32" t="s">
        <v>785</v>
      </c>
      <c r="M21" s="31">
        <f>6290</f>
        <v>6290</v>
      </c>
      <c r="N21" s="32" t="s">
        <v>789</v>
      </c>
      <c r="O21" s="31">
        <f>5993</f>
        <v>5993</v>
      </c>
      <c r="P21" s="32" t="s">
        <v>785</v>
      </c>
      <c r="Q21" s="31">
        <f>6212</f>
        <v>6212</v>
      </c>
      <c r="R21" s="32" t="s">
        <v>791</v>
      </c>
      <c r="S21" s="33">
        <f>6176.42</f>
        <v>6176.42</v>
      </c>
      <c r="T21" s="30">
        <f>146390</f>
        <v>146390</v>
      </c>
      <c r="U21" s="30">
        <f>150</f>
        <v>150</v>
      </c>
      <c r="V21" s="30">
        <f>904311960</f>
        <v>904311960</v>
      </c>
      <c r="W21" s="30">
        <f>934530</f>
        <v>934530</v>
      </c>
      <c r="X21" s="34">
        <f>19</f>
        <v>19</v>
      </c>
    </row>
    <row r="22" spans="1:24" ht="13.5" customHeight="1" x14ac:dyDescent="0.15">
      <c r="A22" s="25" t="s">
        <v>989</v>
      </c>
      <c r="B22" s="25" t="s">
        <v>90</v>
      </c>
      <c r="C22" s="25" t="s">
        <v>91</v>
      </c>
      <c r="D22" s="25" t="s">
        <v>92</v>
      </c>
      <c r="E22" s="26" t="s">
        <v>45</v>
      </c>
      <c r="F22" s="27" t="s">
        <v>45</v>
      </c>
      <c r="G22" s="28" t="s">
        <v>45</v>
      </c>
      <c r="H22" s="29"/>
      <c r="I22" s="29" t="s">
        <v>46</v>
      </c>
      <c r="J22" s="30">
        <v>1</v>
      </c>
      <c r="K22" s="31">
        <f>26940</f>
        <v>26940</v>
      </c>
      <c r="L22" s="32" t="s">
        <v>785</v>
      </c>
      <c r="M22" s="31">
        <f>28620</f>
        <v>28620</v>
      </c>
      <c r="N22" s="32" t="s">
        <v>786</v>
      </c>
      <c r="O22" s="31">
        <f>26730</f>
        <v>26730</v>
      </c>
      <c r="P22" s="32" t="s">
        <v>785</v>
      </c>
      <c r="Q22" s="31">
        <f>28420</f>
        <v>28420</v>
      </c>
      <c r="R22" s="32" t="s">
        <v>791</v>
      </c>
      <c r="S22" s="33">
        <f>27680.26</f>
        <v>27680.26</v>
      </c>
      <c r="T22" s="30">
        <f>654706</f>
        <v>654706</v>
      </c>
      <c r="U22" s="30">
        <f>111086</f>
        <v>111086</v>
      </c>
      <c r="V22" s="30">
        <f>18080642223</f>
        <v>18080642223</v>
      </c>
      <c r="W22" s="30">
        <f>3105678563</f>
        <v>3105678563</v>
      </c>
      <c r="X22" s="34">
        <f>19</f>
        <v>19</v>
      </c>
    </row>
    <row r="23" spans="1:24" ht="13.5" customHeight="1" x14ac:dyDescent="0.15">
      <c r="A23" s="25" t="s">
        <v>989</v>
      </c>
      <c r="B23" s="25" t="s">
        <v>93</v>
      </c>
      <c r="C23" s="25" t="s">
        <v>94</v>
      </c>
      <c r="D23" s="25" t="s">
        <v>95</v>
      </c>
      <c r="E23" s="26" t="s">
        <v>45</v>
      </c>
      <c r="F23" s="27" t="s">
        <v>45</v>
      </c>
      <c r="G23" s="28" t="s">
        <v>45</v>
      </c>
      <c r="H23" s="29"/>
      <c r="I23" s="29" t="s">
        <v>46</v>
      </c>
      <c r="J23" s="30">
        <v>10</v>
      </c>
      <c r="K23" s="31">
        <f>26800</f>
        <v>26800</v>
      </c>
      <c r="L23" s="32" t="s">
        <v>785</v>
      </c>
      <c r="M23" s="31">
        <f>28480</f>
        <v>28480</v>
      </c>
      <c r="N23" s="32" t="s">
        <v>786</v>
      </c>
      <c r="O23" s="31">
        <f>26585</f>
        <v>26585</v>
      </c>
      <c r="P23" s="32" t="s">
        <v>785</v>
      </c>
      <c r="Q23" s="31">
        <f>28280</f>
        <v>28280</v>
      </c>
      <c r="R23" s="32" t="s">
        <v>791</v>
      </c>
      <c r="S23" s="33">
        <f>27569.74</f>
        <v>27569.74</v>
      </c>
      <c r="T23" s="30">
        <f>829940</f>
        <v>829940</v>
      </c>
      <c r="U23" s="30">
        <f>281970</f>
        <v>281970</v>
      </c>
      <c r="V23" s="30">
        <f>22969794433</f>
        <v>22969794433</v>
      </c>
      <c r="W23" s="30">
        <f>7834811383</f>
        <v>7834811383</v>
      </c>
      <c r="X23" s="34">
        <f>19</f>
        <v>19</v>
      </c>
    </row>
    <row r="24" spans="1:24" ht="13.5" customHeight="1" x14ac:dyDescent="0.15">
      <c r="A24" s="25" t="s">
        <v>989</v>
      </c>
      <c r="B24" s="25" t="s">
        <v>96</v>
      </c>
      <c r="C24" s="25" t="s">
        <v>97</v>
      </c>
      <c r="D24" s="25" t="s">
        <v>98</v>
      </c>
      <c r="E24" s="26" t="s">
        <v>45</v>
      </c>
      <c r="F24" s="27" t="s">
        <v>45</v>
      </c>
      <c r="G24" s="28" t="s">
        <v>45</v>
      </c>
      <c r="H24" s="29"/>
      <c r="I24" s="29" t="s">
        <v>46</v>
      </c>
      <c r="J24" s="30">
        <v>10</v>
      </c>
      <c r="K24" s="31">
        <f>2030</f>
        <v>2030</v>
      </c>
      <c r="L24" s="32" t="s">
        <v>785</v>
      </c>
      <c r="M24" s="31">
        <f>2038</f>
        <v>2038</v>
      </c>
      <c r="N24" s="32" t="s">
        <v>785</v>
      </c>
      <c r="O24" s="31">
        <f>1921.5</f>
        <v>1921.5</v>
      </c>
      <c r="P24" s="32" t="s">
        <v>80</v>
      </c>
      <c r="Q24" s="31">
        <f>1972</f>
        <v>1972</v>
      </c>
      <c r="R24" s="32" t="s">
        <v>791</v>
      </c>
      <c r="S24" s="33">
        <f>1979.95</f>
        <v>1979.95</v>
      </c>
      <c r="T24" s="30">
        <f>11176640</f>
        <v>11176640</v>
      </c>
      <c r="U24" s="30">
        <f>2855810</f>
        <v>2855810</v>
      </c>
      <c r="V24" s="30">
        <f>22084042476</f>
        <v>22084042476</v>
      </c>
      <c r="W24" s="30">
        <f>5661348616</f>
        <v>5661348616</v>
      </c>
      <c r="X24" s="34">
        <f>19</f>
        <v>19</v>
      </c>
    </row>
    <row r="25" spans="1:24" ht="13.5" customHeight="1" x14ac:dyDescent="0.15">
      <c r="A25" s="25" t="s">
        <v>989</v>
      </c>
      <c r="B25" s="25" t="s">
        <v>99</v>
      </c>
      <c r="C25" s="25" t="s">
        <v>100</v>
      </c>
      <c r="D25" s="25" t="s">
        <v>101</v>
      </c>
      <c r="E25" s="26" t="s">
        <v>45</v>
      </c>
      <c r="F25" s="27" t="s">
        <v>45</v>
      </c>
      <c r="G25" s="28" t="s">
        <v>45</v>
      </c>
      <c r="H25" s="29"/>
      <c r="I25" s="29" t="s">
        <v>46</v>
      </c>
      <c r="J25" s="30">
        <v>100</v>
      </c>
      <c r="K25" s="31">
        <f>1916.5</f>
        <v>1916.5</v>
      </c>
      <c r="L25" s="32" t="s">
        <v>785</v>
      </c>
      <c r="M25" s="31">
        <f>1917</f>
        <v>1917</v>
      </c>
      <c r="N25" s="32" t="s">
        <v>785</v>
      </c>
      <c r="O25" s="31">
        <f>1804</f>
        <v>1804</v>
      </c>
      <c r="P25" s="32" t="s">
        <v>80</v>
      </c>
      <c r="Q25" s="31">
        <f>1854</f>
        <v>1854</v>
      </c>
      <c r="R25" s="32" t="s">
        <v>791</v>
      </c>
      <c r="S25" s="33">
        <f>1859.55</f>
        <v>1859.55</v>
      </c>
      <c r="T25" s="30">
        <f>1443100</f>
        <v>1443100</v>
      </c>
      <c r="U25" s="30">
        <f>227000</f>
        <v>227000</v>
      </c>
      <c r="V25" s="30">
        <f>2677397693</f>
        <v>2677397693</v>
      </c>
      <c r="W25" s="30">
        <f>423654043</f>
        <v>423654043</v>
      </c>
      <c r="X25" s="34">
        <f>19</f>
        <v>19</v>
      </c>
    </row>
    <row r="26" spans="1:24" ht="13.5" customHeight="1" x14ac:dyDescent="0.15">
      <c r="A26" s="25" t="s">
        <v>989</v>
      </c>
      <c r="B26" s="25" t="s">
        <v>102</v>
      </c>
      <c r="C26" s="25" t="s">
        <v>103</v>
      </c>
      <c r="D26" s="25" t="s">
        <v>104</v>
      </c>
      <c r="E26" s="26" t="s">
        <v>45</v>
      </c>
      <c r="F26" s="27" t="s">
        <v>45</v>
      </c>
      <c r="G26" s="28" t="s">
        <v>45</v>
      </c>
      <c r="H26" s="29"/>
      <c r="I26" s="29" t="s">
        <v>46</v>
      </c>
      <c r="J26" s="30">
        <v>1</v>
      </c>
      <c r="K26" s="31">
        <f>26890</f>
        <v>26890</v>
      </c>
      <c r="L26" s="32" t="s">
        <v>785</v>
      </c>
      <c r="M26" s="31">
        <f>28300</f>
        <v>28300</v>
      </c>
      <c r="N26" s="32" t="s">
        <v>786</v>
      </c>
      <c r="O26" s="31">
        <f>26495</f>
        <v>26495</v>
      </c>
      <c r="P26" s="32" t="s">
        <v>876</v>
      </c>
      <c r="Q26" s="31">
        <f>28100</f>
        <v>28100</v>
      </c>
      <c r="R26" s="32" t="s">
        <v>791</v>
      </c>
      <c r="S26" s="33">
        <f>27458.16</f>
        <v>27458.16</v>
      </c>
      <c r="T26" s="30">
        <f>442436</f>
        <v>442436</v>
      </c>
      <c r="U26" s="30">
        <f>107112</f>
        <v>107112</v>
      </c>
      <c r="V26" s="30">
        <f>12238871850</f>
        <v>12238871850</v>
      </c>
      <c r="W26" s="30">
        <f>2993969525</f>
        <v>2993969525</v>
      </c>
      <c r="X26" s="34">
        <f>19</f>
        <v>19</v>
      </c>
    </row>
    <row r="27" spans="1:24" ht="13.5" customHeight="1" x14ac:dyDescent="0.15">
      <c r="A27" s="25" t="s">
        <v>989</v>
      </c>
      <c r="B27" s="25" t="s">
        <v>105</v>
      </c>
      <c r="C27" s="25" t="s">
        <v>106</v>
      </c>
      <c r="D27" s="25" t="s">
        <v>107</v>
      </c>
      <c r="E27" s="26" t="s">
        <v>45</v>
      </c>
      <c r="F27" s="27" t="s">
        <v>45</v>
      </c>
      <c r="G27" s="28" t="s">
        <v>45</v>
      </c>
      <c r="H27" s="29"/>
      <c r="I27" s="29" t="s">
        <v>46</v>
      </c>
      <c r="J27" s="30">
        <v>10</v>
      </c>
      <c r="K27" s="31">
        <f>1961.5</f>
        <v>1961.5</v>
      </c>
      <c r="L27" s="32" t="s">
        <v>785</v>
      </c>
      <c r="M27" s="31">
        <f>2055.5</f>
        <v>2055.5</v>
      </c>
      <c r="N27" s="32" t="s">
        <v>791</v>
      </c>
      <c r="O27" s="31">
        <f>1945</f>
        <v>1945</v>
      </c>
      <c r="P27" s="32" t="s">
        <v>785</v>
      </c>
      <c r="Q27" s="31">
        <f>2037.5</f>
        <v>2037.5</v>
      </c>
      <c r="R27" s="32" t="s">
        <v>791</v>
      </c>
      <c r="S27" s="33">
        <f>1995.42</f>
        <v>1995.42</v>
      </c>
      <c r="T27" s="30">
        <f>5246710</f>
        <v>5246710</v>
      </c>
      <c r="U27" s="30">
        <f>2505480</f>
        <v>2505480</v>
      </c>
      <c r="V27" s="30">
        <f>10526971291</f>
        <v>10526971291</v>
      </c>
      <c r="W27" s="30">
        <f>5043121546</f>
        <v>5043121546</v>
      </c>
      <c r="X27" s="34">
        <f>19</f>
        <v>19</v>
      </c>
    </row>
    <row r="28" spans="1:24" ht="13.5" customHeight="1" x14ac:dyDescent="0.15">
      <c r="A28" s="25" t="s">
        <v>989</v>
      </c>
      <c r="B28" s="25" t="s">
        <v>108</v>
      </c>
      <c r="C28" s="25" t="s">
        <v>109</v>
      </c>
      <c r="D28" s="25" t="s">
        <v>110</v>
      </c>
      <c r="E28" s="26" t="s">
        <v>45</v>
      </c>
      <c r="F28" s="27" t="s">
        <v>45</v>
      </c>
      <c r="G28" s="28" t="s">
        <v>45</v>
      </c>
      <c r="H28" s="29"/>
      <c r="I28" s="29" t="s">
        <v>46</v>
      </c>
      <c r="J28" s="30">
        <v>1</v>
      </c>
      <c r="K28" s="31">
        <f>14315</f>
        <v>14315</v>
      </c>
      <c r="L28" s="32" t="s">
        <v>785</v>
      </c>
      <c r="M28" s="31">
        <f>14800</f>
        <v>14800</v>
      </c>
      <c r="N28" s="32" t="s">
        <v>789</v>
      </c>
      <c r="O28" s="31">
        <f>14200</f>
        <v>14200</v>
      </c>
      <c r="P28" s="32" t="s">
        <v>784</v>
      </c>
      <c r="Q28" s="31">
        <f>14545</f>
        <v>14545</v>
      </c>
      <c r="R28" s="32" t="s">
        <v>791</v>
      </c>
      <c r="S28" s="33">
        <f>14511.47</f>
        <v>14511.47</v>
      </c>
      <c r="T28" s="30">
        <f>641</f>
        <v>641</v>
      </c>
      <c r="U28" s="30" t="str">
        <f>"－"</f>
        <v>－</v>
      </c>
      <c r="V28" s="30">
        <f>9334125</f>
        <v>9334125</v>
      </c>
      <c r="W28" s="30" t="str">
        <f>"－"</f>
        <v>－</v>
      </c>
      <c r="X28" s="34">
        <f>17</f>
        <v>17</v>
      </c>
    </row>
    <row r="29" spans="1:24" ht="13.5" customHeight="1" x14ac:dyDescent="0.15">
      <c r="A29" s="25" t="s">
        <v>989</v>
      </c>
      <c r="B29" s="25" t="s">
        <v>111</v>
      </c>
      <c r="C29" s="25" t="s">
        <v>112</v>
      </c>
      <c r="D29" s="25" t="s">
        <v>113</v>
      </c>
      <c r="E29" s="26" t="s">
        <v>45</v>
      </c>
      <c r="F29" s="27" t="s">
        <v>45</v>
      </c>
      <c r="G29" s="28" t="s">
        <v>45</v>
      </c>
      <c r="H29" s="29"/>
      <c r="I29" s="29" t="s">
        <v>46</v>
      </c>
      <c r="J29" s="30">
        <v>10</v>
      </c>
      <c r="K29" s="31">
        <f>972.2</f>
        <v>972.2</v>
      </c>
      <c r="L29" s="32" t="s">
        <v>785</v>
      </c>
      <c r="M29" s="31">
        <f>989.9</f>
        <v>989.9</v>
      </c>
      <c r="N29" s="32" t="s">
        <v>785</v>
      </c>
      <c r="O29" s="31">
        <f>859.5</f>
        <v>859.5</v>
      </c>
      <c r="P29" s="32" t="s">
        <v>791</v>
      </c>
      <c r="Q29" s="31">
        <f>876.1</f>
        <v>876.1</v>
      </c>
      <c r="R29" s="32" t="s">
        <v>791</v>
      </c>
      <c r="S29" s="33">
        <f>923.8</f>
        <v>923.8</v>
      </c>
      <c r="T29" s="30">
        <f>7481330</f>
        <v>7481330</v>
      </c>
      <c r="U29" s="30">
        <f>360</f>
        <v>360</v>
      </c>
      <c r="V29" s="30">
        <f>6945264929</f>
        <v>6945264929</v>
      </c>
      <c r="W29" s="30">
        <f>347244</f>
        <v>347244</v>
      </c>
      <c r="X29" s="34">
        <f>19</f>
        <v>19</v>
      </c>
    </row>
    <row r="30" spans="1:24" ht="13.5" customHeight="1" x14ac:dyDescent="0.15">
      <c r="A30" s="25" t="s">
        <v>989</v>
      </c>
      <c r="B30" s="25" t="s">
        <v>114</v>
      </c>
      <c r="C30" s="25" t="s">
        <v>115</v>
      </c>
      <c r="D30" s="25" t="s">
        <v>116</v>
      </c>
      <c r="E30" s="26" t="s">
        <v>45</v>
      </c>
      <c r="F30" s="27" t="s">
        <v>45</v>
      </c>
      <c r="G30" s="28" t="s">
        <v>45</v>
      </c>
      <c r="H30" s="29"/>
      <c r="I30" s="29" t="s">
        <v>46</v>
      </c>
      <c r="J30" s="30">
        <v>1</v>
      </c>
      <c r="K30" s="31">
        <f>398</f>
        <v>398</v>
      </c>
      <c r="L30" s="32" t="s">
        <v>785</v>
      </c>
      <c r="M30" s="31">
        <f>404</f>
        <v>404</v>
      </c>
      <c r="N30" s="32" t="s">
        <v>785</v>
      </c>
      <c r="O30" s="31">
        <f>348</f>
        <v>348</v>
      </c>
      <c r="P30" s="32" t="s">
        <v>786</v>
      </c>
      <c r="Q30" s="31">
        <f>353</f>
        <v>353</v>
      </c>
      <c r="R30" s="32" t="s">
        <v>791</v>
      </c>
      <c r="S30" s="33">
        <f>374.68</f>
        <v>374.68</v>
      </c>
      <c r="T30" s="30">
        <f>1029072347</f>
        <v>1029072347</v>
      </c>
      <c r="U30" s="30">
        <f>517231</f>
        <v>517231</v>
      </c>
      <c r="V30" s="30">
        <f>386471672060</f>
        <v>386471672060</v>
      </c>
      <c r="W30" s="30">
        <f>195370430</f>
        <v>195370430</v>
      </c>
      <c r="X30" s="34">
        <f>19</f>
        <v>19</v>
      </c>
    </row>
    <row r="31" spans="1:24" ht="13.5" customHeight="1" x14ac:dyDescent="0.15">
      <c r="A31" s="25" t="s">
        <v>989</v>
      </c>
      <c r="B31" s="25" t="s">
        <v>117</v>
      </c>
      <c r="C31" s="25" t="s">
        <v>118</v>
      </c>
      <c r="D31" s="25" t="s">
        <v>119</v>
      </c>
      <c r="E31" s="26" t="s">
        <v>45</v>
      </c>
      <c r="F31" s="27" t="s">
        <v>45</v>
      </c>
      <c r="G31" s="28" t="s">
        <v>45</v>
      </c>
      <c r="H31" s="29"/>
      <c r="I31" s="29" t="s">
        <v>46</v>
      </c>
      <c r="J31" s="30">
        <v>1</v>
      </c>
      <c r="K31" s="31">
        <f>23280</f>
        <v>23280</v>
      </c>
      <c r="L31" s="32" t="s">
        <v>785</v>
      </c>
      <c r="M31" s="31">
        <f>26255</f>
        <v>26255</v>
      </c>
      <c r="N31" s="32" t="s">
        <v>786</v>
      </c>
      <c r="O31" s="31">
        <f>22915</f>
        <v>22915</v>
      </c>
      <c r="P31" s="32" t="s">
        <v>785</v>
      </c>
      <c r="Q31" s="31">
        <f>25915</f>
        <v>25915</v>
      </c>
      <c r="R31" s="32" t="s">
        <v>791</v>
      </c>
      <c r="S31" s="33">
        <f>24583.42</f>
        <v>24583.42</v>
      </c>
      <c r="T31" s="30">
        <f>355227</f>
        <v>355227</v>
      </c>
      <c r="U31" s="30" t="str">
        <f>"－"</f>
        <v>－</v>
      </c>
      <c r="V31" s="30">
        <f>8777390465</f>
        <v>8777390465</v>
      </c>
      <c r="W31" s="30" t="str">
        <f>"－"</f>
        <v>－</v>
      </c>
      <c r="X31" s="34">
        <f>19</f>
        <v>19</v>
      </c>
    </row>
    <row r="32" spans="1:24" ht="13.5" customHeight="1" x14ac:dyDescent="0.15">
      <c r="A32" s="25" t="s">
        <v>989</v>
      </c>
      <c r="B32" s="25" t="s">
        <v>120</v>
      </c>
      <c r="C32" s="25" t="s">
        <v>121</v>
      </c>
      <c r="D32" s="25" t="s">
        <v>122</v>
      </c>
      <c r="E32" s="26" t="s">
        <v>45</v>
      </c>
      <c r="F32" s="27" t="s">
        <v>45</v>
      </c>
      <c r="G32" s="28" t="s">
        <v>45</v>
      </c>
      <c r="H32" s="29"/>
      <c r="I32" s="29" t="s">
        <v>46</v>
      </c>
      <c r="J32" s="30">
        <v>10</v>
      </c>
      <c r="K32" s="31">
        <f>980.2</f>
        <v>980.2</v>
      </c>
      <c r="L32" s="32" t="s">
        <v>785</v>
      </c>
      <c r="M32" s="31">
        <f>987.1</f>
        <v>987.1</v>
      </c>
      <c r="N32" s="32" t="s">
        <v>785</v>
      </c>
      <c r="O32" s="31">
        <f>852.9</f>
        <v>852.9</v>
      </c>
      <c r="P32" s="32" t="s">
        <v>786</v>
      </c>
      <c r="Q32" s="31">
        <f>864.8</f>
        <v>864.8</v>
      </c>
      <c r="R32" s="32" t="s">
        <v>791</v>
      </c>
      <c r="S32" s="33">
        <f>916.41</f>
        <v>916.41</v>
      </c>
      <c r="T32" s="30">
        <f>174422430</f>
        <v>174422430</v>
      </c>
      <c r="U32" s="30">
        <f>1804560</f>
        <v>1804560</v>
      </c>
      <c r="V32" s="30">
        <f>160839799720</f>
        <v>160839799720</v>
      </c>
      <c r="W32" s="30">
        <f>1682690186</f>
        <v>1682690186</v>
      </c>
      <c r="X32" s="34">
        <f>19</f>
        <v>19</v>
      </c>
    </row>
    <row r="33" spans="1:24" ht="13.5" customHeight="1" x14ac:dyDescent="0.15">
      <c r="A33" s="25" t="s">
        <v>989</v>
      </c>
      <c r="B33" s="25" t="s">
        <v>123</v>
      </c>
      <c r="C33" s="25" t="s">
        <v>124</v>
      </c>
      <c r="D33" s="25" t="s">
        <v>125</v>
      </c>
      <c r="E33" s="26" t="s">
        <v>45</v>
      </c>
      <c r="F33" s="27" t="s">
        <v>45</v>
      </c>
      <c r="G33" s="28" t="s">
        <v>45</v>
      </c>
      <c r="H33" s="29"/>
      <c r="I33" s="29" t="s">
        <v>46</v>
      </c>
      <c r="J33" s="30">
        <v>1</v>
      </c>
      <c r="K33" s="31">
        <f>17425</f>
        <v>17425</v>
      </c>
      <c r="L33" s="32" t="s">
        <v>785</v>
      </c>
      <c r="M33" s="31">
        <f>18510</f>
        <v>18510</v>
      </c>
      <c r="N33" s="32" t="s">
        <v>791</v>
      </c>
      <c r="O33" s="31">
        <f>17285</f>
        <v>17285</v>
      </c>
      <c r="P33" s="32" t="s">
        <v>78</v>
      </c>
      <c r="Q33" s="31">
        <f>18310</f>
        <v>18310</v>
      </c>
      <c r="R33" s="32" t="s">
        <v>791</v>
      </c>
      <c r="S33" s="33">
        <f>17884.47</f>
        <v>17884.47</v>
      </c>
      <c r="T33" s="30">
        <f>2433</f>
        <v>2433</v>
      </c>
      <c r="U33" s="30">
        <f>4</f>
        <v>4</v>
      </c>
      <c r="V33" s="30">
        <f>43626590</f>
        <v>43626590</v>
      </c>
      <c r="W33" s="30">
        <f>69735</f>
        <v>69735</v>
      </c>
      <c r="X33" s="34">
        <f>19</f>
        <v>19</v>
      </c>
    </row>
    <row r="34" spans="1:24" ht="13.5" customHeight="1" x14ac:dyDescent="0.15">
      <c r="A34" s="25" t="s">
        <v>989</v>
      </c>
      <c r="B34" s="25" t="s">
        <v>126</v>
      </c>
      <c r="C34" s="25" t="s">
        <v>127</v>
      </c>
      <c r="D34" s="25" t="s">
        <v>128</v>
      </c>
      <c r="E34" s="26" t="s">
        <v>45</v>
      </c>
      <c r="F34" s="27" t="s">
        <v>45</v>
      </c>
      <c r="G34" s="28" t="s">
        <v>45</v>
      </c>
      <c r="H34" s="29"/>
      <c r="I34" s="29" t="s">
        <v>46</v>
      </c>
      <c r="J34" s="30">
        <v>1</v>
      </c>
      <c r="K34" s="31">
        <f>19375</f>
        <v>19375</v>
      </c>
      <c r="L34" s="32" t="s">
        <v>785</v>
      </c>
      <c r="M34" s="31">
        <f>21855</f>
        <v>21855</v>
      </c>
      <c r="N34" s="32" t="s">
        <v>786</v>
      </c>
      <c r="O34" s="31">
        <f>19060</f>
        <v>19060</v>
      </c>
      <c r="P34" s="32" t="s">
        <v>785</v>
      </c>
      <c r="Q34" s="31">
        <f>21555</f>
        <v>21555</v>
      </c>
      <c r="R34" s="32" t="s">
        <v>791</v>
      </c>
      <c r="S34" s="33">
        <f>20461.84</f>
        <v>20461.84</v>
      </c>
      <c r="T34" s="30">
        <f>836862</f>
        <v>836862</v>
      </c>
      <c r="U34" s="30">
        <f>12</f>
        <v>12</v>
      </c>
      <c r="V34" s="30">
        <f>17167453590</f>
        <v>17167453590</v>
      </c>
      <c r="W34" s="30">
        <f>223260</f>
        <v>223260</v>
      </c>
      <c r="X34" s="34">
        <f>19</f>
        <v>19</v>
      </c>
    </row>
    <row r="35" spans="1:24" ht="13.5" customHeight="1" x14ac:dyDescent="0.15">
      <c r="A35" s="25" t="s">
        <v>989</v>
      </c>
      <c r="B35" s="25" t="s">
        <v>129</v>
      </c>
      <c r="C35" s="25" t="s">
        <v>130</v>
      </c>
      <c r="D35" s="25" t="s">
        <v>131</v>
      </c>
      <c r="E35" s="26" t="s">
        <v>45</v>
      </c>
      <c r="F35" s="27" t="s">
        <v>45</v>
      </c>
      <c r="G35" s="28" t="s">
        <v>45</v>
      </c>
      <c r="H35" s="29"/>
      <c r="I35" s="29" t="s">
        <v>46</v>
      </c>
      <c r="J35" s="30">
        <v>1</v>
      </c>
      <c r="K35" s="31">
        <f>1037</f>
        <v>1037</v>
      </c>
      <c r="L35" s="32" t="s">
        <v>785</v>
      </c>
      <c r="M35" s="31">
        <f>1052</f>
        <v>1052</v>
      </c>
      <c r="N35" s="32" t="s">
        <v>785</v>
      </c>
      <c r="O35" s="31">
        <f>908</f>
        <v>908</v>
      </c>
      <c r="P35" s="32" t="s">
        <v>786</v>
      </c>
      <c r="Q35" s="31">
        <f>920</f>
        <v>920</v>
      </c>
      <c r="R35" s="32" t="s">
        <v>791</v>
      </c>
      <c r="S35" s="33">
        <f>976.26</f>
        <v>976.26</v>
      </c>
      <c r="T35" s="30">
        <f>13593783</f>
        <v>13593783</v>
      </c>
      <c r="U35" s="30">
        <f>612</f>
        <v>612</v>
      </c>
      <c r="V35" s="30">
        <f>13232603334</f>
        <v>13232603334</v>
      </c>
      <c r="W35" s="30">
        <f>582682</f>
        <v>582682</v>
      </c>
      <c r="X35" s="34">
        <f>19</f>
        <v>19</v>
      </c>
    </row>
    <row r="36" spans="1:24" ht="13.5" customHeight="1" x14ac:dyDescent="0.15">
      <c r="A36" s="25" t="s">
        <v>989</v>
      </c>
      <c r="B36" s="25" t="s">
        <v>132</v>
      </c>
      <c r="C36" s="25" t="s">
        <v>133</v>
      </c>
      <c r="D36" s="25" t="s">
        <v>134</v>
      </c>
      <c r="E36" s="26" t="s">
        <v>45</v>
      </c>
      <c r="F36" s="27" t="s">
        <v>45</v>
      </c>
      <c r="G36" s="28" t="s">
        <v>45</v>
      </c>
      <c r="H36" s="29"/>
      <c r="I36" s="29" t="s">
        <v>46</v>
      </c>
      <c r="J36" s="30">
        <v>1</v>
      </c>
      <c r="K36" s="31">
        <f>17555</f>
        <v>17555</v>
      </c>
      <c r="L36" s="32" t="s">
        <v>785</v>
      </c>
      <c r="M36" s="31">
        <f>19690</f>
        <v>19690</v>
      </c>
      <c r="N36" s="32" t="s">
        <v>791</v>
      </c>
      <c r="O36" s="31">
        <f>17225</f>
        <v>17225</v>
      </c>
      <c r="P36" s="32" t="s">
        <v>785</v>
      </c>
      <c r="Q36" s="31">
        <f>19335</f>
        <v>19335</v>
      </c>
      <c r="R36" s="32" t="s">
        <v>791</v>
      </c>
      <c r="S36" s="33">
        <f>18422.11</f>
        <v>18422.11</v>
      </c>
      <c r="T36" s="30">
        <f>97498</f>
        <v>97498</v>
      </c>
      <c r="U36" s="30" t="str">
        <f>"－"</f>
        <v>－</v>
      </c>
      <c r="V36" s="30">
        <f>1813188260</f>
        <v>1813188260</v>
      </c>
      <c r="W36" s="30" t="str">
        <f>"－"</f>
        <v>－</v>
      </c>
      <c r="X36" s="34">
        <f>19</f>
        <v>19</v>
      </c>
    </row>
    <row r="37" spans="1:24" ht="13.5" customHeight="1" x14ac:dyDescent="0.15">
      <c r="A37" s="25" t="s">
        <v>989</v>
      </c>
      <c r="B37" s="25" t="s">
        <v>135</v>
      </c>
      <c r="C37" s="25" t="s">
        <v>136</v>
      </c>
      <c r="D37" s="25" t="s">
        <v>137</v>
      </c>
      <c r="E37" s="26" t="s">
        <v>45</v>
      </c>
      <c r="F37" s="27" t="s">
        <v>45</v>
      </c>
      <c r="G37" s="28" t="s">
        <v>45</v>
      </c>
      <c r="H37" s="29"/>
      <c r="I37" s="29" t="s">
        <v>46</v>
      </c>
      <c r="J37" s="30">
        <v>1</v>
      </c>
      <c r="K37" s="31">
        <f>1411</f>
        <v>1411</v>
      </c>
      <c r="L37" s="32" t="s">
        <v>785</v>
      </c>
      <c r="M37" s="31">
        <f>1433</f>
        <v>1433</v>
      </c>
      <c r="N37" s="32" t="s">
        <v>785</v>
      </c>
      <c r="O37" s="31">
        <f>1246</f>
        <v>1246</v>
      </c>
      <c r="P37" s="32" t="s">
        <v>791</v>
      </c>
      <c r="Q37" s="31">
        <f>1266</f>
        <v>1266</v>
      </c>
      <c r="R37" s="32" t="s">
        <v>791</v>
      </c>
      <c r="S37" s="33">
        <f>1338</f>
        <v>1338</v>
      </c>
      <c r="T37" s="30">
        <f>934507</f>
        <v>934507</v>
      </c>
      <c r="U37" s="30">
        <f>200000</f>
        <v>200000</v>
      </c>
      <c r="V37" s="30">
        <f>1244800157</f>
        <v>1244800157</v>
      </c>
      <c r="W37" s="30">
        <f>257800000</f>
        <v>257800000</v>
      </c>
      <c r="X37" s="34">
        <f>19</f>
        <v>19</v>
      </c>
    </row>
    <row r="38" spans="1:24" ht="13.5" customHeight="1" x14ac:dyDescent="0.15">
      <c r="A38" s="25" t="s">
        <v>989</v>
      </c>
      <c r="B38" s="25" t="s">
        <v>138</v>
      </c>
      <c r="C38" s="25" t="s">
        <v>139</v>
      </c>
      <c r="D38" s="25" t="s">
        <v>140</v>
      </c>
      <c r="E38" s="26" t="s">
        <v>45</v>
      </c>
      <c r="F38" s="27" t="s">
        <v>45</v>
      </c>
      <c r="G38" s="28" t="s">
        <v>45</v>
      </c>
      <c r="H38" s="29"/>
      <c r="I38" s="29" t="s">
        <v>46</v>
      </c>
      <c r="J38" s="30">
        <v>1</v>
      </c>
      <c r="K38" s="31">
        <f>26125</f>
        <v>26125</v>
      </c>
      <c r="L38" s="32" t="s">
        <v>785</v>
      </c>
      <c r="M38" s="31">
        <f>27510</f>
        <v>27510</v>
      </c>
      <c r="N38" s="32" t="s">
        <v>786</v>
      </c>
      <c r="O38" s="31">
        <f>25750</f>
        <v>25750</v>
      </c>
      <c r="P38" s="32" t="s">
        <v>78</v>
      </c>
      <c r="Q38" s="31">
        <f>27320</f>
        <v>27320</v>
      </c>
      <c r="R38" s="32" t="s">
        <v>791</v>
      </c>
      <c r="S38" s="33">
        <f>26610.79</f>
        <v>26610.79</v>
      </c>
      <c r="T38" s="30">
        <f>218712</f>
        <v>218712</v>
      </c>
      <c r="U38" s="30">
        <f>29630</f>
        <v>29630</v>
      </c>
      <c r="V38" s="30">
        <f>5887517742</f>
        <v>5887517742</v>
      </c>
      <c r="W38" s="30">
        <f>802925882</f>
        <v>802925882</v>
      </c>
      <c r="X38" s="34">
        <f>19</f>
        <v>19</v>
      </c>
    </row>
    <row r="39" spans="1:24" ht="13.5" customHeight="1" x14ac:dyDescent="0.15">
      <c r="A39" s="25" t="s">
        <v>989</v>
      </c>
      <c r="B39" s="25" t="s">
        <v>141</v>
      </c>
      <c r="C39" s="25" t="s">
        <v>142</v>
      </c>
      <c r="D39" s="25" t="s">
        <v>143</v>
      </c>
      <c r="E39" s="26" t="s">
        <v>45</v>
      </c>
      <c r="F39" s="27" t="s">
        <v>45</v>
      </c>
      <c r="G39" s="28" t="s">
        <v>45</v>
      </c>
      <c r="H39" s="29"/>
      <c r="I39" s="29" t="s">
        <v>46</v>
      </c>
      <c r="J39" s="30">
        <v>1</v>
      </c>
      <c r="K39" s="31">
        <f>5510</f>
        <v>5510</v>
      </c>
      <c r="L39" s="32" t="s">
        <v>785</v>
      </c>
      <c r="M39" s="31">
        <f>6030</f>
        <v>6030</v>
      </c>
      <c r="N39" s="32" t="s">
        <v>788</v>
      </c>
      <c r="O39" s="31">
        <f>5470</f>
        <v>5470</v>
      </c>
      <c r="P39" s="32" t="s">
        <v>785</v>
      </c>
      <c r="Q39" s="31">
        <f>5930</f>
        <v>5930</v>
      </c>
      <c r="R39" s="32" t="s">
        <v>791</v>
      </c>
      <c r="S39" s="33">
        <f>5857.89</f>
        <v>5857.89</v>
      </c>
      <c r="T39" s="30">
        <f>5537</f>
        <v>5537</v>
      </c>
      <c r="U39" s="30" t="str">
        <f t="shared" ref="U39:U47" si="0">"－"</f>
        <v>－</v>
      </c>
      <c r="V39" s="30">
        <f>32338020</f>
        <v>32338020</v>
      </c>
      <c r="W39" s="30" t="str">
        <f t="shared" ref="W39:W47" si="1">"－"</f>
        <v>－</v>
      </c>
      <c r="X39" s="34">
        <f>19</f>
        <v>19</v>
      </c>
    </row>
    <row r="40" spans="1:24" ht="13.5" customHeight="1" x14ac:dyDescent="0.15">
      <c r="A40" s="25" t="s">
        <v>989</v>
      </c>
      <c r="B40" s="25" t="s">
        <v>144</v>
      </c>
      <c r="C40" s="25" t="s">
        <v>145</v>
      </c>
      <c r="D40" s="25" t="s">
        <v>146</v>
      </c>
      <c r="E40" s="26" t="s">
        <v>45</v>
      </c>
      <c r="F40" s="27" t="s">
        <v>45</v>
      </c>
      <c r="G40" s="28" t="s">
        <v>45</v>
      </c>
      <c r="H40" s="29"/>
      <c r="I40" s="29" t="s">
        <v>46</v>
      </c>
      <c r="J40" s="30">
        <v>1</v>
      </c>
      <c r="K40" s="31">
        <f>9803</f>
        <v>9803</v>
      </c>
      <c r="L40" s="32" t="s">
        <v>785</v>
      </c>
      <c r="M40" s="31">
        <f>10880</f>
        <v>10880</v>
      </c>
      <c r="N40" s="32" t="s">
        <v>786</v>
      </c>
      <c r="O40" s="31">
        <f>9803</f>
        <v>9803</v>
      </c>
      <c r="P40" s="32" t="s">
        <v>785</v>
      </c>
      <c r="Q40" s="31">
        <f>10580</f>
        <v>10580</v>
      </c>
      <c r="R40" s="32" t="s">
        <v>791</v>
      </c>
      <c r="S40" s="33">
        <f>10410.21</f>
        <v>10410.209999999999</v>
      </c>
      <c r="T40" s="30">
        <f>789</f>
        <v>789</v>
      </c>
      <c r="U40" s="30" t="str">
        <f t="shared" si="0"/>
        <v>－</v>
      </c>
      <c r="V40" s="30">
        <f>8279241</f>
        <v>8279241</v>
      </c>
      <c r="W40" s="30" t="str">
        <f t="shared" si="1"/>
        <v>－</v>
      </c>
      <c r="X40" s="34">
        <f>19</f>
        <v>19</v>
      </c>
    </row>
    <row r="41" spans="1:24" ht="13.5" customHeight="1" x14ac:dyDescent="0.15">
      <c r="A41" s="25" t="s">
        <v>989</v>
      </c>
      <c r="B41" s="25" t="s">
        <v>147</v>
      </c>
      <c r="C41" s="25" t="s">
        <v>148</v>
      </c>
      <c r="D41" s="25" t="s">
        <v>149</v>
      </c>
      <c r="E41" s="26" t="s">
        <v>45</v>
      </c>
      <c r="F41" s="27" t="s">
        <v>45</v>
      </c>
      <c r="G41" s="28" t="s">
        <v>45</v>
      </c>
      <c r="H41" s="29"/>
      <c r="I41" s="29" t="s">
        <v>46</v>
      </c>
      <c r="J41" s="30">
        <v>1</v>
      </c>
      <c r="K41" s="31">
        <f>18655</f>
        <v>18655</v>
      </c>
      <c r="L41" s="32" t="s">
        <v>785</v>
      </c>
      <c r="M41" s="31">
        <f>20595</f>
        <v>20595</v>
      </c>
      <c r="N41" s="32" t="s">
        <v>893</v>
      </c>
      <c r="O41" s="31">
        <f>18655</f>
        <v>18655</v>
      </c>
      <c r="P41" s="32" t="s">
        <v>785</v>
      </c>
      <c r="Q41" s="31">
        <f>20025</f>
        <v>20025</v>
      </c>
      <c r="R41" s="32" t="s">
        <v>893</v>
      </c>
      <c r="S41" s="33">
        <f>19717.19</f>
        <v>19717.189999999999</v>
      </c>
      <c r="T41" s="30">
        <f>151</f>
        <v>151</v>
      </c>
      <c r="U41" s="30" t="str">
        <f t="shared" si="0"/>
        <v>－</v>
      </c>
      <c r="V41" s="30">
        <f>3003450</f>
        <v>3003450</v>
      </c>
      <c r="W41" s="30" t="str">
        <f t="shared" si="1"/>
        <v>－</v>
      </c>
      <c r="X41" s="34">
        <f>16</f>
        <v>16</v>
      </c>
    </row>
    <row r="42" spans="1:24" ht="13.5" customHeight="1" x14ac:dyDescent="0.15">
      <c r="A42" s="25" t="s">
        <v>989</v>
      </c>
      <c r="B42" s="25" t="s">
        <v>150</v>
      </c>
      <c r="C42" s="25" t="s">
        <v>151</v>
      </c>
      <c r="D42" s="25" t="s">
        <v>152</v>
      </c>
      <c r="E42" s="26" t="s">
        <v>45</v>
      </c>
      <c r="F42" s="27" t="s">
        <v>45</v>
      </c>
      <c r="G42" s="28" t="s">
        <v>45</v>
      </c>
      <c r="H42" s="29"/>
      <c r="I42" s="29" t="s">
        <v>46</v>
      </c>
      <c r="J42" s="30">
        <v>1</v>
      </c>
      <c r="K42" s="31">
        <f>15600</f>
        <v>15600</v>
      </c>
      <c r="L42" s="32" t="s">
        <v>785</v>
      </c>
      <c r="M42" s="31">
        <f>16525</f>
        <v>16525</v>
      </c>
      <c r="N42" s="32" t="s">
        <v>789</v>
      </c>
      <c r="O42" s="31">
        <f>15600</f>
        <v>15600</v>
      </c>
      <c r="P42" s="32" t="s">
        <v>785</v>
      </c>
      <c r="Q42" s="31">
        <f>16280</f>
        <v>16280</v>
      </c>
      <c r="R42" s="32" t="s">
        <v>786</v>
      </c>
      <c r="S42" s="33">
        <f>16081.43</f>
        <v>16081.43</v>
      </c>
      <c r="T42" s="30">
        <f>39</f>
        <v>39</v>
      </c>
      <c r="U42" s="30" t="str">
        <f t="shared" si="0"/>
        <v>－</v>
      </c>
      <c r="V42" s="30">
        <f>622150</f>
        <v>622150</v>
      </c>
      <c r="W42" s="30" t="str">
        <f t="shared" si="1"/>
        <v>－</v>
      </c>
      <c r="X42" s="34">
        <f>7</f>
        <v>7</v>
      </c>
    </row>
    <row r="43" spans="1:24" ht="13.5" customHeight="1" x14ac:dyDescent="0.15">
      <c r="A43" s="25" t="s">
        <v>989</v>
      </c>
      <c r="B43" s="25" t="s">
        <v>153</v>
      </c>
      <c r="C43" s="25" t="s">
        <v>154</v>
      </c>
      <c r="D43" s="25" t="s">
        <v>155</v>
      </c>
      <c r="E43" s="26" t="s">
        <v>45</v>
      </c>
      <c r="F43" s="27" t="s">
        <v>45</v>
      </c>
      <c r="G43" s="28" t="s">
        <v>45</v>
      </c>
      <c r="H43" s="29"/>
      <c r="I43" s="29" t="s">
        <v>46</v>
      </c>
      <c r="J43" s="30">
        <v>1</v>
      </c>
      <c r="K43" s="31">
        <f>11185</f>
        <v>11185</v>
      </c>
      <c r="L43" s="32" t="s">
        <v>785</v>
      </c>
      <c r="M43" s="31">
        <f>11840</f>
        <v>11840</v>
      </c>
      <c r="N43" s="32" t="s">
        <v>255</v>
      </c>
      <c r="O43" s="31">
        <f>11100</f>
        <v>11100</v>
      </c>
      <c r="P43" s="32" t="s">
        <v>785</v>
      </c>
      <c r="Q43" s="31">
        <f>11550</f>
        <v>11550</v>
      </c>
      <c r="R43" s="32" t="s">
        <v>791</v>
      </c>
      <c r="S43" s="33">
        <f>11504.72</f>
        <v>11504.72</v>
      </c>
      <c r="T43" s="30">
        <f>1000</f>
        <v>1000</v>
      </c>
      <c r="U43" s="30" t="str">
        <f t="shared" si="0"/>
        <v>－</v>
      </c>
      <c r="V43" s="30">
        <f>11504620</f>
        <v>11504620</v>
      </c>
      <c r="W43" s="30" t="str">
        <f t="shared" si="1"/>
        <v>－</v>
      </c>
      <c r="X43" s="34">
        <f>18</f>
        <v>18</v>
      </c>
    </row>
    <row r="44" spans="1:24" ht="13.5" customHeight="1" x14ac:dyDescent="0.15">
      <c r="A44" s="25" t="s">
        <v>989</v>
      </c>
      <c r="B44" s="25" t="s">
        <v>156</v>
      </c>
      <c r="C44" s="25" t="s">
        <v>157</v>
      </c>
      <c r="D44" s="25" t="s">
        <v>158</v>
      </c>
      <c r="E44" s="26" t="s">
        <v>45</v>
      </c>
      <c r="F44" s="27" t="s">
        <v>45</v>
      </c>
      <c r="G44" s="28" t="s">
        <v>45</v>
      </c>
      <c r="H44" s="29"/>
      <c r="I44" s="29" t="s">
        <v>46</v>
      </c>
      <c r="J44" s="30">
        <v>1</v>
      </c>
      <c r="K44" s="31">
        <f>5630</f>
        <v>5630</v>
      </c>
      <c r="L44" s="32" t="s">
        <v>785</v>
      </c>
      <c r="M44" s="31">
        <f>6160</f>
        <v>6160</v>
      </c>
      <c r="N44" s="32" t="s">
        <v>786</v>
      </c>
      <c r="O44" s="31">
        <f>5590</f>
        <v>5590</v>
      </c>
      <c r="P44" s="32" t="s">
        <v>785</v>
      </c>
      <c r="Q44" s="31">
        <f>6040</f>
        <v>6040</v>
      </c>
      <c r="R44" s="32" t="s">
        <v>791</v>
      </c>
      <c r="S44" s="33">
        <f>5893.16</f>
        <v>5893.16</v>
      </c>
      <c r="T44" s="30">
        <f>2221</f>
        <v>2221</v>
      </c>
      <c r="U44" s="30" t="str">
        <f t="shared" si="0"/>
        <v>－</v>
      </c>
      <c r="V44" s="30">
        <f>13211900</f>
        <v>13211900</v>
      </c>
      <c r="W44" s="30" t="str">
        <f t="shared" si="1"/>
        <v>－</v>
      </c>
      <c r="X44" s="34">
        <f>19</f>
        <v>19</v>
      </c>
    </row>
    <row r="45" spans="1:24" ht="13.5" customHeight="1" x14ac:dyDescent="0.15">
      <c r="A45" s="25" t="s">
        <v>989</v>
      </c>
      <c r="B45" s="25" t="s">
        <v>159</v>
      </c>
      <c r="C45" s="25" t="s">
        <v>160</v>
      </c>
      <c r="D45" s="25" t="s">
        <v>161</v>
      </c>
      <c r="E45" s="26" t="s">
        <v>45</v>
      </c>
      <c r="F45" s="27" t="s">
        <v>45</v>
      </c>
      <c r="G45" s="28" t="s">
        <v>45</v>
      </c>
      <c r="H45" s="29"/>
      <c r="I45" s="29" t="s">
        <v>46</v>
      </c>
      <c r="J45" s="30">
        <v>1</v>
      </c>
      <c r="K45" s="31">
        <f>2955</f>
        <v>2955</v>
      </c>
      <c r="L45" s="32" t="s">
        <v>785</v>
      </c>
      <c r="M45" s="31">
        <f>3085</f>
        <v>3085</v>
      </c>
      <c r="N45" s="32" t="s">
        <v>255</v>
      </c>
      <c r="O45" s="31">
        <f>2929</f>
        <v>2929</v>
      </c>
      <c r="P45" s="32" t="s">
        <v>785</v>
      </c>
      <c r="Q45" s="31">
        <f>3055</f>
        <v>3055</v>
      </c>
      <c r="R45" s="32" t="s">
        <v>791</v>
      </c>
      <c r="S45" s="33">
        <f>3022.95</f>
        <v>3022.95</v>
      </c>
      <c r="T45" s="30">
        <f>3059</f>
        <v>3059</v>
      </c>
      <c r="U45" s="30" t="str">
        <f t="shared" si="0"/>
        <v>－</v>
      </c>
      <c r="V45" s="30">
        <f>9222279</f>
        <v>9222279</v>
      </c>
      <c r="W45" s="30" t="str">
        <f t="shared" si="1"/>
        <v>－</v>
      </c>
      <c r="X45" s="34">
        <f>19</f>
        <v>19</v>
      </c>
    </row>
    <row r="46" spans="1:24" ht="13.5" customHeight="1" x14ac:dyDescent="0.15">
      <c r="A46" s="25" t="s">
        <v>989</v>
      </c>
      <c r="B46" s="25" t="s">
        <v>162</v>
      </c>
      <c r="C46" s="25" t="s">
        <v>163</v>
      </c>
      <c r="D46" s="25" t="s">
        <v>164</v>
      </c>
      <c r="E46" s="26" t="s">
        <v>45</v>
      </c>
      <c r="F46" s="27" t="s">
        <v>45</v>
      </c>
      <c r="G46" s="28" t="s">
        <v>45</v>
      </c>
      <c r="H46" s="29"/>
      <c r="I46" s="29" t="s">
        <v>46</v>
      </c>
      <c r="J46" s="30">
        <v>1</v>
      </c>
      <c r="K46" s="31">
        <f>3065</f>
        <v>3065</v>
      </c>
      <c r="L46" s="32" t="s">
        <v>785</v>
      </c>
      <c r="M46" s="31">
        <f>3210</f>
        <v>3210</v>
      </c>
      <c r="N46" s="32" t="s">
        <v>793</v>
      </c>
      <c r="O46" s="31">
        <f>3030</f>
        <v>3030</v>
      </c>
      <c r="P46" s="32" t="s">
        <v>785</v>
      </c>
      <c r="Q46" s="31">
        <f>3180</f>
        <v>3180</v>
      </c>
      <c r="R46" s="32" t="s">
        <v>791</v>
      </c>
      <c r="S46" s="33">
        <f>3154.74</f>
        <v>3154.74</v>
      </c>
      <c r="T46" s="30">
        <f>1364</f>
        <v>1364</v>
      </c>
      <c r="U46" s="30" t="str">
        <f t="shared" si="0"/>
        <v>－</v>
      </c>
      <c r="V46" s="30">
        <f>4289180</f>
        <v>4289180</v>
      </c>
      <c r="W46" s="30" t="str">
        <f t="shared" si="1"/>
        <v>－</v>
      </c>
      <c r="X46" s="34">
        <f>19</f>
        <v>19</v>
      </c>
    </row>
    <row r="47" spans="1:24" ht="13.5" customHeight="1" x14ac:dyDescent="0.15">
      <c r="A47" s="25" t="s">
        <v>989</v>
      </c>
      <c r="B47" s="25" t="s">
        <v>165</v>
      </c>
      <c r="C47" s="25" t="s">
        <v>166</v>
      </c>
      <c r="D47" s="25" t="s">
        <v>167</v>
      </c>
      <c r="E47" s="26" t="s">
        <v>45</v>
      </c>
      <c r="F47" s="27" t="s">
        <v>45</v>
      </c>
      <c r="G47" s="28" t="s">
        <v>45</v>
      </c>
      <c r="H47" s="29"/>
      <c r="I47" s="29" t="s">
        <v>46</v>
      </c>
      <c r="J47" s="30">
        <v>1</v>
      </c>
      <c r="K47" s="31">
        <f>49340</f>
        <v>49340</v>
      </c>
      <c r="L47" s="32" t="s">
        <v>785</v>
      </c>
      <c r="M47" s="31">
        <f>50870</f>
        <v>50870</v>
      </c>
      <c r="N47" s="32" t="s">
        <v>789</v>
      </c>
      <c r="O47" s="31">
        <f>48700</f>
        <v>48700</v>
      </c>
      <c r="P47" s="32" t="s">
        <v>875</v>
      </c>
      <c r="Q47" s="31">
        <f>50810</f>
        <v>50810</v>
      </c>
      <c r="R47" s="32" t="s">
        <v>893</v>
      </c>
      <c r="S47" s="33">
        <f>49851.18</f>
        <v>49851.18</v>
      </c>
      <c r="T47" s="30">
        <f>556</f>
        <v>556</v>
      </c>
      <c r="U47" s="30" t="str">
        <f t="shared" si="0"/>
        <v>－</v>
      </c>
      <c r="V47" s="30">
        <f>27669470</f>
        <v>27669470</v>
      </c>
      <c r="W47" s="30" t="str">
        <f t="shared" si="1"/>
        <v>－</v>
      </c>
      <c r="X47" s="34">
        <f>17</f>
        <v>17</v>
      </c>
    </row>
    <row r="48" spans="1:24" ht="13.5" customHeight="1" x14ac:dyDescent="0.15">
      <c r="A48" s="25" t="s">
        <v>989</v>
      </c>
      <c r="B48" s="25" t="s">
        <v>168</v>
      </c>
      <c r="C48" s="25" t="s">
        <v>169</v>
      </c>
      <c r="D48" s="25" t="s">
        <v>170</v>
      </c>
      <c r="E48" s="26" t="s">
        <v>45</v>
      </c>
      <c r="F48" s="27" t="s">
        <v>45</v>
      </c>
      <c r="G48" s="28" t="s">
        <v>45</v>
      </c>
      <c r="H48" s="29"/>
      <c r="I48" s="29" t="s">
        <v>46</v>
      </c>
      <c r="J48" s="30">
        <v>1</v>
      </c>
      <c r="K48" s="31">
        <f>34410</f>
        <v>34410</v>
      </c>
      <c r="L48" s="32" t="s">
        <v>785</v>
      </c>
      <c r="M48" s="31">
        <f>37200</f>
        <v>37200</v>
      </c>
      <c r="N48" s="32" t="s">
        <v>789</v>
      </c>
      <c r="O48" s="31">
        <f>34410</f>
        <v>34410</v>
      </c>
      <c r="P48" s="32" t="s">
        <v>785</v>
      </c>
      <c r="Q48" s="31">
        <f>36040</f>
        <v>36040</v>
      </c>
      <c r="R48" s="32" t="s">
        <v>791</v>
      </c>
      <c r="S48" s="33">
        <f>36099.09</f>
        <v>36099.089999999997</v>
      </c>
      <c r="T48" s="30">
        <f>152</f>
        <v>152</v>
      </c>
      <c r="U48" s="30">
        <f>1</f>
        <v>1</v>
      </c>
      <c r="V48" s="30">
        <f>5518520</f>
        <v>5518520</v>
      </c>
      <c r="W48" s="30">
        <f>36120</f>
        <v>36120</v>
      </c>
      <c r="X48" s="34">
        <f>11</f>
        <v>11</v>
      </c>
    </row>
    <row r="49" spans="1:24" ht="13.5" customHeight="1" x14ac:dyDescent="0.15">
      <c r="A49" s="25" t="s">
        <v>989</v>
      </c>
      <c r="B49" s="25" t="s">
        <v>171</v>
      </c>
      <c r="C49" s="25" t="s">
        <v>172</v>
      </c>
      <c r="D49" s="25" t="s">
        <v>173</v>
      </c>
      <c r="E49" s="26" t="s">
        <v>45</v>
      </c>
      <c r="F49" s="27" t="s">
        <v>45</v>
      </c>
      <c r="G49" s="28" t="s">
        <v>45</v>
      </c>
      <c r="H49" s="29"/>
      <c r="I49" s="29" t="s">
        <v>46</v>
      </c>
      <c r="J49" s="30">
        <v>1</v>
      </c>
      <c r="K49" s="31">
        <f>26130</f>
        <v>26130</v>
      </c>
      <c r="L49" s="32" t="s">
        <v>785</v>
      </c>
      <c r="M49" s="31">
        <f>27745</f>
        <v>27745</v>
      </c>
      <c r="N49" s="32" t="s">
        <v>789</v>
      </c>
      <c r="O49" s="31">
        <f>25985</f>
        <v>25985</v>
      </c>
      <c r="P49" s="32" t="s">
        <v>785</v>
      </c>
      <c r="Q49" s="31">
        <f>27600</f>
        <v>27600</v>
      </c>
      <c r="R49" s="32" t="s">
        <v>791</v>
      </c>
      <c r="S49" s="33">
        <f>26876.76</f>
        <v>26876.76</v>
      </c>
      <c r="T49" s="30">
        <f>42843</f>
        <v>42843</v>
      </c>
      <c r="U49" s="30">
        <f>23601</f>
        <v>23601</v>
      </c>
      <c r="V49" s="30">
        <f>1171777746</f>
        <v>1171777746</v>
      </c>
      <c r="W49" s="30">
        <f>651473196</f>
        <v>651473196</v>
      </c>
      <c r="X49" s="34">
        <f>17</f>
        <v>17</v>
      </c>
    </row>
    <row r="50" spans="1:24" ht="13.5" customHeight="1" x14ac:dyDescent="0.15">
      <c r="A50" s="25" t="s">
        <v>989</v>
      </c>
      <c r="B50" s="25" t="s">
        <v>174</v>
      </c>
      <c r="C50" s="25" t="s">
        <v>175</v>
      </c>
      <c r="D50" s="25" t="s">
        <v>176</v>
      </c>
      <c r="E50" s="26" t="s">
        <v>45</v>
      </c>
      <c r="F50" s="27" t="s">
        <v>45</v>
      </c>
      <c r="G50" s="28" t="s">
        <v>45</v>
      </c>
      <c r="H50" s="29"/>
      <c r="I50" s="29" t="s">
        <v>46</v>
      </c>
      <c r="J50" s="30">
        <v>10</v>
      </c>
      <c r="K50" s="31">
        <f>1938.5</f>
        <v>1938.5</v>
      </c>
      <c r="L50" s="32" t="s">
        <v>785</v>
      </c>
      <c r="M50" s="31">
        <f>1939</f>
        <v>1939</v>
      </c>
      <c r="N50" s="32" t="s">
        <v>785</v>
      </c>
      <c r="O50" s="31">
        <f>1830</f>
        <v>1830</v>
      </c>
      <c r="P50" s="32" t="s">
        <v>80</v>
      </c>
      <c r="Q50" s="31">
        <f>1878</f>
        <v>1878</v>
      </c>
      <c r="R50" s="32" t="s">
        <v>791</v>
      </c>
      <c r="S50" s="33">
        <f>1881.71</f>
        <v>1881.71</v>
      </c>
      <c r="T50" s="30">
        <f>884300</f>
        <v>884300</v>
      </c>
      <c r="U50" s="30">
        <f>674950</f>
        <v>674950</v>
      </c>
      <c r="V50" s="30">
        <f>1641992235</f>
        <v>1641992235</v>
      </c>
      <c r="W50" s="30">
        <f>1248312010</f>
        <v>1248312010</v>
      </c>
      <c r="X50" s="34">
        <f>19</f>
        <v>19</v>
      </c>
    </row>
    <row r="51" spans="1:24" ht="13.5" customHeight="1" x14ac:dyDescent="0.15">
      <c r="A51" s="25" t="s">
        <v>989</v>
      </c>
      <c r="B51" s="25" t="s">
        <v>177</v>
      </c>
      <c r="C51" s="25" t="s">
        <v>178</v>
      </c>
      <c r="D51" s="25" t="s">
        <v>179</v>
      </c>
      <c r="E51" s="26" t="s">
        <v>45</v>
      </c>
      <c r="F51" s="27" t="s">
        <v>45</v>
      </c>
      <c r="G51" s="28" t="s">
        <v>45</v>
      </c>
      <c r="H51" s="29"/>
      <c r="I51" s="29" t="s">
        <v>46</v>
      </c>
      <c r="J51" s="30">
        <v>10</v>
      </c>
      <c r="K51" s="31">
        <f>1593</f>
        <v>1593</v>
      </c>
      <c r="L51" s="32" t="s">
        <v>785</v>
      </c>
      <c r="M51" s="31">
        <f>1625.5</f>
        <v>1625.5</v>
      </c>
      <c r="N51" s="32" t="s">
        <v>791</v>
      </c>
      <c r="O51" s="31">
        <f>1551</f>
        <v>1551</v>
      </c>
      <c r="P51" s="32" t="s">
        <v>876</v>
      </c>
      <c r="Q51" s="31">
        <f>1625.5</f>
        <v>1625.5</v>
      </c>
      <c r="R51" s="32" t="s">
        <v>791</v>
      </c>
      <c r="S51" s="33">
        <f>1584.06</f>
        <v>1584.06</v>
      </c>
      <c r="T51" s="30">
        <f>4790</f>
        <v>4790</v>
      </c>
      <c r="U51" s="30" t="str">
        <f>"－"</f>
        <v>－</v>
      </c>
      <c r="V51" s="30">
        <f>7574645</f>
        <v>7574645</v>
      </c>
      <c r="W51" s="30" t="str">
        <f>"－"</f>
        <v>－</v>
      </c>
      <c r="X51" s="34">
        <f>18</f>
        <v>18</v>
      </c>
    </row>
    <row r="52" spans="1:24" ht="13.5" customHeight="1" x14ac:dyDescent="0.15">
      <c r="A52" s="25" t="s">
        <v>989</v>
      </c>
      <c r="B52" s="25" t="s">
        <v>180</v>
      </c>
      <c r="C52" s="25" t="s">
        <v>181</v>
      </c>
      <c r="D52" s="25" t="s">
        <v>182</v>
      </c>
      <c r="E52" s="26" t="s">
        <v>45</v>
      </c>
      <c r="F52" s="27" t="s">
        <v>45</v>
      </c>
      <c r="G52" s="28" t="s">
        <v>45</v>
      </c>
      <c r="H52" s="29"/>
      <c r="I52" s="29" t="s">
        <v>46</v>
      </c>
      <c r="J52" s="30">
        <v>1</v>
      </c>
      <c r="K52" s="31">
        <f>4365</f>
        <v>4365</v>
      </c>
      <c r="L52" s="32" t="s">
        <v>785</v>
      </c>
      <c r="M52" s="31">
        <f>4390</f>
        <v>4390</v>
      </c>
      <c r="N52" s="32" t="s">
        <v>785</v>
      </c>
      <c r="O52" s="31">
        <f>4090</f>
        <v>4090</v>
      </c>
      <c r="P52" s="32" t="s">
        <v>789</v>
      </c>
      <c r="Q52" s="31">
        <f>4115</f>
        <v>4115</v>
      </c>
      <c r="R52" s="32" t="s">
        <v>791</v>
      </c>
      <c r="S52" s="33">
        <f>4232.89</f>
        <v>4232.8900000000003</v>
      </c>
      <c r="T52" s="30">
        <f>531646</f>
        <v>531646</v>
      </c>
      <c r="U52" s="30">
        <f>35200</f>
        <v>35200</v>
      </c>
      <c r="V52" s="30">
        <f>2274617820</f>
        <v>2274617820</v>
      </c>
      <c r="W52" s="30">
        <f>149034480</f>
        <v>149034480</v>
      </c>
      <c r="X52" s="34">
        <f>19</f>
        <v>19</v>
      </c>
    </row>
    <row r="53" spans="1:24" ht="13.5" customHeight="1" x14ac:dyDescent="0.15">
      <c r="A53" s="25" t="s">
        <v>989</v>
      </c>
      <c r="B53" s="25" t="s">
        <v>183</v>
      </c>
      <c r="C53" s="25" t="s">
        <v>184</v>
      </c>
      <c r="D53" s="25" t="s">
        <v>185</v>
      </c>
      <c r="E53" s="26" t="s">
        <v>45</v>
      </c>
      <c r="F53" s="27" t="s">
        <v>45</v>
      </c>
      <c r="G53" s="28" t="s">
        <v>45</v>
      </c>
      <c r="H53" s="29"/>
      <c r="I53" s="29" t="s">
        <v>46</v>
      </c>
      <c r="J53" s="30">
        <v>1</v>
      </c>
      <c r="K53" s="31">
        <f>4980</f>
        <v>4980</v>
      </c>
      <c r="L53" s="32" t="s">
        <v>785</v>
      </c>
      <c r="M53" s="31">
        <f>5020</f>
        <v>5020</v>
      </c>
      <c r="N53" s="32" t="s">
        <v>785</v>
      </c>
      <c r="O53" s="31">
        <f>4695</f>
        <v>4695</v>
      </c>
      <c r="P53" s="32" t="s">
        <v>791</v>
      </c>
      <c r="Q53" s="31">
        <f>4730</f>
        <v>4730</v>
      </c>
      <c r="R53" s="32" t="s">
        <v>791</v>
      </c>
      <c r="S53" s="33">
        <f>4860.26</f>
        <v>4860.26</v>
      </c>
      <c r="T53" s="30">
        <f>561521</f>
        <v>561521</v>
      </c>
      <c r="U53" s="30">
        <f>299713</f>
        <v>299713</v>
      </c>
      <c r="V53" s="30">
        <f>2731050648</f>
        <v>2731050648</v>
      </c>
      <c r="W53" s="30">
        <f>1432110618</f>
        <v>1432110618</v>
      </c>
      <c r="X53" s="34">
        <f>19</f>
        <v>19</v>
      </c>
    </row>
    <row r="54" spans="1:24" ht="13.5" customHeight="1" x14ac:dyDescent="0.15">
      <c r="A54" s="25" t="s">
        <v>989</v>
      </c>
      <c r="B54" s="25" t="s">
        <v>186</v>
      </c>
      <c r="C54" s="25" t="s">
        <v>187</v>
      </c>
      <c r="D54" s="25" t="s">
        <v>188</v>
      </c>
      <c r="E54" s="26" t="s">
        <v>45</v>
      </c>
      <c r="F54" s="27" t="s">
        <v>45</v>
      </c>
      <c r="G54" s="28" t="s">
        <v>45</v>
      </c>
      <c r="H54" s="29"/>
      <c r="I54" s="29" t="s">
        <v>46</v>
      </c>
      <c r="J54" s="30">
        <v>1</v>
      </c>
      <c r="K54" s="31">
        <f>14720</f>
        <v>14720</v>
      </c>
      <c r="L54" s="32" t="s">
        <v>785</v>
      </c>
      <c r="M54" s="31">
        <f>16630</f>
        <v>16630</v>
      </c>
      <c r="N54" s="32" t="s">
        <v>786</v>
      </c>
      <c r="O54" s="31">
        <f>14495</f>
        <v>14495</v>
      </c>
      <c r="P54" s="32" t="s">
        <v>785</v>
      </c>
      <c r="Q54" s="31">
        <f>16405</f>
        <v>16405</v>
      </c>
      <c r="R54" s="32" t="s">
        <v>791</v>
      </c>
      <c r="S54" s="33">
        <f>15566.58</f>
        <v>15566.58</v>
      </c>
      <c r="T54" s="30">
        <f>13435309</f>
        <v>13435309</v>
      </c>
      <c r="U54" s="30">
        <f>73</f>
        <v>73</v>
      </c>
      <c r="V54" s="30">
        <f>208344051275</f>
        <v>208344051275</v>
      </c>
      <c r="W54" s="30">
        <f>1150725</f>
        <v>1150725</v>
      </c>
      <c r="X54" s="34">
        <f>19</f>
        <v>19</v>
      </c>
    </row>
    <row r="55" spans="1:24" ht="13.5" customHeight="1" x14ac:dyDescent="0.15">
      <c r="A55" s="25" t="s">
        <v>989</v>
      </c>
      <c r="B55" s="25" t="s">
        <v>189</v>
      </c>
      <c r="C55" s="25" t="s">
        <v>190</v>
      </c>
      <c r="D55" s="25" t="s">
        <v>191</v>
      </c>
      <c r="E55" s="26" t="s">
        <v>45</v>
      </c>
      <c r="F55" s="27" t="s">
        <v>45</v>
      </c>
      <c r="G55" s="28" t="s">
        <v>45</v>
      </c>
      <c r="H55" s="29"/>
      <c r="I55" s="29" t="s">
        <v>46</v>
      </c>
      <c r="J55" s="30">
        <v>1</v>
      </c>
      <c r="K55" s="31">
        <f>1600</f>
        <v>1600</v>
      </c>
      <c r="L55" s="32" t="s">
        <v>785</v>
      </c>
      <c r="M55" s="31">
        <f>1623</f>
        <v>1623</v>
      </c>
      <c r="N55" s="32" t="s">
        <v>785</v>
      </c>
      <c r="O55" s="31">
        <f>1402</f>
        <v>1402</v>
      </c>
      <c r="P55" s="32" t="s">
        <v>786</v>
      </c>
      <c r="Q55" s="31">
        <f>1422</f>
        <v>1422</v>
      </c>
      <c r="R55" s="32" t="s">
        <v>791</v>
      </c>
      <c r="S55" s="33">
        <f>1506.74</f>
        <v>1506.74</v>
      </c>
      <c r="T55" s="30">
        <f>161636186</f>
        <v>161636186</v>
      </c>
      <c r="U55" s="30">
        <f>800053</f>
        <v>800053</v>
      </c>
      <c r="V55" s="30">
        <f>246495860928</f>
        <v>246495860928</v>
      </c>
      <c r="W55" s="30">
        <f>1177382920</f>
        <v>1177382920</v>
      </c>
      <c r="X55" s="34">
        <f>19</f>
        <v>19</v>
      </c>
    </row>
    <row r="56" spans="1:24" ht="13.5" customHeight="1" x14ac:dyDescent="0.15">
      <c r="A56" s="25" t="s">
        <v>989</v>
      </c>
      <c r="B56" s="25" t="s">
        <v>192</v>
      </c>
      <c r="C56" s="25" t="s">
        <v>193</v>
      </c>
      <c r="D56" s="25" t="s">
        <v>194</v>
      </c>
      <c r="E56" s="26" t="s">
        <v>45</v>
      </c>
      <c r="F56" s="27" t="s">
        <v>45</v>
      </c>
      <c r="G56" s="28" t="s">
        <v>45</v>
      </c>
      <c r="H56" s="29"/>
      <c r="I56" s="29" t="s">
        <v>46</v>
      </c>
      <c r="J56" s="30">
        <v>1</v>
      </c>
      <c r="K56" s="31">
        <f>13960</f>
        <v>13960</v>
      </c>
      <c r="L56" s="32" t="s">
        <v>785</v>
      </c>
      <c r="M56" s="31">
        <f>15670</f>
        <v>15670</v>
      </c>
      <c r="N56" s="32" t="s">
        <v>791</v>
      </c>
      <c r="O56" s="31">
        <f>13660</f>
        <v>13660</v>
      </c>
      <c r="P56" s="32" t="s">
        <v>785</v>
      </c>
      <c r="Q56" s="31">
        <f>15440</f>
        <v>15440</v>
      </c>
      <c r="R56" s="32" t="s">
        <v>791</v>
      </c>
      <c r="S56" s="33">
        <f>14677.37</f>
        <v>14677.37</v>
      </c>
      <c r="T56" s="30">
        <f>1513</f>
        <v>1513</v>
      </c>
      <c r="U56" s="30" t="str">
        <f>"－"</f>
        <v>－</v>
      </c>
      <c r="V56" s="30">
        <f>22371155</f>
        <v>22371155</v>
      </c>
      <c r="W56" s="30" t="str">
        <f>"－"</f>
        <v>－</v>
      </c>
      <c r="X56" s="34">
        <f>19</f>
        <v>19</v>
      </c>
    </row>
    <row r="57" spans="1:24" ht="13.5" customHeight="1" x14ac:dyDescent="0.15">
      <c r="A57" s="25" t="s">
        <v>989</v>
      </c>
      <c r="B57" s="25" t="s">
        <v>195</v>
      </c>
      <c r="C57" s="25" t="s">
        <v>196</v>
      </c>
      <c r="D57" s="25" t="s">
        <v>197</v>
      </c>
      <c r="E57" s="26" t="s">
        <v>45</v>
      </c>
      <c r="F57" s="27" t="s">
        <v>45</v>
      </c>
      <c r="G57" s="28" t="s">
        <v>45</v>
      </c>
      <c r="H57" s="29"/>
      <c r="I57" s="29" t="s">
        <v>46</v>
      </c>
      <c r="J57" s="30">
        <v>1</v>
      </c>
      <c r="K57" s="31">
        <f>4805</f>
        <v>4805</v>
      </c>
      <c r="L57" s="32" t="s">
        <v>785</v>
      </c>
      <c r="M57" s="31">
        <f>4865</f>
        <v>4865</v>
      </c>
      <c r="N57" s="32" t="s">
        <v>785</v>
      </c>
      <c r="O57" s="31">
        <f>4590</f>
        <v>4590</v>
      </c>
      <c r="P57" s="32" t="s">
        <v>793</v>
      </c>
      <c r="Q57" s="31">
        <f>4590</f>
        <v>4590</v>
      </c>
      <c r="R57" s="32" t="s">
        <v>793</v>
      </c>
      <c r="S57" s="33">
        <f>4771.67</f>
        <v>4771.67</v>
      </c>
      <c r="T57" s="30">
        <f>404</f>
        <v>404</v>
      </c>
      <c r="U57" s="30" t="str">
        <f>"－"</f>
        <v>－</v>
      </c>
      <c r="V57" s="30">
        <f>1907445</f>
        <v>1907445</v>
      </c>
      <c r="W57" s="30" t="str">
        <f>"－"</f>
        <v>－</v>
      </c>
      <c r="X57" s="34">
        <f>6</f>
        <v>6</v>
      </c>
    </row>
    <row r="58" spans="1:24" ht="13.5" customHeight="1" x14ac:dyDescent="0.15">
      <c r="A58" s="25" t="s">
        <v>989</v>
      </c>
      <c r="B58" s="25" t="s">
        <v>198</v>
      </c>
      <c r="C58" s="25" t="s">
        <v>199</v>
      </c>
      <c r="D58" s="25" t="s">
        <v>200</v>
      </c>
      <c r="E58" s="26" t="s">
        <v>45</v>
      </c>
      <c r="F58" s="27" t="s">
        <v>45</v>
      </c>
      <c r="G58" s="28" t="s">
        <v>45</v>
      </c>
      <c r="H58" s="29"/>
      <c r="I58" s="29" t="s">
        <v>46</v>
      </c>
      <c r="J58" s="30">
        <v>1</v>
      </c>
      <c r="K58" s="31">
        <f>1813</f>
        <v>1813</v>
      </c>
      <c r="L58" s="32" t="s">
        <v>785</v>
      </c>
      <c r="M58" s="31">
        <f>1859</f>
        <v>1859</v>
      </c>
      <c r="N58" s="32" t="s">
        <v>784</v>
      </c>
      <c r="O58" s="31">
        <f>1571</f>
        <v>1571</v>
      </c>
      <c r="P58" s="32" t="s">
        <v>793</v>
      </c>
      <c r="Q58" s="31">
        <f>1639</f>
        <v>1639</v>
      </c>
      <c r="R58" s="32" t="s">
        <v>791</v>
      </c>
      <c r="S58" s="33">
        <f>1722.42</f>
        <v>1722.42</v>
      </c>
      <c r="T58" s="30">
        <f>25391</f>
        <v>25391</v>
      </c>
      <c r="U58" s="30">
        <f>4</f>
        <v>4</v>
      </c>
      <c r="V58" s="30">
        <f>42784204</f>
        <v>42784204</v>
      </c>
      <c r="W58" s="30">
        <f>6540</f>
        <v>6540</v>
      </c>
      <c r="X58" s="34">
        <f>19</f>
        <v>19</v>
      </c>
    </row>
    <row r="59" spans="1:24" ht="13.5" customHeight="1" x14ac:dyDescent="0.15">
      <c r="A59" s="25" t="s">
        <v>989</v>
      </c>
      <c r="B59" s="25" t="s">
        <v>201</v>
      </c>
      <c r="C59" s="25" t="s">
        <v>202</v>
      </c>
      <c r="D59" s="25" t="s">
        <v>203</v>
      </c>
      <c r="E59" s="26" t="s">
        <v>45</v>
      </c>
      <c r="F59" s="27" t="s">
        <v>45</v>
      </c>
      <c r="G59" s="28" t="s">
        <v>45</v>
      </c>
      <c r="H59" s="29"/>
      <c r="I59" s="29" t="s">
        <v>46</v>
      </c>
      <c r="J59" s="30">
        <v>10</v>
      </c>
      <c r="K59" s="31">
        <f>13025</f>
        <v>13025</v>
      </c>
      <c r="L59" s="32" t="s">
        <v>785</v>
      </c>
      <c r="M59" s="31">
        <f>14600</f>
        <v>14600</v>
      </c>
      <c r="N59" s="32" t="s">
        <v>786</v>
      </c>
      <c r="O59" s="31">
        <f>12855</f>
        <v>12855</v>
      </c>
      <c r="P59" s="32" t="s">
        <v>785</v>
      </c>
      <c r="Q59" s="31">
        <f>14205</f>
        <v>14205</v>
      </c>
      <c r="R59" s="32" t="s">
        <v>791</v>
      </c>
      <c r="S59" s="33">
        <f>13725.53</f>
        <v>13725.53</v>
      </c>
      <c r="T59" s="30">
        <f>5110</f>
        <v>5110</v>
      </c>
      <c r="U59" s="30">
        <f>20</f>
        <v>20</v>
      </c>
      <c r="V59" s="30">
        <f>69548900</f>
        <v>69548900</v>
      </c>
      <c r="W59" s="30">
        <f>288750</f>
        <v>288750</v>
      </c>
      <c r="X59" s="34">
        <f>19</f>
        <v>19</v>
      </c>
    </row>
    <row r="60" spans="1:24" ht="13.5" customHeight="1" x14ac:dyDescent="0.15">
      <c r="A60" s="25" t="s">
        <v>989</v>
      </c>
      <c r="B60" s="25" t="s">
        <v>204</v>
      </c>
      <c r="C60" s="25" t="s">
        <v>205</v>
      </c>
      <c r="D60" s="25" t="s">
        <v>206</v>
      </c>
      <c r="E60" s="26" t="s">
        <v>45</v>
      </c>
      <c r="F60" s="27" t="s">
        <v>45</v>
      </c>
      <c r="G60" s="28" t="s">
        <v>45</v>
      </c>
      <c r="H60" s="29"/>
      <c r="I60" s="29" t="s">
        <v>46</v>
      </c>
      <c r="J60" s="30">
        <v>10</v>
      </c>
      <c r="K60" s="31">
        <f>4067</f>
        <v>4067</v>
      </c>
      <c r="L60" s="32" t="s">
        <v>78</v>
      </c>
      <c r="M60" s="31">
        <f>4753</f>
        <v>4753</v>
      </c>
      <c r="N60" s="32" t="s">
        <v>790</v>
      </c>
      <c r="O60" s="31">
        <f>3734</f>
        <v>3734</v>
      </c>
      <c r="P60" s="32" t="s">
        <v>893</v>
      </c>
      <c r="Q60" s="31">
        <f>3734</f>
        <v>3734</v>
      </c>
      <c r="R60" s="32" t="s">
        <v>791</v>
      </c>
      <c r="S60" s="33">
        <f>3896.75</f>
        <v>3896.75</v>
      </c>
      <c r="T60" s="30">
        <f>260</f>
        <v>260</v>
      </c>
      <c r="U60" s="30">
        <f>10</f>
        <v>10</v>
      </c>
      <c r="V60" s="30">
        <f>1026100</f>
        <v>1026100</v>
      </c>
      <c r="W60" s="30">
        <f>38400</f>
        <v>38400</v>
      </c>
      <c r="X60" s="34">
        <f>8</f>
        <v>8</v>
      </c>
    </row>
    <row r="61" spans="1:24" ht="13.5" customHeight="1" x14ac:dyDescent="0.15">
      <c r="A61" s="25" t="s">
        <v>989</v>
      </c>
      <c r="B61" s="25" t="s">
        <v>207</v>
      </c>
      <c r="C61" s="25" t="s">
        <v>208</v>
      </c>
      <c r="D61" s="25" t="s">
        <v>209</v>
      </c>
      <c r="E61" s="26" t="s">
        <v>45</v>
      </c>
      <c r="F61" s="27" t="s">
        <v>45</v>
      </c>
      <c r="G61" s="28" t="s">
        <v>45</v>
      </c>
      <c r="H61" s="29"/>
      <c r="I61" s="29" t="s">
        <v>46</v>
      </c>
      <c r="J61" s="30">
        <v>10</v>
      </c>
      <c r="K61" s="31">
        <f>1768.5</f>
        <v>1768.5</v>
      </c>
      <c r="L61" s="32" t="s">
        <v>785</v>
      </c>
      <c r="M61" s="31">
        <f>1802</f>
        <v>1802</v>
      </c>
      <c r="N61" s="32" t="s">
        <v>785</v>
      </c>
      <c r="O61" s="31">
        <f>1587</f>
        <v>1587</v>
      </c>
      <c r="P61" s="32" t="s">
        <v>791</v>
      </c>
      <c r="Q61" s="31">
        <f>1600</f>
        <v>1600</v>
      </c>
      <c r="R61" s="32" t="s">
        <v>791</v>
      </c>
      <c r="S61" s="33">
        <f>1691.97</f>
        <v>1691.97</v>
      </c>
      <c r="T61" s="30">
        <f>44360</f>
        <v>44360</v>
      </c>
      <c r="U61" s="30" t="str">
        <f>"－"</f>
        <v>－</v>
      </c>
      <c r="V61" s="30">
        <f>74330335</f>
        <v>74330335</v>
      </c>
      <c r="W61" s="30" t="str">
        <f>"－"</f>
        <v>－</v>
      </c>
      <c r="X61" s="34">
        <f>19</f>
        <v>19</v>
      </c>
    </row>
    <row r="62" spans="1:24" ht="13.5" customHeight="1" x14ac:dyDescent="0.15">
      <c r="A62" s="25" t="s">
        <v>989</v>
      </c>
      <c r="B62" s="25" t="s">
        <v>210</v>
      </c>
      <c r="C62" s="25" t="s">
        <v>211</v>
      </c>
      <c r="D62" s="25" t="s">
        <v>212</v>
      </c>
      <c r="E62" s="26" t="s">
        <v>45</v>
      </c>
      <c r="F62" s="27" t="s">
        <v>45</v>
      </c>
      <c r="G62" s="28" t="s">
        <v>45</v>
      </c>
      <c r="H62" s="29"/>
      <c r="I62" s="29" t="s">
        <v>46</v>
      </c>
      <c r="J62" s="30">
        <v>1</v>
      </c>
      <c r="K62" s="31">
        <f>715</f>
        <v>715</v>
      </c>
      <c r="L62" s="32" t="s">
        <v>785</v>
      </c>
      <c r="M62" s="31">
        <f>738</f>
        <v>738</v>
      </c>
      <c r="N62" s="32" t="s">
        <v>785</v>
      </c>
      <c r="O62" s="31">
        <f>641</f>
        <v>641</v>
      </c>
      <c r="P62" s="32" t="s">
        <v>893</v>
      </c>
      <c r="Q62" s="31">
        <f>652</f>
        <v>652</v>
      </c>
      <c r="R62" s="32" t="s">
        <v>791</v>
      </c>
      <c r="S62" s="33">
        <f>688.37</f>
        <v>688.37</v>
      </c>
      <c r="T62" s="30">
        <f>30371</f>
        <v>30371</v>
      </c>
      <c r="U62" s="30" t="str">
        <f>"－"</f>
        <v>－</v>
      </c>
      <c r="V62" s="30">
        <f>21000283</f>
        <v>21000283</v>
      </c>
      <c r="W62" s="30" t="str">
        <f>"－"</f>
        <v>－</v>
      </c>
      <c r="X62" s="34">
        <f>19</f>
        <v>19</v>
      </c>
    </row>
    <row r="63" spans="1:24" ht="13.5" customHeight="1" x14ac:dyDescent="0.15">
      <c r="A63" s="25" t="s">
        <v>989</v>
      </c>
      <c r="B63" s="25" t="s">
        <v>213</v>
      </c>
      <c r="C63" s="25" t="s">
        <v>214</v>
      </c>
      <c r="D63" s="25" t="s">
        <v>215</v>
      </c>
      <c r="E63" s="26" t="s">
        <v>45</v>
      </c>
      <c r="F63" s="27" t="s">
        <v>45</v>
      </c>
      <c r="G63" s="28" t="s">
        <v>45</v>
      </c>
      <c r="H63" s="29"/>
      <c r="I63" s="29" t="s">
        <v>46</v>
      </c>
      <c r="J63" s="30">
        <v>10</v>
      </c>
      <c r="K63" s="31">
        <f>1925</f>
        <v>1925</v>
      </c>
      <c r="L63" s="32" t="s">
        <v>785</v>
      </c>
      <c r="M63" s="31">
        <f>2015</f>
        <v>2015</v>
      </c>
      <c r="N63" s="32" t="s">
        <v>791</v>
      </c>
      <c r="O63" s="31">
        <f>1883.5</f>
        <v>1883.5</v>
      </c>
      <c r="P63" s="32" t="s">
        <v>78</v>
      </c>
      <c r="Q63" s="31">
        <f>1997</f>
        <v>1997</v>
      </c>
      <c r="R63" s="32" t="s">
        <v>791</v>
      </c>
      <c r="S63" s="33">
        <f>1951.55</f>
        <v>1951.55</v>
      </c>
      <c r="T63" s="30">
        <f>300330</f>
        <v>300330</v>
      </c>
      <c r="U63" s="30">
        <f>10600</f>
        <v>10600</v>
      </c>
      <c r="V63" s="30">
        <f>573504975</f>
        <v>573504975</v>
      </c>
      <c r="W63" s="30">
        <f>20043540</f>
        <v>20043540</v>
      </c>
      <c r="X63" s="34">
        <f>19</f>
        <v>19</v>
      </c>
    </row>
    <row r="64" spans="1:24" ht="13.5" customHeight="1" x14ac:dyDescent="0.15">
      <c r="A64" s="25" t="s">
        <v>989</v>
      </c>
      <c r="B64" s="25" t="s">
        <v>216</v>
      </c>
      <c r="C64" s="25" t="s">
        <v>217</v>
      </c>
      <c r="D64" s="25" t="s">
        <v>218</v>
      </c>
      <c r="E64" s="26" t="s">
        <v>45</v>
      </c>
      <c r="F64" s="27" t="s">
        <v>45</v>
      </c>
      <c r="G64" s="28" t="s">
        <v>45</v>
      </c>
      <c r="H64" s="29"/>
      <c r="I64" s="29" t="s">
        <v>46</v>
      </c>
      <c r="J64" s="30">
        <v>1</v>
      </c>
      <c r="K64" s="31">
        <f>17025</f>
        <v>17025</v>
      </c>
      <c r="L64" s="32" t="s">
        <v>785</v>
      </c>
      <c r="M64" s="31">
        <f>18045</f>
        <v>18045</v>
      </c>
      <c r="N64" s="32" t="s">
        <v>893</v>
      </c>
      <c r="O64" s="31">
        <f>16880</f>
        <v>16880</v>
      </c>
      <c r="P64" s="32" t="s">
        <v>78</v>
      </c>
      <c r="Q64" s="31">
        <f>17970</f>
        <v>17970</v>
      </c>
      <c r="R64" s="32" t="s">
        <v>791</v>
      </c>
      <c r="S64" s="33">
        <f>17511.58</f>
        <v>17511.580000000002</v>
      </c>
      <c r="T64" s="30">
        <f>1509</f>
        <v>1509</v>
      </c>
      <c r="U64" s="30" t="str">
        <f>"－"</f>
        <v>－</v>
      </c>
      <c r="V64" s="30">
        <f>26466630</f>
        <v>26466630</v>
      </c>
      <c r="W64" s="30" t="str">
        <f>"－"</f>
        <v>－</v>
      </c>
      <c r="X64" s="34">
        <f>19</f>
        <v>19</v>
      </c>
    </row>
    <row r="65" spans="1:24" ht="13.5" customHeight="1" x14ac:dyDescent="0.15">
      <c r="A65" s="25" t="s">
        <v>989</v>
      </c>
      <c r="B65" s="25" t="s">
        <v>219</v>
      </c>
      <c r="C65" s="25" t="s">
        <v>220</v>
      </c>
      <c r="D65" s="25" t="s">
        <v>221</v>
      </c>
      <c r="E65" s="26" t="s">
        <v>45</v>
      </c>
      <c r="F65" s="27" t="s">
        <v>45</v>
      </c>
      <c r="G65" s="28" t="s">
        <v>45</v>
      </c>
      <c r="H65" s="29"/>
      <c r="I65" s="29" t="s">
        <v>46</v>
      </c>
      <c r="J65" s="30">
        <v>1</v>
      </c>
      <c r="K65" s="31">
        <f>1937</f>
        <v>1937</v>
      </c>
      <c r="L65" s="32" t="s">
        <v>785</v>
      </c>
      <c r="M65" s="31">
        <f>2053</f>
        <v>2053</v>
      </c>
      <c r="N65" s="32" t="s">
        <v>791</v>
      </c>
      <c r="O65" s="31">
        <f>1919</f>
        <v>1919</v>
      </c>
      <c r="P65" s="32" t="s">
        <v>785</v>
      </c>
      <c r="Q65" s="31">
        <f>2034</f>
        <v>2034</v>
      </c>
      <c r="R65" s="32" t="s">
        <v>791</v>
      </c>
      <c r="S65" s="33">
        <f>1985.11</f>
        <v>1985.11</v>
      </c>
      <c r="T65" s="30">
        <f>25142857</f>
        <v>25142857</v>
      </c>
      <c r="U65" s="30">
        <f>3958894</f>
        <v>3958894</v>
      </c>
      <c r="V65" s="30">
        <f>49876992791</f>
        <v>49876992791</v>
      </c>
      <c r="W65" s="30">
        <f>7823356160</f>
        <v>7823356160</v>
      </c>
      <c r="X65" s="34">
        <f>19</f>
        <v>19</v>
      </c>
    </row>
    <row r="66" spans="1:24" ht="13.5" customHeight="1" x14ac:dyDescent="0.15">
      <c r="A66" s="25" t="s">
        <v>989</v>
      </c>
      <c r="B66" s="25" t="s">
        <v>222</v>
      </c>
      <c r="C66" s="25" t="s">
        <v>223</v>
      </c>
      <c r="D66" s="25" t="s">
        <v>224</v>
      </c>
      <c r="E66" s="26" t="s">
        <v>45</v>
      </c>
      <c r="F66" s="27" t="s">
        <v>45</v>
      </c>
      <c r="G66" s="28" t="s">
        <v>45</v>
      </c>
      <c r="H66" s="29"/>
      <c r="I66" s="29" t="s">
        <v>46</v>
      </c>
      <c r="J66" s="30">
        <v>1</v>
      </c>
      <c r="K66" s="31">
        <f>1953</f>
        <v>1953</v>
      </c>
      <c r="L66" s="32" t="s">
        <v>785</v>
      </c>
      <c r="M66" s="31">
        <f>1957</f>
        <v>1957</v>
      </c>
      <c r="N66" s="32" t="s">
        <v>785</v>
      </c>
      <c r="O66" s="31">
        <f>1840</f>
        <v>1840</v>
      </c>
      <c r="P66" s="32" t="s">
        <v>80</v>
      </c>
      <c r="Q66" s="31">
        <f>1893</f>
        <v>1893</v>
      </c>
      <c r="R66" s="32" t="s">
        <v>791</v>
      </c>
      <c r="S66" s="33">
        <f>1898.53</f>
        <v>1898.53</v>
      </c>
      <c r="T66" s="30">
        <f>7663061</f>
        <v>7663061</v>
      </c>
      <c r="U66" s="30">
        <f>4151122</f>
        <v>4151122</v>
      </c>
      <c r="V66" s="30">
        <f>14467879702</f>
        <v>14467879702</v>
      </c>
      <c r="W66" s="30">
        <f>7818288594</f>
        <v>7818288594</v>
      </c>
      <c r="X66" s="34">
        <f>19</f>
        <v>19</v>
      </c>
    </row>
    <row r="67" spans="1:24" ht="13.5" customHeight="1" x14ac:dyDescent="0.15">
      <c r="A67" s="25" t="s">
        <v>989</v>
      </c>
      <c r="B67" s="25" t="s">
        <v>225</v>
      </c>
      <c r="C67" s="25" t="s">
        <v>226</v>
      </c>
      <c r="D67" s="25" t="s">
        <v>227</v>
      </c>
      <c r="E67" s="26" t="s">
        <v>45</v>
      </c>
      <c r="F67" s="27" t="s">
        <v>45</v>
      </c>
      <c r="G67" s="28" t="s">
        <v>45</v>
      </c>
      <c r="H67" s="29"/>
      <c r="I67" s="29" t="s">
        <v>46</v>
      </c>
      <c r="J67" s="30">
        <v>1</v>
      </c>
      <c r="K67" s="31">
        <f>1841</f>
        <v>1841</v>
      </c>
      <c r="L67" s="32" t="s">
        <v>785</v>
      </c>
      <c r="M67" s="31">
        <f>1950</f>
        <v>1950</v>
      </c>
      <c r="N67" s="32" t="s">
        <v>786</v>
      </c>
      <c r="O67" s="31">
        <f>1837</f>
        <v>1837</v>
      </c>
      <c r="P67" s="32" t="s">
        <v>78</v>
      </c>
      <c r="Q67" s="31">
        <f>1914</f>
        <v>1914</v>
      </c>
      <c r="R67" s="32" t="s">
        <v>791</v>
      </c>
      <c r="S67" s="33">
        <f>1878.05</f>
        <v>1878.05</v>
      </c>
      <c r="T67" s="30">
        <f>274323</f>
        <v>274323</v>
      </c>
      <c r="U67" s="30">
        <f>149457</f>
        <v>149457</v>
      </c>
      <c r="V67" s="30">
        <f>524379320</f>
        <v>524379320</v>
      </c>
      <c r="W67" s="30">
        <f>285246248</f>
        <v>285246248</v>
      </c>
      <c r="X67" s="34">
        <f>19</f>
        <v>19</v>
      </c>
    </row>
    <row r="68" spans="1:24" ht="13.5" customHeight="1" x14ac:dyDescent="0.15">
      <c r="A68" s="25" t="s">
        <v>989</v>
      </c>
      <c r="B68" s="25" t="s">
        <v>228</v>
      </c>
      <c r="C68" s="25" t="s">
        <v>229</v>
      </c>
      <c r="D68" s="25" t="s">
        <v>230</v>
      </c>
      <c r="E68" s="26" t="s">
        <v>45</v>
      </c>
      <c r="F68" s="27" t="s">
        <v>45</v>
      </c>
      <c r="G68" s="28" t="s">
        <v>45</v>
      </c>
      <c r="H68" s="29"/>
      <c r="I68" s="29" t="s">
        <v>46</v>
      </c>
      <c r="J68" s="30">
        <v>1</v>
      </c>
      <c r="K68" s="31">
        <f>2344</f>
        <v>2344</v>
      </c>
      <c r="L68" s="32" t="s">
        <v>785</v>
      </c>
      <c r="M68" s="31">
        <f>2444</f>
        <v>2444</v>
      </c>
      <c r="N68" s="32" t="s">
        <v>791</v>
      </c>
      <c r="O68" s="31">
        <f>2320</f>
        <v>2320</v>
      </c>
      <c r="P68" s="32" t="s">
        <v>785</v>
      </c>
      <c r="Q68" s="31">
        <f>2433</f>
        <v>2433</v>
      </c>
      <c r="R68" s="32" t="s">
        <v>791</v>
      </c>
      <c r="S68" s="33">
        <f>2376.32</f>
        <v>2376.3200000000002</v>
      </c>
      <c r="T68" s="30">
        <f>761372</f>
        <v>761372</v>
      </c>
      <c r="U68" s="30">
        <f>337000</f>
        <v>337000</v>
      </c>
      <c r="V68" s="30">
        <f>1806058659</f>
        <v>1806058659</v>
      </c>
      <c r="W68" s="30">
        <f>797473400</f>
        <v>797473400</v>
      </c>
      <c r="X68" s="34">
        <f>19</f>
        <v>19</v>
      </c>
    </row>
    <row r="69" spans="1:24" ht="13.5" customHeight="1" x14ac:dyDescent="0.15">
      <c r="A69" s="25" t="s">
        <v>989</v>
      </c>
      <c r="B69" s="25" t="s">
        <v>231</v>
      </c>
      <c r="C69" s="25" t="s">
        <v>232</v>
      </c>
      <c r="D69" s="25" t="s">
        <v>233</v>
      </c>
      <c r="E69" s="26" t="s">
        <v>45</v>
      </c>
      <c r="F69" s="27" t="s">
        <v>45</v>
      </c>
      <c r="G69" s="28" t="s">
        <v>45</v>
      </c>
      <c r="H69" s="29"/>
      <c r="I69" s="29" t="s">
        <v>46</v>
      </c>
      <c r="J69" s="30">
        <v>1</v>
      </c>
      <c r="K69" s="31">
        <f>23230</f>
        <v>23230</v>
      </c>
      <c r="L69" s="32" t="s">
        <v>785</v>
      </c>
      <c r="M69" s="31">
        <f>23870</f>
        <v>23870</v>
      </c>
      <c r="N69" s="32" t="s">
        <v>894</v>
      </c>
      <c r="O69" s="31">
        <f>22750</f>
        <v>22750</v>
      </c>
      <c r="P69" s="32" t="s">
        <v>78</v>
      </c>
      <c r="Q69" s="31">
        <f>23870</f>
        <v>23870</v>
      </c>
      <c r="R69" s="32" t="s">
        <v>894</v>
      </c>
      <c r="S69" s="33">
        <f>23271.88</f>
        <v>23271.88</v>
      </c>
      <c r="T69" s="30">
        <f>239</f>
        <v>239</v>
      </c>
      <c r="U69" s="30" t="str">
        <f>"－"</f>
        <v>－</v>
      </c>
      <c r="V69" s="30">
        <f>5538655</f>
        <v>5538655</v>
      </c>
      <c r="W69" s="30" t="str">
        <f>"－"</f>
        <v>－</v>
      </c>
      <c r="X69" s="34">
        <f>8</f>
        <v>8</v>
      </c>
    </row>
    <row r="70" spans="1:24" ht="13.5" customHeight="1" x14ac:dyDescent="0.15">
      <c r="A70" s="25" t="s">
        <v>989</v>
      </c>
      <c r="B70" s="25" t="s">
        <v>234</v>
      </c>
      <c r="C70" s="25" t="s">
        <v>235</v>
      </c>
      <c r="D70" s="25" t="s">
        <v>236</v>
      </c>
      <c r="E70" s="26" t="s">
        <v>45</v>
      </c>
      <c r="F70" s="27" t="s">
        <v>45</v>
      </c>
      <c r="G70" s="28" t="s">
        <v>45</v>
      </c>
      <c r="H70" s="29"/>
      <c r="I70" s="29" t="s">
        <v>46</v>
      </c>
      <c r="J70" s="30">
        <v>1</v>
      </c>
      <c r="K70" s="31">
        <f>18445</f>
        <v>18445</v>
      </c>
      <c r="L70" s="32" t="s">
        <v>785</v>
      </c>
      <c r="M70" s="31">
        <f>19190</f>
        <v>19190</v>
      </c>
      <c r="N70" s="32" t="s">
        <v>788</v>
      </c>
      <c r="O70" s="31">
        <f>18400</f>
        <v>18400</v>
      </c>
      <c r="P70" s="32" t="s">
        <v>78</v>
      </c>
      <c r="Q70" s="31">
        <f>19070</f>
        <v>19070</v>
      </c>
      <c r="R70" s="32" t="s">
        <v>80</v>
      </c>
      <c r="S70" s="33">
        <f>18749.17</f>
        <v>18749.169999999998</v>
      </c>
      <c r="T70" s="30">
        <f>219</f>
        <v>219</v>
      </c>
      <c r="U70" s="30" t="str">
        <f>"－"</f>
        <v>－</v>
      </c>
      <c r="V70" s="30">
        <f>4054445</f>
        <v>4054445</v>
      </c>
      <c r="W70" s="30" t="str">
        <f>"－"</f>
        <v>－</v>
      </c>
      <c r="X70" s="34">
        <f>6</f>
        <v>6</v>
      </c>
    </row>
    <row r="71" spans="1:24" ht="13.5" customHeight="1" x14ac:dyDescent="0.15">
      <c r="A71" s="25" t="s">
        <v>989</v>
      </c>
      <c r="B71" s="25" t="s">
        <v>237</v>
      </c>
      <c r="C71" s="25" t="s">
        <v>238</v>
      </c>
      <c r="D71" s="25" t="s">
        <v>239</v>
      </c>
      <c r="E71" s="26" t="s">
        <v>45</v>
      </c>
      <c r="F71" s="27" t="s">
        <v>45</v>
      </c>
      <c r="G71" s="28" t="s">
        <v>45</v>
      </c>
      <c r="H71" s="29"/>
      <c r="I71" s="29" t="s">
        <v>46</v>
      </c>
      <c r="J71" s="30">
        <v>1</v>
      </c>
      <c r="K71" s="31">
        <f>1996</f>
        <v>1996</v>
      </c>
      <c r="L71" s="32" t="s">
        <v>785</v>
      </c>
      <c r="M71" s="31">
        <f>2064</f>
        <v>2064</v>
      </c>
      <c r="N71" s="32" t="s">
        <v>893</v>
      </c>
      <c r="O71" s="31">
        <f>1950</f>
        <v>1950</v>
      </c>
      <c r="P71" s="32" t="s">
        <v>78</v>
      </c>
      <c r="Q71" s="31">
        <f>2042</f>
        <v>2042</v>
      </c>
      <c r="R71" s="32" t="s">
        <v>791</v>
      </c>
      <c r="S71" s="33">
        <f>2008.32</f>
        <v>2008.32</v>
      </c>
      <c r="T71" s="30">
        <f>574</f>
        <v>574</v>
      </c>
      <c r="U71" s="30" t="str">
        <f>"－"</f>
        <v>－</v>
      </c>
      <c r="V71" s="30">
        <f>1143838</f>
        <v>1143838</v>
      </c>
      <c r="W71" s="30" t="str">
        <f>"－"</f>
        <v>－</v>
      </c>
      <c r="X71" s="34">
        <f>19</f>
        <v>19</v>
      </c>
    </row>
    <row r="72" spans="1:24" ht="13.5" customHeight="1" x14ac:dyDescent="0.15">
      <c r="A72" s="25" t="s">
        <v>989</v>
      </c>
      <c r="B72" s="25" t="s">
        <v>240</v>
      </c>
      <c r="C72" s="25" t="s">
        <v>241</v>
      </c>
      <c r="D72" s="25" t="s">
        <v>242</v>
      </c>
      <c r="E72" s="26" t="s">
        <v>45</v>
      </c>
      <c r="F72" s="27" t="s">
        <v>45</v>
      </c>
      <c r="G72" s="28" t="s">
        <v>45</v>
      </c>
      <c r="H72" s="29"/>
      <c r="I72" s="29" t="s">
        <v>46</v>
      </c>
      <c r="J72" s="30">
        <v>1</v>
      </c>
      <c r="K72" s="31">
        <f>1916</f>
        <v>1916</v>
      </c>
      <c r="L72" s="32" t="s">
        <v>785</v>
      </c>
      <c r="M72" s="31">
        <f>1972</f>
        <v>1972</v>
      </c>
      <c r="N72" s="32" t="s">
        <v>790</v>
      </c>
      <c r="O72" s="31">
        <f>1911</f>
        <v>1911</v>
      </c>
      <c r="P72" s="32" t="s">
        <v>785</v>
      </c>
      <c r="Q72" s="31">
        <f>1939</f>
        <v>1939</v>
      </c>
      <c r="R72" s="32" t="s">
        <v>791</v>
      </c>
      <c r="S72" s="33">
        <f>1941.79</f>
        <v>1941.79</v>
      </c>
      <c r="T72" s="30">
        <f>3740505</f>
        <v>3740505</v>
      </c>
      <c r="U72" s="30">
        <f>2838267</f>
        <v>2838267</v>
      </c>
      <c r="V72" s="30">
        <f>7218055858</f>
        <v>7218055858</v>
      </c>
      <c r="W72" s="30">
        <f>5464456321</f>
        <v>5464456321</v>
      </c>
      <c r="X72" s="34">
        <f>19</f>
        <v>19</v>
      </c>
    </row>
    <row r="73" spans="1:24" ht="13.5" customHeight="1" x14ac:dyDescent="0.15">
      <c r="A73" s="25" t="s">
        <v>989</v>
      </c>
      <c r="B73" s="25" t="s">
        <v>243</v>
      </c>
      <c r="C73" s="25" t="s">
        <v>244</v>
      </c>
      <c r="D73" s="25" t="s">
        <v>245</v>
      </c>
      <c r="E73" s="26" t="s">
        <v>45</v>
      </c>
      <c r="F73" s="27" t="s">
        <v>45</v>
      </c>
      <c r="G73" s="28" t="s">
        <v>45</v>
      </c>
      <c r="H73" s="29"/>
      <c r="I73" s="29" t="s">
        <v>46</v>
      </c>
      <c r="J73" s="30">
        <v>1</v>
      </c>
      <c r="K73" s="31">
        <f>2060</f>
        <v>2060</v>
      </c>
      <c r="L73" s="32" t="s">
        <v>785</v>
      </c>
      <c r="M73" s="31">
        <f>2090</f>
        <v>2090</v>
      </c>
      <c r="N73" s="32" t="s">
        <v>78</v>
      </c>
      <c r="O73" s="31">
        <f>2005</f>
        <v>2005</v>
      </c>
      <c r="P73" s="32" t="s">
        <v>80</v>
      </c>
      <c r="Q73" s="31">
        <f>2064</f>
        <v>2064</v>
      </c>
      <c r="R73" s="32" t="s">
        <v>791</v>
      </c>
      <c r="S73" s="33">
        <f>2061.26</f>
        <v>2061.2600000000002</v>
      </c>
      <c r="T73" s="30">
        <f>5137</f>
        <v>5137</v>
      </c>
      <c r="U73" s="30" t="str">
        <f>"－"</f>
        <v>－</v>
      </c>
      <c r="V73" s="30">
        <f>10389046</f>
        <v>10389046</v>
      </c>
      <c r="W73" s="30" t="str">
        <f>"－"</f>
        <v>－</v>
      </c>
      <c r="X73" s="34">
        <f>19</f>
        <v>19</v>
      </c>
    </row>
    <row r="74" spans="1:24" ht="13.5" customHeight="1" x14ac:dyDescent="0.15">
      <c r="A74" s="25" t="s">
        <v>989</v>
      </c>
      <c r="B74" s="25" t="s">
        <v>246</v>
      </c>
      <c r="C74" s="25" t="s">
        <v>247</v>
      </c>
      <c r="D74" s="25" t="s">
        <v>248</v>
      </c>
      <c r="E74" s="26" t="s">
        <v>45</v>
      </c>
      <c r="F74" s="27" t="s">
        <v>45</v>
      </c>
      <c r="G74" s="28" t="s">
        <v>45</v>
      </c>
      <c r="H74" s="29"/>
      <c r="I74" s="29" t="s">
        <v>46</v>
      </c>
      <c r="J74" s="30">
        <v>10</v>
      </c>
      <c r="K74" s="31">
        <f>1963.5</f>
        <v>1963.5</v>
      </c>
      <c r="L74" s="32" t="s">
        <v>785</v>
      </c>
      <c r="M74" s="31">
        <f>2035.5</f>
        <v>2035.5</v>
      </c>
      <c r="N74" s="32" t="s">
        <v>789</v>
      </c>
      <c r="O74" s="31">
        <f>1928</f>
        <v>1928</v>
      </c>
      <c r="P74" s="32" t="s">
        <v>784</v>
      </c>
      <c r="Q74" s="31">
        <f>2020.5</f>
        <v>2020.5</v>
      </c>
      <c r="R74" s="32" t="s">
        <v>791</v>
      </c>
      <c r="S74" s="33">
        <f>1980.61</f>
        <v>1980.61</v>
      </c>
      <c r="T74" s="30">
        <f>21270</f>
        <v>21270</v>
      </c>
      <c r="U74" s="30" t="str">
        <f>"－"</f>
        <v>－</v>
      </c>
      <c r="V74" s="30">
        <f>41772755</f>
        <v>41772755</v>
      </c>
      <c r="W74" s="30" t="str">
        <f>"－"</f>
        <v>－</v>
      </c>
      <c r="X74" s="34">
        <f>19</f>
        <v>19</v>
      </c>
    </row>
    <row r="75" spans="1:24" ht="13.5" customHeight="1" x14ac:dyDescent="0.15">
      <c r="A75" s="25" t="s">
        <v>989</v>
      </c>
      <c r="B75" s="25" t="s">
        <v>249</v>
      </c>
      <c r="C75" s="25" t="s">
        <v>250</v>
      </c>
      <c r="D75" s="25" t="s">
        <v>251</v>
      </c>
      <c r="E75" s="26" t="s">
        <v>45</v>
      </c>
      <c r="F75" s="27" t="s">
        <v>45</v>
      </c>
      <c r="G75" s="28" t="s">
        <v>45</v>
      </c>
      <c r="H75" s="29"/>
      <c r="I75" s="29" t="s">
        <v>46</v>
      </c>
      <c r="J75" s="30">
        <v>1</v>
      </c>
      <c r="K75" s="31">
        <f>32400</f>
        <v>32400</v>
      </c>
      <c r="L75" s="32" t="s">
        <v>784</v>
      </c>
      <c r="M75" s="31">
        <f>32400</f>
        <v>32400</v>
      </c>
      <c r="N75" s="32" t="s">
        <v>784</v>
      </c>
      <c r="O75" s="31">
        <f>30320</f>
        <v>30320</v>
      </c>
      <c r="P75" s="32" t="s">
        <v>78</v>
      </c>
      <c r="Q75" s="31">
        <f>30410</f>
        <v>30410</v>
      </c>
      <c r="R75" s="32" t="s">
        <v>793</v>
      </c>
      <c r="S75" s="33">
        <f>30920</f>
        <v>30920</v>
      </c>
      <c r="T75" s="30">
        <f>8</f>
        <v>8</v>
      </c>
      <c r="U75" s="30" t="str">
        <f>"－"</f>
        <v>－</v>
      </c>
      <c r="V75" s="30">
        <f>249100</f>
        <v>249100</v>
      </c>
      <c r="W75" s="30" t="str">
        <f>"－"</f>
        <v>－</v>
      </c>
      <c r="X75" s="34">
        <f>5</f>
        <v>5</v>
      </c>
    </row>
    <row r="76" spans="1:24" ht="13.5" customHeight="1" x14ac:dyDescent="0.15">
      <c r="A76" s="25" t="s">
        <v>989</v>
      </c>
      <c r="B76" s="25" t="s">
        <v>252</v>
      </c>
      <c r="C76" s="25" t="s">
        <v>253</v>
      </c>
      <c r="D76" s="25" t="s">
        <v>254</v>
      </c>
      <c r="E76" s="26" t="s">
        <v>45</v>
      </c>
      <c r="F76" s="27" t="s">
        <v>45</v>
      </c>
      <c r="G76" s="28" t="s">
        <v>45</v>
      </c>
      <c r="H76" s="29"/>
      <c r="I76" s="29" t="s">
        <v>46</v>
      </c>
      <c r="J76" s="30">
        <v>1</v>
      </c>
      <c r="K76" s="31">
        <f>21490</f>
        <v>21490</v>
      </c>
      <c r="L76" s="32" t="s">
        <v>785</v>
      </c>
      <c r="M76" s="31">
        <f>21750</f>
        <v>21750</v>
      </c>
      <c r="N76" s="32" t="s">
        <v>785</v>
      </c>
      <c r="O76" s="31">
        <f>20795</f>
        <v>20795</v>
      </c>
      <c r="P76" s="32" t="s">
        <v>876</v>
      </c>
      <c r="Q76" s="31">
        <f>21220</f>
        <v>21220</v>
      </c>
      <c r="R76" s="32" t="s">
        <v>791</v>
      </c>
      <c r="S76" s="33">
        <f>21253.95</f>
        <v>21253.95</v>
      </c>
      <c r="T76" s="30">
        <f>81597</f>
        <v>81597</v>
      </c>
      <c r="U76" s="30" t="str">
        <f>"－"</f>
        <v>－</v>
      </c>
      <c r="V76" s="30">
        <f>1727718095</f>
        <v>1727718095</v>
      </c>
      <c r="W76" s="30" t="str">
        <f>"－"</f>
        <v>－</v>
      </c>
      <c r="X76" s="34">
        <f>19</f>
        <v>19</v>
      </c>
    </row>
    <row r="77" spans="1:24" ht="13.5" customHeight="1" x14ac:dyDescent="0.15">
      <c r="A77" s="25" t="s">
        <v>989</v>
      </c>
      <c r="B77" s="25" t="s">
        <v>256</v>
      </c>
      <c r="C77" s="25" t="s">
        <v>257</v>
      </c>
      <c r="D77" s="25" t="s">
        <v>258</v>
      </c>
      <c r="E77" s="26" t="s">
        <v>45</v>
      </c>
      <c r="F77" s="27" t="s">
        <v>45</v>
      </c>
      <c r="G77" s="28" t="s">
        <v>45</v>
      </c>
      <c r="H77" s="29"/>
      <c r="I77" s="29" t="s">
        <v>46</v>
      </c>
      <c r="J77" s="30">
        <v>1</v>
      </c>
      <c r="K77" s="31">
        <f>14850</f>
        <v>14850</v>
      </c>
      <c r="L77" s="32" t="s">
        <v>785</v>
      </c>
      <c r="M77" s="31">
        <f>15145</f>
        <v>15145</v>
      </c>
      <c r="N77" s="32" t="s">
        <v>790</v>
      </c>
      <c r="O77" s="31">
        <f>14650</f>
        <v>14650</v>
      </c>
      <c r="P77" s="32" t="s">
        <v>78</v>
      </c>
      <c r="Q77" s="31">
        <f>14900</f>
        <v>14900</v>
      </c>
      <c r="R77" s="32" t="s">
        <v>791</v>
      </c>
      <c r="S77" s="33">
        <f>14928.42</f>
        <v>14928.42</v>
      </c>
      <c r="T77" s="30">
        <f>142915</f>
        <v>142915</v>
      </c>
      <c r="U77" s="30">
        <f>43701</f>
        <v>43701</v>
      </c>
      <c r="V77" s="30">
        <f>2128502308</f>
        <v>2128502308</v>
      </c>
      <c r="W77" s="30">
        <f>652399638</f>
        <v>652399638</v>
      </c>
      <c r="X77" s="34">
        <f>19</f>
        <v>19</v>
      </c>
    </row>
    <row r="78" spans="1:24" ht="13.5" customHeight="1" x14ac:dyDescent="0.15">
      <c r="A78" s="25" t="s">
        <v>989</v>
      </c>
      <c r="B78" s="25" t="s">
        <v>259</v>
      </c>
      <c r="C78" s="25" t="s">
        <v>260</v>
      </c>
      <c r="D78" s="25" t="s">
        <v>261</v>
      </c>
      <c r="E78" s="26" t="s">
        <v>45</v>
      </c>
      <c r="F78" s="27" t="s">
        <v>45</v>
      </c>
      <c r="G78" s="28" t="s">
        <v>45</v>
      </c>
      <c r="H78" s="29"/>
      <c r="I78" s="29" t="s">
        <v>46</v>
      </c>
      <c r="J78" s="30">
        <v>10</v>
      </c>
      <c r="K78" s="31">
        <f>1953</f>
        <v>1953</v>
      </c>
      <c r="L78" s="32" t="s">
        <v>785</v>
      </c>
      <c r="M78" s="31">
        <f>1953.5</f>
        <v>1953.5</v>
      </c>
      <c r="N78" s="32" t="s">
        <v>785</v>
      </c>
      <c r="O78" s="31">
        <f>1840</f>
        <v>1840</v>
      </c>
      <c r="P78" s="32" t="s">
        <v>80</v>
      </c>
      <c r="Q78" s="31">
        <f>1891</f>
        <v>1891</v>
      </c>
      <c r="R78" s="32" t="s">
        <v>791</v>
      </c>
      <c r="S78" s="33">
        <f>1896.92</f>
        <v>1896.92</v>
      </c>
      <c r="T78" s="30">
        <f>1779710</f>
        <v>1779710</v>
      </c>
      <c r="U78" s="30">
        <f>264600</f>
        <v>264600</v>
      </c>
      <c r="V78" s="30">
        <f>3367224421</f>
        <v>3367224421</v>
      </c>
      <c r="W78" s="30">
        <f>502914536</f>
        <v>502914536</v>
      </c>
      <c r="X78" s="34">
        <f>19</f>
        <v>19</v>
      </c>
    </row>
    <row r="79" spans="1:24" ht="13.5" customHeight="1" x14ac:dyDescent="0.15">
      <c r="A79" s="25" t="s">
        <v>989</v>
      </c>
      <c r="B79" s="25" t="s">
        <v>262</v>
      </c>
      <c r="C79" s="25" t="s">
        <v>263</v>
      </c>
      <c r="D79" s="25" t="s">
        <v>264</v>
      </c>
      <c r="E79" s="26" t="s">
        <v>45</v>
      </c>
      <c r="F79" s="27" t="s">
        <v>45</v>
      </c>
      <c r="G79" s="28" t="s">
        <v>45</v>
      </c>
      <c r="H79" s="29"/>
      <c r="I79" s="29" t="s">
        <v>46</v>
      </c>
      <c r="J79" s="30">
        <v>1</v>
      </c>
      <c r="K79" s="31">
        <f>43450</f>
        <v>43450</v>
      </c>
      <c r="L79" s="32" t="s">
        <v>785</v>
      </c>
      <c r="M79" s="31">
        <f>45170</f>
        <v>45170</v>
      </c>
      <c r="N79" s="32" t="s">
        <v>255</v>
      </c>
      <c r="O79" s="31">
        <f>42510</f>
        <v>42510</v>
      </c>
      <c r="P79" s="32" t="s">
        <v>875</v>
      </c>
      <c r="Q79" s="31">
        <f>44480</f>
        <v>44480</v>
      </c>
      <c r="R79" s="32" t="s">
        <v>791</v>
      </c>
      <c r="S79" s="33">
        <f>43951.05</f>
        <v>43951.05</v>
      </c>
      <c r="T79" s="30">
        <f>158726</f>
        <v>158726</v>
      </c>
      <c r="U79" s="30">
        <f>23794</f>
        <v>23794</v>
      </c>
      <c r="V79" s="30">
        <f>6947608420</f>
        <v>6947608420</v>
      </c>
      <c r="W79" s="30">
        <f>1038907870</f>
        <v>1038907870</v>
      </c>
      <c r="X79" s="34">
        <f>19</f>
        <v>19</v>
      </c>
    </row>
    <row r="80" spans="1:24" ht="13.5" customHeight="1" x14ac:dyDescent="0.15">
      <c r="A80" s="25" t="s">
        <v>989</v>
      </c>
      <c r="B80" s="25" t="s">
        <v>265</v>
      </c>
      <c r="C80" s="25" t="s">
        <v>266</v>
      </c>
      <c r="D80" s="25" t="s">
        <v>267</v>
      </c>
      <c r="E80" s="26" t="s">
        <v>45</v>
      </c>
      <c r="F80" s="27" t="s">
        <v>45</v>
      </c>
      <c r="G80" s="28" t="s">
        <v>45</v>
      </c>
      <c r="H80" s="29"/>
      <c r="I80" s="29" t="s">
        <v>46</v>
      </c>
      <c r="J80" s="30">
        <v>10</v>
      </c>
      <c r="K80" s="31">
        <f>7793</f>
        <v>7793</v>
      </c>
      <c r="L80" s="32" t="s">
        <v>785</v>
      </c>
      <c r="M80" s="31">
        <f>7793</f>
        <v>7793</v>
      </c>
      <c r="N80" s="32" t="s">
        <v>785</v>
      </c>
      <c r="O80" s="31">
        <f>7437</f>
        <v>7437</v>
      </c>
      <c r="P80" s="32" t="s">
        <v>789</v>
      </c>
      <c r="Q80" s="31">
        <f>7558</f>
        <v>7558</v>
      </c>
      <c r="R80" s="32" t="s">
        <v>893</v>
      </c>
      <c r="S80" s="33">
        <f>7625.2</f>
        <v>7625.2</v>
      </c>
      <c r="T80" s="30">
        <f>50</f>
        <v>50</v>
      </c>
      <c r="U80" s="30" t="str">
        <f>"－"</f>
        <v>－</v>
      </c>
      <c r="V80" s="30">
        <f>381260</f>
        <v>381260</v>
      </c>
      <c r="W80" s="30" t="str">
        <f>"－"</f>
        <v>－</v>
      </c>
      <c r="X80" s="34">
        <f>5</f>
        <v>5</v>
      </c>
    </row>
    <row r="81" spans="1:24" ht="13.5" customHeight="1" x14ac:dyDescent="0.15">
      <c r="A81" s="25" t="s">
        <v>989</v>
      </c>
      <c r="B81" s="25" t="s">
        <v>268</v>
      </c>
      <c r="C81" s="25" t="s">
        <v>269</v>
      </c>
      <c r="D81" s="25" t="s">
        <v>270</v>
      </c>
      <c r="E81" s="26" t="s">
        <v>45</v>
      </c>
      <c r="F81" s="27" t="s">
        <v>45</v>
      </c>
      <c r="G81" s="28" t="s">
        <v>45</v>
      </c>
      <c r="H81" s="29"/>
      <c r="I81" s="29" t="s">
        <v>46</v>
      </c>
      <c r="J81" s="30">
        <v>1</v>
      </c>
      <c r="K81" s="31">
        <f>15465</f>
        <v>15465</v>
      </c>
      <c r="L81" s="32" t="s">
        <v>785</v>
      </c>
      <c r="M81" s="31">
        <f>15990</f>
        <v>15990</v>
      </c>
      <c r="N81" s="32" t="s">
        <v>786</v>
      </c>
      <c r="O81" s="31">
        <f>15125</f>
        <v>15125</v>
      </c>
      <c r="P81" s="32" t="s">
        <v>876</v>
      </c>
      <c r="Q81" s="31">
        <f>15870</f>
        <v>15870</v>
      </c>
      <c r="R81" s="32" t="s">
        <v>791</v>
      </c>
      <c r="S81" s="33">
        <f>15537.11</f>
        <v>15537.11</v>
      </c>
      <c r="T81" s="30">
        <f>591</f>
        <v>591</v>
      </c>
      <c r="U81" s="30" t="str">
        <f>"－"</f>
        <v>－</v>
      </c>
      <c r="V81" s="30">
        <f>9147375</f>
        <v>9147375</v>
      </c>
      <c r="W81" s="30" t="str">
        <f>"－"</f>
        <v>－</v>
      </c>
      <c r="X81" s="34">
        <f>19</f>
        <v>19</v>
      </c>
    </row>
    <row r="82" spans="1:24" ht="13.5" customHeight="1" x14ac:dyDescent="0.15">
      <c r="A82" s="25" t="s">
        <v>989</v>
      </c>
      <c r="B82" s="25" t="s">
        <v>271</v>
      </c>
      <c r="C82" s="25" t="s">
        <v>272</v>
      </c>
      <c r="D82" s="25" t="s">
        <v>273</v>
      </c>
      <c r="E82" s="26" t="s">
        <v>45</v>
      </c>
      <c r="F82" s="27" t="s">
        <v>45</v>
      </c>
      <c r="G82" s="28" t="s">
        <v>45</v>
      </c>
      <c r="H82" s="29"/>
      <c r="I82" s="29" t="s">
        <v>46</v>
      </c>
      <c r="J82" s="30">
        <v>1</v>
      </c>
      <c r="K82" s="31">
        <f>15450</f>
        <v>15450</v>
      </c>
      <c r="L82" s="32" t="s">
        <v>785</v>
      </c>
      <c r="M82" s="31">
        <f>16160</f>
        <v>16160</v>
      </c>
      <c r="N82" s="32" t="s">
        <v>793</v>
      </c>
      <c r="O82" s="31">
        <f>14935</f>
        <v>14935</v>
      </c>
      <c r="P82" s="32" t="s">
        <v>78</v>
      </c>
      <c r="Q82" s="31">
        <f>15955</f>
        <v>15955</v>
      </c>
      <c r="R82" s="32" t="s">
        <v>791</v>
      </c>
      <c r="S82" s="33">
        <f>15432.63</f>
        <v>15432.63</v>
      </c>
      <c r="T82" s="30">
        <f>472</f>
        <v>472</v>
      </c>
      <c r="U82" s="30" t="str">
        <f>"－"</f>
        <v>－</v>
      </c>
      <c r="V82" s="30">
        <f>7306075</f>
        <v>7306075</v>
      </c>
      <c r="W82" s="30" t="str">
        <f>"－"</f>
        <v>－</v>
      </c>
      <c r="X82" s="34">
        <f>19</f>
        <v>19</v>
      </c>
    </row>
    <row r="83" spans="1:24" ht="13.5" customHeight="1" x14ac:dyDescent="0.15">
      <c r="A83" s="25" t="s">
        <v>989</v>
      </c>
      <c r="B83" s="25" t="s">
        <v>274</v>
      </c>
      <c r="C83" s="25" t="s">
        <v>275</v>
      </c>
      <c r="D83" s="25" t="s">
        <v>276</v>
      </c>
      <c r="E83" s="26" t="s">
        <v>45</v>
      </c>
      <c r="F83" s="27" t="s">
        <v>45</v>
      </c>
      <c r="G83" s="28" t="s">
        <v>45</v>
      </c>
      <c r="H83" s="29"/>
      <c r="I83" s="29" t="s">
        <v>46</v>
      </c>
      <c r="J83" s="30">
        <v>1</v>
      </c>
      <c r="K83" s="31">
        <f>20790</f>
        <v>20790</v>
      </c>
      <c r="L83" s="32" t="s">
        <v>785</v>
      </c>
      <c r="M83" s="31">
        <f>21495</f>
        <v>21495</v>
      </c>
      <c r="N83" s="32" t="s">
        <v>791</v>
      </c>
      <c r="O83" s="31">
        <f>20380</f>
        <v>20380</v>
      </c>
      <c r="P83" s="32" t="s">
        <v>875</v>
      </c>
      <c r="Q83" s="31">
        <f>21330</f>
        <v>21330</v>
      </c>
      <c r="R83" s="32" t="s">
        <v>791</v>
      </c>
      <c r="S83" s="33">
        <f>20831.84</f>
        <v>20831.84</v>
      </c>
      <c r="T83" s="30">
        <f>3506</f>
        <v>3506</v>
      </c>
      <c r="U83" s="30" t="str">
        <f>"－"</f>
        <v>－</v>
      </c>
      <c r="V83" s="30">
        <f>72570250</f>
        <v>72570250</v>
      </c>
      <c r="W83" s="30" t="str">
        <f>"－"</f>
        <v>－</v>
      </c>
      <c r="X83" s="34">
        <f>19</f>
        <v>19</v>
      </c>
    </row>
    <row r="84" spans="1:24" ht="13.5" customHeight="1" x14ac:dyDescent="0.15">
      <c r="A84" s="25" t="s">
        <v>989</v>
      </c>
      <c r="B84" s="25" t="s">
        <v>277</v>
      </c>
      <c r="C84" s="25" t="s">
        <v>278</v>
      </c>
      <c r="D84" s="25" t="s">
        <v>279</v>
      </c>
      <c r="E84" s="26" t="s">
        <v>45</v>
      </c>
      <c r="F84" s="27" t="s">
        <v>45</v>
      </c>
      <c r="G84" s="28" t="s">
        <v>45</v>
      </c>
      <c r="H84" s="29"/>
      <c r="I84" s="29" t="s">
        <v>46</v>
      </c>
      <c r="J84" s="30">
        <v>10</v>
      </c>
      <c r="K84" s="31">
        <f>10395</f>
        <v>10395</v>
      </c>
      <c r="L84" s="32" t="s">
        <v>785</v>
      </c>
      <c r="M84" s="31">
        <f>10730</f>
        <v>10730</v>
      </c>
      <c r="N84" s="32" t="s">
        <v>893</v>
      </c>
      <c r="O84" s="31">
        <f>10000</f>
        <v>10000</v>
      </c>
      <c r="P84" s="32" t="s">
        <v>791</v>
      </c>
      <c r="Q84" s="31">
        <f>10510</f>
        <v>10510</v>
      </c>
      <c r="R84" s="32" t="s">
        <v>791</v>
      </c>
      <c r="S84" s="33">
        <f>10534.47</f>
        <v>10534.47</v>
      </c>
      <c r="T84" s="30">
        <f>11490</f>
        <v>11490</v>
      </c>
      <c r="U84" s="30">
        <f>30</f>
        <v>30</v>
      </c>
      <c r="V84" s="30">
        <f>120374550</f>
        <v>120374550</v>
      </c>
      <c r="W84" s="30">
        <f>319000</f>
        <v>319000</v>
      </c>
      <c r="X84" s="34">
        <f>19</f>
        <v>19</v>
      </c>
    </row>
    <row r="85" spans="1:24" ht="13.5" customHeight="1" x14ac:dyDescent="0.15">
      <c r="A85" s="25" t="s">
        <v>989</v>
      </c>
      <c r="B85" s="25" t="s">
        <v>280</v>
      </c>
      <c r="C85" s="25" t="s">
        <v>281</v>
      </c>
      <c r="D85" s="25" t="s">
        <v>282</v>
      </c>
      <c r="E85" s="26" t="s">
        <v>45</v>
      </c>
      <c r="F85" s="27" t="s">
        <v>45</v>
      </c>
      <c r="G85" s="28" t="s">
        <v>45</v>
      </c>
      <c r="H85" s="29"/>
      <c r="I85" s="29" t="s">
        <v>46</v>
      </c>
      <c r="J85" s="30">
        <v>1</v>
      </c>
      <c r="K85" s="31">
        <f>1995</f>
        <v>1995</v>
      </c>
      <c r="L85" s="32" t="s">
        <v>785</v>
      </c>
      <c r="M85" s="31">
        <f>2090</f>
        <v>2090</v>
      </c>
      <c r="N85" s="32" t="s">
        <v>790</v>
      </c>
      <c r="O85" s="31">
        <f>1984</f>
        <v>1984</v>
      </c>
      <c r="P85" s="32" t="s">
        <v>785</v>
      </c>
      <c r="Q85" s="31">
        <f>2034</f>
        <v>2034</v>
      </c>
      <c r="R85" s="32" t="s">
        <v>791</v>
      </c>
      <c r="S85" s="33">
        <f>2034.47</f>
        <v>2034.47</v>
      </c>
      <c r="T85" s="30">
        <f>273232</f>
        <v>273232</v>
      </c>
      <c r="U85" s="30">
        <f>52510</f>
        <v>52510</v>
      </c>
      <c r="V85" s="30">
        <f>553547887</f>
        <v>553547887</v>
      </c>
      <c r="W85" s="30">
        <f>104934577</f>
        <v>104934577</v>
      </c>
      <c r="X85" s="34">
        <f>19</f>
        <v>19</v>
      </c>
    </row>
    <row r="86" spans="1:24" ht="13.5" customHeight="1" x14ac:dyDescent="0.15">
      <c r="A86" s="25" t="s">
        <v>989</v>
      </c>
      <c r="B86" s="25" t="s">
        <v>283</v>
      </c>
      <c r="C86" s="25" t="s">
        <v>284</v>
      </c>
      <c r="D86" s="25" t="s">
        <v>285</v>
      </c>
      <c r="E86" s="26" t="s">
        <v>45</v>
      </c>
      <c r="F86" s="27" t="s">
        <v>45</v>
      </c>
      <c r="G86" s="28" t="s">
        <v>45</v>
      </c>
      <c r="H86" s="29"/>
      <c r="I86" s="29" t="s">
        <v>46</v>
      </c>
      <c r="J86" s="30">
        <v>1</v>
      </c>
      <c r="K86" s="31">
        <f>1946</f>
        <v>1946</v>
      </c>
      <c r="L86" s="32" t="s">
        <v>785</v>
      </c>
      <c r="M86" s="31">
        <f>1996</f>
        <v>1996</v>
      </c>
      <c r="N86" s="32" t="s">
        <v>790</v>
      </c>
      <c r="O86" s="31">
        <f>1942</f>
        <v>1942</v>
      </c>
      <c r="P86" s="32" t="s">
        <v>785</v>
      </c>
      <c r="Q86" s="31">
        <f>1966</f>
        <v>1966</v>
      </c>
      <c r="R86" s="32" t="s">
        <v>791</v>
      </c>
      <c r="S86" s="33">
        <f>1974.11</f>
        <v>1974.11</v>
      </c>
      <c r="T86" s="30">
        <f>295955</f>
        <v>295955</v>
      </c>
      <c r="U86" s="30" t="str">
        <f>"－"</f>
        <v>－</v>
      </c>
      <c r="V86" s="30">
        <f>583511654</f>
        <v>583511654</v>
      </c>
      <c r="W86" s="30" t="str">
        <f>"－"</f>
        <v>－</v>
      </c>
      <c r="X86" s="34">
        <f>19</f>
        <v>19</v>
      </c>
    </row>
    <row r="87" spans="1:24" ht="13.5" customHeight="1" x14ac:dyDescent="0.15">
      <c r="A87" s="25" t="s">
        <v>989</v>
      </c>
      <c r="B87" s="25" t="s">
        <v>286</v>
      </c>
      <c r="C87" s="25" t="s">
        <v>287</v>
      </c>
      <c r="D87" s="25" t="s">
        <v>288</v>
      </c>
      <c r="E87" s="26" t="s">
        <v>45</v>
      </c>
      <c r="F87" s="27" t="s">
        <v>45</v>
      </c>
      <c r="G87" s="28" t="s">
        <v>45</v>
      </c>
      <c r="H87" s="29"/>
      <c r="I87" s="29" t="s">
        <v>46</v>
      </c>
      <c r="J87" s="30">
        <v>1</v>
      </c>
      <c r="K87" s="31">
        <f>14470</f>
        <v>14470</v>
      </c>
      <c r="L87" s="32" t="s">
        <v>785</v>
      </c>
      <c r="M87" s="31">
        <f>15040</f>
        <v>15040</v>
      </c>
      <c r="N87" s="32" t="s">
        <v>791</v>
      </c>
      <c r="O87" s="31">
        <f>14125</f>
        <v>14125</v>
      </c>
      <c r="P87" s="32" t="s">
        <v>78</v>
      </c>
      <c r="Q87" s="31">
        <f>14935</f>
        <v>14935</v>
      </c>
      <c r="R87" s="32" t="s">
        <v>791</v>
      </c>
      <c r="S87" s="33">
        <f>14594.21</f>
        <v>14594.21</v>
      </c>
      <c r="T87" s="30">
        <f>18951</f>
        <v>18951</v>
      </c>
      <c r="U87" s="30">
        <f>3000</f>
        <v>3000</v>
      </c>
      <c r="V87" s="30">
        <f>272824675</f>
        <v>272824675</v>
      </c>
      <c r="W87" s="30">
        <f>42907620</f>
        <v>42907620</v>
      </c>
      <c r="X87" s="34">
        <f>19</f>
        <v>19</v>
      </c>
    </row>
    <row r="88" spans="1:24" ht="13.5" customHeight="1" x14ac:dyDescent="0.15">
      <c r="A88" s="25" t="s">
        <v>989</v>
      </c>
      <c r="B88" s="25" t="s">
        <v>289</v>
      </c>
      <c r="C88" s="25" t="s">
        <v>290</v>
      </c>
      <c r="D88" s="25" t="s">
        <v>291</v>
      </c>
      <c r="E88" s="26" t="s">
        <v>45</v>
      </c>
      <c r="F88" s="27" t="s">
        <v>45</v>
      </c>
      <c r="G88" s="28" t="s">
        <v>45</v>
      </c>
      <c r="H88" s="29"/>
      <c r="I88" s="29" t="s">
        <v>46</v>
      </c>
      <c r="J88" s="30">
        <v>1</v>
      </c>
      <c r="K88" s="31">
        <f>8821</f>
        <v>8821</v>
      </c>
      <c r="L88" s="32" t="s">
        <v>785</v>
      </c>
      <c r="M88" s="31">
        <f>9107</f>
        <v>9107</v>
      </c>
      <c r="N88" s="32" t="s">
        <v>784</v>
      </c>
      <c r="O88" s="31">
        <f>8703</f>
        <v>8703</v>
      </c>
      <c r="P88" s="32" t="s">
        <v>784</v>
      </c>
      <c r="Q88" s="31">
        <f>8751</f>
        <v>8751</v>
      </c>
      <c r="R88" s="32" t="s">
        <v>791</v>
      </c>
      <c r="S88" s="33">
        <f>8807.53</f>
        <v>8807.5300000000007</v>
      </c>
      <c r="T88" s="30">
        <f>2201</f>
        <v>2201</v>
      </c>
      <c r="U88" s="30">
        <f>2</f>
        <v>2</v>
      </c>
      <c r="V88" s="30">
        <f>19480937</f>
        <v>19480937</v>
      </c>
      <c r="W88" s="30">
        <f>17694</f>
        <v>17694</v>
      </c>
      <c r="X88" s="34">
        <f>19</f>
        <v>19</v>
      </c>
    </row>
    <row r="89" spans="1:24" ht="13.5" customHeight="1" x14ac:dyDescent="0.15">
      <c r="A89" s="25" t="s">
        <v>989</v>
      </c>
      <c r="B89" s="25" t="s">
        <v>292</v>
      </c>
      <c r="C89" s="25" t="s">
        <v>293</v>
      </c>
      <c r="D89" s="25" t="s">
        <v>294</v>
      </c>
      <c r="E89" s="26" t="s">
        <v>45</v>
      </c>
      <c r="F89" s="27" t="s">
        <v>45</v>
      </c>
      <c r="G89" s="28" t="s">
        <v>45</v>
      </c>
      <c r="H89" s="29"/>
      <c r="I89" s="29" t="s">
        <v>46</v>
      </c>
      <c r="J89" s="30">
        <v>1</v>
      </c>
      <c r="K89" s="31">
        <f>7391</f>
        <v>7391</v>
      </c>
      <c r="L89" s="32" t="s">
        <v>785</v>
      </c>
      <c r="M89" s="31">
        <f>7701</f>
        <v>7701</v>
      </c>
      <c r="N89" s="32" t="s">
        <v>789</v>
      </c>
      <c r="O89" s="31">
        <f>7368</f>
        <v>7368</v>
      </c>
      <c r="P89" s="32" t="s">
        <v>785</v>
      </c>
      <c r="Q89" s="31">
        <f>7606</f>
        <v>7606</v>
      </c>
      <c r="R89" s="32" t="s">
        <v>791</v>
      </c>
      <c r="S89" s="33">
        <f>7565.21</f>
        <v>7565.21</v>
      </c>
      <c r="T89" s="30">
        <f>1250908</f>
        <v>1250908</v>
      </c>
      <c r="U89" s="30">
        <f>19265</f>
        <v>19265</v>
      </c>
      <c r="V89" s="30">
        <f>9456692431</f>
        <v>9456692431</v>
      </c>
      <c r="W89" s="30">
        <f>147383157</f>
        <v>147383157</v>
      </c>
      <c r="X89" s="34">
        <f>19</f>
        <v>19</v>
      </c>
    </row>
    <row r="90" spans="1:24" ht="13.5" customHeight="1" x14ac:dyDescent="0.15">
      <c r="A90" s="25" t="s">
        <v>989</v>
      </c>
      <c r="B90" s="25" t="s">
        <v>295</v>
      </c>
      <c r="C90" s="25" t="s">
        <v>296</v>
      </c>
      <c r="D90" s="25" t="s">
        <v>297</v>
      </c>
      <c r="E90" s="26" t="s">
        <v>45</v>
      </c>
      <c r="F90" s="27" t="s">
        <v>45</v>
      </c>
      <c r="G90" s="28" t="s">
        <v>45</v>
      </c>
      <c r="H90" s="29"/>
      <c r="I90" s="29" t="s">
        <v>46</v>
      </c>
      <c r="J90" s="30">
        <v>1</v>
      </c>
      <c r="K90" s="31">
        <f>4175</f>
        <v>4175</v>
      </c>
      <c r="L90" s="32" t="s">
        <v>785</v>
      </c>
      <c r="M90" s="31">
        <f>4220</f>
        <v>4220</v>
      </c>
      <c r="N90" s="32" t="s">
        <v>784</v>
      </c>
      <c r="O90" s="31">
        <f>3945</f>
        <v>3945</v>
      </c>
      <c r="P90" s="32" t="s">
        <v>255</v>
      </c>
      <c r="Q90" s="31">
        <f>3950</f>
        <v>3950</v>
      </c>
      <c r="R90" s="32" t="s">
        <v>791</v>
      </c>
      <c r="S90" s="33">
        <f>4078.68</f>
        <v>4078.68</v>
      </c>
      <c r="T90" s="30">
        <f>349914</f>
        <v>349914</v>
      </c>
      <c r="U90" s="30" t="str">
        <f>"－"</f>
        <v>－</v>
      </c>
      <c r="V90" s="30">
        <f>1425164440</f>
        <v>1425164440</v>
      </c>
      <c r="W90" s="30" t="str">
        <f>"－"</f>
        <v>－</v>
      </c>
      <c r="X90" s="34">
        <f>19</f>
        <v>19</v>
      </c>
    </row>
    <row r="91" spans="1:24" ht="13.5" customHeight="1" x14ac:dyDescent="0.15">
      <c r="A91" s="25" t="s">
        <v>989</v>
      </c>
      <c r="B91" s="25" t="s">
        <v>298</v>
      </c>
      <c r="C91" s="25" t="s">
        <v>299</v>
      </c>
      <c r="D91" s="25" t="s">
        <v>300</v>
      </c>
      <c r="E91" s="26" t="s">
        <v>45</v>
      </c>
      <c r="F91" s="27" t="s">
        <v>45</v>
      </c>
      <c r="G91" s="28" t="s">
        <v>45</v>
      </c>
      <c r="H91" s="29"/>
      <c r="I91" s="29" t="s">
        <v>46</v>
      </c>
      <c r="J91" s="30">
        <v>1</v>
      </c>
      <c r="K91" s="31">
        <f>9196</f>
        <v>9196</v>
      </c>
      <c r="L91" s="32" t="s">
        <v>785</v>
      </c>
      <c r="M91" s="31">
        <f>9205</f>
        <v>9205</v>
      </c>
      <c r="N91" s="32" t="s">
        <v>785</v>
      </c>
      <c r="O91" s="31">
        <f>8710</f>
        <v>8710</v>
      </c>
      <c r="P91" s="32" t="s">
        <v>790</v>
      </c>
      <c r="Q91" s="31">
        <f>8877</f>
        <v>8877</v>
      </c>
      <c r="R91" s="32" t="s">
        <v>791</v>
      </c>
      <c r="S91" s="33">
        <f>9017.68</f>
        <v>9017.68</v>
      </c>
      <c r="T91" s="30">
        <f>146005</f>
        <v>146005</v>
      </c>
      <c r="U91" s="30">
        <f>353</f>
        <v>353</v>
      </c>
      <c r="V91" s="30">
        <f>1311409165</f>
        <v>1311409165</v>
      </c>
      <c r="W91" s="30">
        <f>3187144</f>
        <v>3187144</v>
      </c>
      <c r="X91" s="34">
        <f>19</f>
        <v>19</v>
      </c>
    </row>
    <row r="92" spans="1:24" ht="13.5" customHeight="1" x14ac:dyDescent="0.15">
      <c r="A92" s="25" t="s">
        <v>989</v>
      </c>
      <c r="B92" s="25" t="s">
        <v>301</v>
      </c>
      <c r="C92" s="25" t="s">
        <v>302</v>
      </c>
      <c r="D92" s="25" t="s">
        <v>303</v>
      </c>
      <c r="E92" s="26" t="s">
        <v>45</v>
      </c>
      <c r="F92" s="27" t="s">
        <v>45</v>
      </c>
      <c r="G92" s="28" t="s">
        <v>45</v>
      </c>
      <c r="H92" s="29"/>
      <c r="I92" s="29" t="s">
        <v>46</v>
      </c>
      <c r="J92" s="30">
        <v>1</v>
      </c>
      <c r="K92" s="31">
        <f>67770</f>
        <v>67770</v>
      </c>
      <c r="L92" s="32" t="s">
        <v>785</v>
      </c>
      <c r="M92" s="31">
        <f>70860</f>
        <v>70860</v>
      </c>
      <c r="N92" s="32" t="s">
        <v>784</v>
      </c>
      <c r="O92" s="31">
        <f>65450</f>
        <v>65450</v>
      </c>
      <c r="P92" s="32" t="s">
        <v>893</v>
      </c>
      <c r="Q92" s="31">
        <f>65520</f>
        <v>65520</v>
      </c>
      <c r="R92" s="32" t="s">
        <v>791</v>
      </c>
      <c r="S92" s="33">
        <f>68235.79</f>
        <v>68235.789999999994</v>
      </c>
      <c r="T92" s="30">
        <f>5645</f>
        <v>5645</v>
      </c>
      <c r="U92" s="30">
        <f>2</f>
        <v>2</v>
      </c>
      <c r="V92" s="30">
        <f>382724800</f>
        <v>382724800</v>
      </c>
      <c r="W92" s="30">
        <f>136280</f>
        <v>136280</v>
      </c>
      <c r="X92" s="34">
        <f>19</f>
        <v>19</v>
      </c>
    </row>
    <row r="93" spans="1:24" ht="13.5" customHeight="1" x14ac:dyDescent="0.15">
      <c r="A93" s="25" t="s">
        <v>989</v>
      </c>
      <c r="B93" s="25" t="s">
        <v>304</v>
      </c>
      <c r="C93" s="25" t="s">
        <v>895</v>
      </c>
      <c r="D93" s="25" t="s">
        <v>896</v>
      </c>
      <c r="E93" s="26" t="s">
        <v>45</v>
      </c>
      <c r="F93" s="27" t="s">
        <v>45</v>
      </c>
      <c r="G93" s="28" t="s">
        <v>45</v>
      </c>
      <c r="H93" s="29"/>
      <c r="I93" s="29" t="s">
        <v>46</v>
      </c>
      <c r="J93" s="30">
        <v>1</v>
      </c>
      <c r="K93" s="31">
        <f>14485</f>
        <v>14485</v>
      </c>
      <c r="L93" s="32" t="s">
        <v>785</v>
      </c>
      <c r="M93" s="31">
        <f>16050</f>
        <v>16050</v>
      </c>
      <c r="N93" s="32" t="s">
        <v>893</v>
      </c>
      <c r="O93" s="31">
        <f>14415</f>
        <v>14415</v>
      </c>
      <c r="P93" s="32" t="s">
        <v>785</v>
      </c>
      <c r="Q93" s="31">
        <f>15675</f>
        <v>15675</v>
      </c>
      <c r="R93" s="32" t="s">
        <v>791</v>
      </c>
      <c r="S93" s="33">
        <f>15174.74</f>
        <v>15174.74</v>
      </c>
      <c r="T93" s="30">
        <f>908984</f>
        <v>908984</v>
      </c>
      <c r="U93" s="30">
        <f>313</f>
        <v>313</v>
      </c>
      <c r="V93" s="30">
        <f>13794125926</f>
        <v>13794125926</v>
      </c>
      <c r="W93" s="30">
        <f>4688476</f>
        <v>4688476</v>
      </c>
      <c r="X93" s="34">
        <f>19</f>
        <v>19</v>
      </c>
    </row>
    <row r="94" spans="1:24" ht="13.5" customHeight="1" x14ac:dyDescent="0.15">
      <c r="A94" s="25" t="s">
        <v>989</v>
      </c>
      <c r="B94" s="25" t="s">
        <v>305</v>
      </c>
      <c r="C94" s="25" t="s">
        <v>897</v>
      </c>
      <c r="D94" s="25" t="s">
        <v>898</v>
      </c>
      <c r="E94" s="26" t="s">
        <v>45</v>
      </c>
      <c r="F94" s="27" t="s">
        <v>45</v>
      </c>
      <c r="G94" s="28" t="s">
        <v>45</v>
      </c>
      <c r="H94" s="29"/>
      <c r="I94" s="29" t="s">
        <v>46</v>
      </c>
      <c r="J94" s="30">
        <v>1</v>
      </c>
      <c r="K94" s="31">
        <f>42380</f>
        <v>42380</v>
      </c>
      <c r="L94" s="32" t="s">
        <v>785</v>
      </c>
      <c r="M94" s="31">
        <f>43760</f>
        <v>43760</v>
      </c>
      <c r="N94" s="32" t="s">
        <v>787</v>
      </c>
      <c r="O94" s="31">
        <f>41410</f>
        <v>41410</v>
      </c>
      <c r="P94" s="32" t="s">
        <v>80</v>
      </c>
      <c r="Q94" s="31">
        <f>42800</f>
        <v>42800</v>
      </c>
      <c r="R94" s="32" t="s">
        <v>791</v>
      </c>
      <c r="S94" s="33">
        <f>42817.89</f>
        <v>42817.89</v>
      </c>
      <c r="T94" s="30">
        <f>104865</f>
        <v>104865</v>
      </c>
      <c r="U94" s="30">
        <f>1504</f>
        <v>1504</v>
      </c>
      <c r="V94" s="30">
        <f>4479430150</f>
        <v>4479430150</v>
      </c>
      <c r="W94" s="30">
        <f>63075100</f>
        <v>63075100</v>
      </c>
      <c r="X94" s="34">
        <f>19</f>
        <v>19</v>
      </c>
    </row>
    <row r="95" spans="1:24" ht="13.5" customHeight="1" x14ac:dyDescent="0.15">
      <c r="A95" s="25" t="s">
        <v>989</v>
      </c>
      <c r="B95" s="25" t="s">
        <v>306</v>
      </c>
      <c r="C95" s="25" t="s">
        <v>307</v>
      </c>
      <c r="D95" s="25" t="s">
        <v>308</v>
      </c>
      <c r="E95" s="26" t="s">
        <v>45</v>
      </c>
      <c r="F95" s="27" t="s">
        <v>45</v>
      </c>
      <c r="G95" s="28" t="s">
        <v>45</v>
      </c>
      <c r="H95" s="29"/>
      <c r="I95" s="29" t="s">
        <v>46</v>
      </c>
      <c r="J95" s="30">
        <v>10</v>
      </c>
      <c r="K95" s="31">
        <f>5507</f>
        <v>5507</v>
      </c>
      <c r="L95" s="32" t="s">
        <v>785</v>
      </c>
      <c r="M95" s="31">
        <f>5764</f>
        <v>5764</v>
      </c>
      <c r="N95" s="32" t="s">
        <v>788</v>
      </c>
      <c r="O95" s="31">
        <f>5430</f>
        <v>5430</v>
      </c>
      <c r="P95" s="32" t="s">
        <v>80</v>
      </c>
      <c r="Q95" s="31">
        <f>5667</f>
        <v>5667</v>
      </c>
      <c r="R95" s="32" t="s">
        <v>791</v>
      </c>
      <c r="S95" s="33">
        <f>5627.89</f>
        <v>5627.89</v>
      </c>
      <c r="T95" s="30">
        <f>2512990</f>
        <v>2512990</v>
      </c>
      <c r="U95" s="30">
        <f>40</f>
        <v>40</v>
      </c>
      <c r="V95" s="30">
        <f>14122405980</f>
        <v>14122405980</v>
      </c>
      <c r="W95" s="30">
        <f>226680</f>
        <v>226680</v>
      </c>
      <c r="X95" s="34">
        <f>19</f>
        <v>19</v>
      </c>
    </row>
    <row r="96" spans="1:24" ht="13.5" customHeight="1" x14ac:dyDescent="0.15">
      <c r="A96" s="25" t="s">
        <v>989</v>
      </c>
      <c r="B96" s="25" t="s">
        <v>309</v>
      </c>
      <c r="C96" s="25" t="s">
        <v>310</v>
      </c>
      <c r="D96" s="25" t="s">
        <v>311</v>
      </c>
      <c r="E96" s="26" t="s">
        <v>45</v>
      </c>
      <c r="F96" s="27" t="s">
        <v>45</v>
      </c>
      <c r="G96" s="28" t="s">
        <v>45</v>
      </c>
      <c r="H96" s="29"/>
      <c r="I96" s="29" t="s">
        <v>46</v>
      </c>
      <c r="J96" s="30">
        <v>10</v>
      </c>
      <c r="K96" s="31">
        <f>3548</f>
        <v>3548</v>
      </c>
      <c r="L96" s="32" t="s">
        <v>785</v>
      </c>
      <c r="M96" s="31">
        <f>3738</f>
        <v>3738</v>
      </c>
      <c r="N96" s="32" t="s">
        <v>893</v>
      </c>
      <c r="O96" s="31">
        <f>3510</f>
        <v>3510</v>
      </c>
      <c r="P96" s="32" t="s">
        <v>785</v>
      </c>
      <c r="Q96" s="31">
        <f>3702</f>
        <v>3702</v>
      </c>
      <c r="R96" s="32" t="s">
        <v>791</v>
      </c>
      <c r="S96" s="33">
        <f>3649.53</f>
        <v>3649.53</v>
      </c>
      <c r="T96" s="30">
        <f>77970</f>
        <v>77970</v>
      </c>
      <c r="U96" s="30">
        <f>60</f>
        <v>60</v>
      </c>
      <c r="V96" s="30">
        <f>284216070</f>
        <v>284216070</v>
      </c>
      <c r="W96" s="30">
        <f>222400</f>
        <v>222400</v>
      </c>
      <c r="X96" s="34">
        <f>19</f>
        <v>19</v>
      </c>
    </row>
    <row r="97" spans="1:24" ht="13.5" customHeight="1" x14ac:dyDescent="0.15">
      <c r="A97" s="25" t="s">
        <v>989</v>
      </c>
      <c r="B97" s="25" t="s">
        <v>312</v>
      </c>
      <c r="C97" s="25" t="s">
        <v>970</v>
      </c>
      <c r="D97" s="25" t="s">
        <v>971</v>
      </c>
      <c r="E97" s="26" t="s">
        <v>45</v>
      </c>
      <c r="F97" s="27" t="s">
        <v>45</v>
      </c>
      <c r="G97" s="28" t="s">
        <v>45</v>
      </c>
      <c r="H97" s="29"/>
      <c r="I97" s="29" t="s">
        <v>46</v>
      </c>
      <c r="J97" s="30">
        <v>10</v>
      </c>
      <c r="K97" s="31">
        <f>4279</f>
        <v>4279</v>
      </c>
      <c r="L97" s="32" t="s">
        <v>784</v>
      </c>
      <c r="M97" s="31">
        <f>4366</f>
        <v>4366</v>
      </c>
      <c r="N97" s="32" t="s">
        <v>791</v>
      </c>
      <c r="O97" s="31">
        <f>4171</f>
        <v>4171</v>
      </c>
      <c r="P97" s="32" t="s">
        <v>784</v>
      </c>
      <c r="Q97" s="31">
        <f>4345</f>
        <v>4345</v>
      </c>
      <c r="R97" s="32" t="s">
        <v>791</v>
      </c>
      <c r="S97" s="33">
        <f>4285.06</f>
        <v>4285.0600000000004</v>
      </c>
      <c r="T97" s="30">
        <f>2110</f>
        <v>2110</v>
      </c>
      <c r="U97" s="30" t="str">
        <f>"－"</f>
        <v>－</v>
      </c>
      <c r="V97" s="30">
        <f>9045290</f>
        <v>9045290</v>
      </c>
      <c r="W97" s="30" t="str">
        <f>"－"</f>
        <v>－</v>
      </c>
      <c r="X97" s="34">
        <f>18</f>
        <v>18</v>
      </c>
    </row>
    <row r="98" spans="1:24" ht="13.5" customHeight="1" x14ac:dyDescent="0.15">
      <c r="A98" s="25" t="s">
        <v>989</v>
      </c>
      <c r="B98" s="25" t="s">
        <v>313</v>
      </c>
      <c r="C98" s="25" t="s">
        <v>314</v>
      </c>
      <c r="D98" s="25" t="s">
        <v>315</v>
      </c>
      <c r="E98" s="26" t="s">
        <v>45</v>
      </c>
      <c r="F98" s="27" t="s">
        <v>45</v>
      </c>
      <c r="G98" s="28" t="s">
        <v>45</v>
      </c>
      <c r="H98" s="29" t="s">
        <v>316</v>
      </c>
      <c r="I98" s="29" t="s">
        <v>46</v>
      </c>
      <c r="J98" s="30">
        <v>1</v>
      </c>
      <c r="K98" s="31">
        <f>1477</f>
        <v>1477</v>
      </c>
      <c r="L98" s="32" t="s">
        <v>785</v>
      </c>
      <c r="M98" s="31">
        <f>1477</f>
        <v>1477</v>
      </c>
      <c r="N98" s="32" t="s">
        <v>785</v>
      </c>
      <c r="O98" s="31">
        <f>1171</f>
        <v>1171</v>
      </c>
      <c r="P98" s="32" t="s">
        <v>893</v>
      </c>
      <c r="Q98" s="31">
        <f>1207</f>
        <v>1207</v>
      </c>
      <c r="R98" s="32" t="s">
        <v>791</v>
      </c>
      <c r="S98" s="33">
        <f>1291.68</f>
        <v>1291.68</v>
      </c>
      <c r="T98" s="30">
        <f>29593754</f>
        <v>29593754</v>
      </c>
      <c r="U98" s="30">
        <f>824</f>
        <v>824</v>
      </c>
      <c r="V98" s="30">
        <f>38111926417</f>
        <v>38111926417</v>
      </c>
      <c r="W98" s="30">
        <f>1052475</f>
        <v>1052475</v>
      </c>
      <c r="X98" s="34">
        <f>19</f>
        <v>19</v>
      </c>
    </row>
    <row r="99" spans="1:24" ht="13.5" customHeight="1" x14ac:dyDescent="0.15">
      <c r="A99" s="25" t="s">
        <v>989</v>
      </c>
      <c r="B99" s="25" t="s">
        <v>317</v>
      </c>
      <c r="C99" s="25" t="s">
        <v>318</v>
      </c>
      <c r="D99" s="25" t="s">
        <v>319</v>
      </c>
      <c r="E99" s="26" t="s">
        <v>45</v>
      </c>
      <c r="F99" s="27" t="s">
        <v>45</v>
      </c>
      <c r="G99" s="28" t="s">
        <v>45</v>
      </c>
      <c r="H99" s="29"/>
      <c r="I99" s="29" t="s">
        <v>46</v>
      </c>
      <c r="J99" s="30">
        <v>10</v>
      </c>
      <c r="K99" s="31">
        <f>3015</f>
        <v>3015</v>
      </c>
      <c r="L99" s="32" t="s">
        <v>785</v>
      </c>
      <c r="M99" s="31">
        <f>3177</f>
        <v>3177</v>
      </c>
      <c r="N99" s="32" t="s">
        <v>788</v>
      </c>
      <c r="O99" s="31">
        <f>3000</f>
        <v>3000</v>
      </c>
      <c r="P99" s="32" t="s">
        <v>785</v>
      </c>
      <c r="Q99" s="31">
        <f>3113</f>
        <v>3113</v>
      </c>
      <c r="R99" s="32" t="s">
        <v>791</v>
      </c>
      <c r="S99" s="33">
        <f>3101.42</f>
        <v>3101.42</v>
      </c>
      <c r="T99" s="30">
        <f>102030</f>
        <v>102030</v>
      </c>
      <c r="U99" s="30" t="str">
        <f>"－"</f>
        <v>－</v>
      </c>
      <c r="V99" s="30">
        <f>314656520</f>
        <v>314656520</v>
      </c>
      <c r="W99" s="30" t="str">
        <f>"－"</f>
        <v>－</v>
      </c>
      <c r="X99" s="34">
        <f>19</f>
        <v>19</v>
      </c>
    </row>
    <row r="100" spans="1:24" ht="13.5" customHeight="1" x14ac:dyDescent="0.15">
      <c r="A100" s="25" t="s">
        <v>989</v>
      </c>
      <c r="B100" s="25" t="s">
        <v>320</v>
      </c>
      <c r="C100" s="25" t="s">
        <v>321</v>
      </c>
      <c r="D100" s="25" t="s">
        <v>322</v>
      </c>
      <c r="E100" s="26" t="s">
        <v>45</v>
      </c>
      <c r="F100" s="27" t="s">
        <v>45</v>
      </c>
      <c r="G100" s="28" t="s">
        <v>45</v>
      </c>
      <c r="H100" s="29"/>
      <c r="I100" s="29" t="s">
        <v>46</v>
      </c>
      <c r="J100" s="30">
        <v>10</v>
      </c>
      <c r="K100" s="31">
        <f>1583</f>
        <v>1583</v>
      </c>
      <c r="L100" s="32" t="s">
        <v>785</v>
      </c>
      <c r="M100" s="31">
        <f>1788</f>
        <v>1788</v>
      </c>
      <c r="N100" s="32" t="s">
        <v>893</v>
      </c>
      <c r="O100" s="31">
        <f>1583</f>
        <v>1583</v>
      </c>
      <c r="P100" s="32" t="s">
        <v>785</v>
      </c>
      <c r="Q100" s="31">
        <f>1757</f>
        <v>1757</v>
      </c>
      <c r="R100" s="32" t="s">
        <v>791</v>
      </c>
      <c r="S100" s="33">
        <f>1686.76</f>
        <v>1686.76</v>
      </c>
      <c r="T100" s="30">
        <f>127060</f>
        <v>127060</v>
      </c>
      <c r="U100" s="30">
        <f>300</f>
        <v>300</v>
      </c>
      <c r="V100" s="30">
        <f>214583705</f>
        <v>214583705</v>
      </c>
      <c r="W100" s="30">
        <f>483310</f>
        <v>483310</v>
      </c>
      <c r="X100" s="34">
        <f>19</f>
        <v>19</v>
      </c>
    </row>
    <row r="101" spans="1:24" ht="13.5" customHeight="1" x14ac:dyDescent="0.15">
      <c r="A101" s="25" t="s">
        <v>989</v>
      </c>
      <c r="B101" s="25" t="s">
        <v>323</v>
      </c>
      <c r="C101" s="25" t="s">
        <v>324</v>
      </c>
      <c r="D101" s="25" t="s">
        <v>325</v>
      </c>
      <c r="E101" s="26" t="s">
        <v>45</v>
      </c>
      <c r="F101" s="27" t="s">
        <v>45</v>
      </c>
      <c r="G101" s="28" t="s">
        <v>45</v>
      </c>
      <c r="H101" s="29"/>
      <c r="I101" s="29" t="s">
        <v>46</v>
      </c>
      <c r="J101" s="30">
        <v>1</v>
      </c>
      <c r="K101" s="31">
        <f>50030</f>
        <v>50030</v>
      </c>
      <c r="L101" s="32" t="s">
        <v>785</v>
      </c>
      <c r="M101" s="31">
        <f>52750</f>
        <v>52750</v>
      </c>
      <c r="N101" s="32" t="s">
        <v>893</v>
      </c>
      <c r="O101" s="31">
        <f>49770</f>
        <v>49770</v>
      </c>
      <c r="P101" s="32" t="s">
        <v>785</v>
      </c>
      <c r="Q101" s="31">
        <f>52080</f>
        <v>52080</v>
      </c>
      <c r="R101" s="32" t="s">
        <v>791</v>
      </c>
      <c r="S101" s="33">
        <f>51403.68</f>
        <v>51403.68</v>
      </c>
      <c r="T101" s="30">
        <f>124148</f>
        <v>124148</v>
      </c>
      <c r="U101" s="30">
        <f>5022</f>
        <v>5022</v>
      </c>
      <c r="V101" s="30">
        <f>6377032748</f>
        <v>6377032748</v>
      </c>
      <c r="W101" s="30">
        <f>256271798</f>
        <v>256271798</v>
      </c>
      <c r="X101" s="34">
        <f>19</f>
        <v>19</v>
      </c>
    </row>
    <row r="102" spans="1:24" ht="13.5" customHeight="1" x14ac:dyDescent="0.15">
      <c r="A102" s="25" t="s">
        <v>989</v>
      </c>
      <c r="B102" s="25" t="s">
        <v>326</v>
      </c>
      <c r="C102" s="25" t="s">
        <v>327</v>
      </c>
      <c r="D102" s="25" t="s">
        <v>328</v>
      </c>
      <c r="E102" s="26" t="s">
        <v>45</v>
      </c>
      <c r="F102" s="27" t="s">
        <v>45</v>
      </c>
      <c r="G102" s="28" t="s">
        <v>45</v>
      </c>
      <c r="H102" s="29"/>
      <c r="I102" s="29" t="s">
        <v>46</v>
      </c>
      <c r="J102" s="30">
        <v>1</v>
      </c>
      <c r="K102" s="31">
        <f>3405</f>
        <v>3405</v>
      </c>
      <c r="L102" s="32" t="s">
        <v>785</v>
      </c>
      <c r="M102" s="31">
        <f>3545</f>
        <v>3545</v>
      </c>
      <c r="N102" s="32" t="s">
        <v>894</v>
      </c>
      <c r="O102" s="31">
        <f>3340</f>
        <v>3340</v>
      </c>
      <c r="P102" s="32" t="s">
        <v>785</v>
      </c>
      <c r="Q102" s="31">
        <f>3505</f>
        <v>3505</v>
      </c>
      <c r="R102" s="32" t="s">
        <v>791</v>
      </c>
      <c r="S102" s="33">
        <f>3500</f>
        <v>3500</v>
      </c>
      <c r="T102" s="30">
        <f>11745</f>
        <v>11745</v>
      </c>
      <c r="U102" s="30" t="str">
        <f>"－"</f>
        <v>－</v>
      </c>
      <c r="V102" s="30">
        <f>41101070</f>
        <v>41101070</v>
      </c>
      <c r="W102" s="30" t="str">
        <f>"－"</f>
        <v>－</v>
      </c>
      <c r="X102" s="34">
        <f>19</f>
        <v>19</v>
      </c>
    </row>
    <row r="103" spans="1:24" ht="13.5" customHeight="1" x14ac:dyDescent="0.15">
      <c r="A103" s="25" t="s">
        <v>989</v>
      </c>
      <c r="B103" s="25" t="s">
        <v>329</v>
      </c>
      <c r="C103" s="25" t="s">
        <v>330</v>
      </c>
      <c r="D103" s="25" t="s">
        <v>331</v>
      </c>
      <c r="E103" s="26" t="s">
        <v>45</v>
      </c>
      <c r="F103" s="27" t="s">
        <v>45</v>
      </c>
      <c r="G103" s="28" t="s">
        <v>45</v>
      </c>
      <c r="H103" s="29"/>
      <c r="I103" s="29" t="s">
        <v>46</v>
      </c>
      <c r="J103" s="30">
        <v>1</v>
      </c>
      <c r="K103" s="31">
        <f>4370</f>
        <v>4370</v>
      </c>
      <c r="L103" s="32" t="s">
        <v>785</v>
      </c>
      <c r="M103" s="31">
        <f>4480</f>
        <v>4480</v>
      </c>
      <c r="N103" s="32" t="s">
        <v>875</v>
      </c>
      <c r="O103" s="31">
        <f>4335</f>
        <v>4335</v>
      </c>
      <c r="P103" s="32" t="s">
        <v>785</v>
      </c>
      <c r="Q103" s="31">
        <f>4425</f>
        <v>4425</v>
      </c>
      <c r="R103" s="32" t="s">
        <v>791</v>
      </c>
      <c r="S103" s="33">
        <f>4423.42</f>
        <v>4423.42</v>
      </c>
      <c r="T103" s="30">
        <f>3051</f>
        <v>3051</v>
      </c>
      <c r="U103" s="30" t="str">
        <f>"－"</f>
        <v>－</v>
      </c>
      <c r="V103" s="30">
        <f>13496820</f>
        <v>13496820</v>
      </c>
      <c r="W103" s="30" t="str">
        <f>"－"</f>
        <v>－</v>
      </c>
      <c r="X103" s="34">
        <f>19</f>
        <v>19</v>
      </c>
    </row>
    <row r="104" spans="1:24" ht="13.5" customHeight="1" x14ac:dyDescent="0.15">
      <c r="A104" s="25" t="s">
        <v>989</v>
      </c>
      <c r="B104" s="25" t="s">
        <v>332</v>
      </c>
      <c r="C104" s="25" t="s">
        <v>972</v>
      </c>
      <c r="D104" s="25" t="s">
        <v>973</v>
      </c>
      <c r="E104" s="26" t="s">
        <v>45</v>
      </c>
      <c r="F104" s="27" t="s">
        <v>45</v>
      </c>
      <c r="G104" s="28" t="s">
        <v>45</v>
      </c>
      <c r="H104" s="29"/>
      <c r="I104" s="29" t="s">
        <v>46</v>
      </c>
      <c r="J104" s="30">
        <v>1</v>
      </c>
      <c r="K104" s="31">
        <f>2296</f>
        <v>2296</v>
      </c>
      <c r="L104" s="32" t="s">
        <v>785</v>
      </c>
      <c r="M104" s="31">
        <f>2560</f>
        <v>2560</v>
      </c>
      <c r="N104" s="32" t="s">
        <v>791</v>
      </c>
      <c r="O104" s="31">
        <f>2218</f>
        <v>2218</v>
      </c>
      <c r="P104" s="32" t="s">
        <v>78</v>
      </c>
      <c r="Q104" s="31">
        <f>2550</f>
        <v>2550</v>
      </c>
      <c r="R104" s="32" t="s">
        <v>791</v>
      </c>
      <c r="S104" s="33">
        <f>2406.05</f>
        <v>2406.0500000000002</v>
      </c>
      <c r="T104" s="30">
        <f>355881</f>
        <v>355881</v>
      </c>
      <c r="U104" s="30" t="str">
        <f>"－"</f>
        <v>－</v>
      </c>
      <c r="V104" s="30">
        <f>862945615</f>
        <v>862945615</v>
      </c>
      <c r="W104" s="30" t="str">
        <f>"－"</f>
        <v>－</v>
      </c>
      <c r="X104" s="34">
        <f>19</f>
        <v>19</v>
      </c>
    </row>
    <row r="105" spans="1:24" ht="13.5" customHeight="1" x14ac:dyDescent="0.15">
      <c r="A105" s="25" t="s">
        <v>989</v>
      </c>
      <c r="B105" s="25" t="s">
        <v>333</v>
      </c>
      <c r="C105" s="25" t="s">
        <v>334</v>
      </c>
      <c r="D105" s="25" t="s">
        <v>335</v>
      </c>
      <c r="E105" s="26" t="s">
        <v>45</v>
      </c>
      <c r="F105" s="27" t="s">
        <v>45</v>
      </c>
      <c r="G105" s="28" t="s">
        <v>45</v>
      </c>
      <c r="H105" s="29"/>
      <c r="I105" s="29" t="s">
        <v>46</v>
      </c>
      <c r="J105" s="30">
        <v>1</v>
      </c>
      <c r="K105" s="31">
        <f>42900</f>
        <v>42900</v>
      </c>
      <c r="L105" s="32" t="s">
        <v>785</v>
      </c>
      <c r="M105" s="31">
        <f>43600</f>
        <v>43600</v>
      </c>
      <c r="N105" s="32" t="s">
        <v>789</v>
      </c>
      <c r="O105" s="31">
        <f>42180</f>
        <v>42180</v>
      </c>
      <c r="P105" s="32" t="s">
        <v>785</v>
      </c>
      <c r="Q105" s="31">
        <f>43560</f>
        <v>43560</v>
      </c>
      <c r="R105" s="32" t="s">
        <v>791</v>
      </c>
      <c r="S105" s="33">
        <f>43121.58</f>
        <v>43121.58</v>
      </c>
      <c r="T105" s="30">
        <f>13031</f>
        <v>13031</v>
      </c>
      <c r="U105" s="30">
        <f>6</f>
        <v>6</v>
      </c>
      <c r="V105" s="30">
        <f>559127010</f>
        <v>559127010</v>
      </c>
      <c r="W105" s="30">
        <f>260100</f>
        <v>260100</v>
      </c>
      <c r="X105" s="34">
        <f>19</f>
        <v>19</v>
      </c>
    </row>
    <row r="106" spans="1:24" ht="13.5" customHeight="1" x14ac:dyDescent="0.15">
      <c r="A106" s="25" t="s">
        <v>989</v>
      </c>
      <c r="B106" s="25" t="s">
        <v>336</v>
      </c>
      <c r="C106" s="25" t="s">
        <v>337</v>
      </c>
      <c r="D106" s="25" t="s">
        <v>338</v>
      </c>
      <c r="E106" s="26" t="s">
        <v>45</v>
      </c>
      <c r="F106" s="27" t="s">
        <v>45</v>
      </c>
      <c r="G106" s="28" t="s">
        <v>45</v>
      </c>
      <c r="H106" s="29"/>
      <c r="I106" s="29" t="s">
        <v>46</v>
      </c>
      <c r="J106" s="30">
        <v>10</v>
      </c>
      <c r="K106" s="31">
        <f>22570</f>
        <v>22570</v>
      </c>
      <c r="L106" s="32" t="s">
        <v>785</v>
      </c>
      <c r="M106" s="31">
        <f>25335</f>
        <v>25335</v>
      </c>
      <c r="N106" s="32" t="s">
        <v>791</v>
      </c>
      <c r="O106" s="31">
        <f>22150</f>
        <v>22150</v>
      </c>
      <c r="P106" s="32" t="s">
        <v>785</v>
      </c>
      <c r="Q106" s="31">
        <f>24900</f>
        <v>24900</v>
      </c>
      <c r="R106" s="32" t="s">
        <v>791</v>
      </c>
      <c r="S106" s="33">
        <f>23702.11</f>
        <v>23702.11</v>
      </c>
      <c r="T106" s="30">
        <f>2191830</f>
        <v>2191830</v>
      </c>
      <c r="U106" s="30">
        <f>210</f>
        <v>210</v>
      </c>
      <c r="V106" s="30">
        <f>51467347250</f>
        <v>51467347250</v>
      </c>
      <c r="W106" s="30">
        <f>5092750</f>
        <v>5092750</v>
      </c>
      <c r="X106" s="34">
        <f>19</f>
        <v>19</v>
      </c>
    </row>
    <row r="107" spans="1:24" ht="13.5" customHeight="1" x14ac:dyDescent="0.15">
      <c r="A107" s="25" t="s">
        <v>989</v>
      </c>
      <c r="B107" s="25" t="s">
        <v>339</v>
      </c>
      <c r="C107" s="25" t="s">
        <v>340</v>
      </c>
      <c r="D107" s="25" t="s">
        <v>341</v>
      </c>
      <c r="E107" s="26" t="s">
        <v>45</v>
      </c>
      <c r="F107" s="27" t="s">
        <v>45</v>
      </c>
      <c r="G107" s="28" t="s">
        <v>45</v>
      </c>
      <c r="H107" s="29"/>
      <c r="I107" s="29" t="s">
        <v>46</v>
      </c>
      <c r="J107" s="30">
        <v>10</v>
      </c>
      <c r="K107" s="31">
        <f>2089.5</f>
        <v>2089.5</v>
      </c>
      <c r="L107" s="32" t="s">
        <v>785</v>
      </c>
      <c r="M107" s="31">
        <f>2106.5</f>
        <v>2106.5</v>
      </c>
      <c r="N107" s="32" t="s">
        <v>78</v>
      </c>
      <c r="O107" s="31">
        <f>1964</f>
        <v>1964</v>
      </c>
      <c r="P107" s="32" t="s">
        <v>791</v>
      </c>
      <c r="Q107" s="31">
        <f>1980</f>
        <v>1980</v>
      </c>
      <c r="R107" s="32" t="s">
        <v>791</v>
      </c>
      <c r="S107" s="33">
        <f>2034.42</f>
        <v>2034.42</v>
      </c>
      <c r="T107" s="30">
        <f>126920</f>
        <v>126920</v>
      </c>
      <c r="U107" s="30">
        <f>9020</f>
        <v>9020</v>
      </c>
      <c r="V107" s="30">
        <f>259009630</f>
        <v>259009630</v>
      </c>
      <c r="W107" s="30">
        <f>18589160</f>
        <v>18589160</v>
      </c>
      <c r="X107" s="34">
        <f>19</f>
        <v>19</v>
      </c>
    </row>
    <row r="108" spans="1:24" ht="13.5" customHeight="1" x14ac:dyDescent="0.15">
      <c r="A108" s="25" t="s">
        <v>989</v>
      </c>
      <c r="B108" s="25" t="s">
        <v>342</v>
      </c>
      <c r="C108" s="25" t="s">
        <v>343</v>
      </c>
      <c r="D108" s="25" t="s">
        <v>344</v>
      </c>
      <c r="E108" s="26" t="s">
        <v>45</v>
      </c>
      <c r="F108" s="27" t="s">
        <v>45</v>
      </c>
      <c r="G108" s="28" t="s">
        <v>45</v>
      </c>
      <c r="H108" s="29"/>
      <c r="I108" s="29" t="s">
        <v>46</v>
      </c>
      <c r="J108" s="30">
        <v>1</v>
      </c>
      <c r="K108" s="31">
        <f>12530</f>
        <v>12530</v>
      </c>
      <c r="L108" s="32" t="s">
        <v>785</v>
      </c>
      <c r="M108" s="31">
        <f>14140</f>
        <v>14140</v>
      </c>
      <c r="N108" s="32" t="s">
        <v>786</v>
      </c>
      <c r="O108" s="31">
        <f>12335</f>
        <v>12335</v>
      </c>
      <c r="P108" s="32" t="s">
        <v>785</v>
      </c>
      <c r="Q108" s="31">
        <f>13940</f>
        <v>13940</v>
      </c>
      <c r="R108" s="32" t="s">
        <v>791</v>
      </c>
      <c r="S108" s="33">
        <f>13238.68</f>
        <v>13238.68</v>
      </c>
      <c r="T108" s="30">
        <f>131578333</f>
        <v>131578333</v>
      </c>
      <c r="U108" s="30">
        <f>67759</f>
        <v>67759</v>
      </c>
      <c r="V108" s="30">
        <f>1732325498133</f>
        <v>1732325498133</v>
      </c>
      <c r="W108" s="30">
        <f>888622193</f>
        <v>888622193</v>
      </c>
      <c r="X108" s="34">
        <f>19</f>
        <v>19</v>
      </c>
    </row>
    <row r="109" spans="1:24" ht="13.5" customHeight="1" x14ac:dyDescent="0.15">
      <c r="A109" s="25" t="s">
        <v>989</v>
      </c>
      <c r="B109" s="25" t="s">
        <v>345</v>
      </c>
      <c r="C109" s="25" t="s">
        <v>346</v>
      </c>
      <c r="D109" s="25" t="s">
        <v>347</v>
      </c>
      <c r="E109" s="26" t="s">
        <v>45</v>
      </c>
      <c r="F109" s="27" t="s">
        <v>45</v>
      </c>
      <c r="G109" s="28" t="s">
        <v>45</v>
      </c>
      <c r="H109" s="29"/>
      <c r="I109" s="29" t="s">
        <v>46</v>
      </c>
      <c r="J109" s="30">
        <v>1</v>
      </c>
      <c r="K109" s="31">
        <f>1017</f>
        <v>1017</v>
      </c>
      <c r="L109" s="32" t="s">
        <v>785</v>
      </c>
      <c r="M109" s="31">
        <f>1024</f>
        <v>1024</v>
      </c>
      <c r="N109" s="32" t="s">
        <v>785</v>
      </c>
      <c r="O109" s="31">
        <f>953</f>
        <v>953</v>
      </c>
      <c r="P109" s="32" t="s">
        <v>786</v>
      </c>
      <c r="Q109" s="31">
        <f>960</f>
        <v>960</v>
      </c>
      <c r="R109" s="32" t="s">
        <v>791</v>
      </c>
      <c r="S109" s="33">
        <f>986.84</f>
        <v>986.84</v>
      </c>
      <c r="T109" s="30">
        <f>27433985</f>
        <v>27433985</v>
      </c>
      <c r="U109" s="30">
        <f>3706600</f>
        <v>3706600</v>
      </c>
      <c r="V109" s="30">
        <f>27179064798</f>
        <v>27179064798</v>
      </c>
      <c r="W109" s="30">
        <f>3690656928</f>
        <v>3690656928</v>
      </c>
      <c r="X109" s="34">
        <f>19</f>
        <v>19</v>
      </c>
    </row>
    <row r="110" spans="1:24" ht="13.5" customHeight="1" x14ac:dyDescent="0.15">
      <c r="A110" s="25" t="s">
        <v>989</v>
      </c>
      <c r="B110" s="25" t="s">
        <v>348</v>
      </c>
      <c r="C110" s="25" t="s">
        <v>349</v>
      </c>
      <c r="D110" s="25" t="s">
        <v>350</v>
      </c>
      <c r="E110" s="26" t="s">
        <v>45</v>
      </c>
      <c r="F110" s="27" t="s">
        <v>45</v>
      </c>
      <c r="G110" s="28" t="s">
        <v>45</v>
      </c>
      <c r="H110" s="29"/>
      <c r="I110" s="29" t="s">
        <v>46</v>
      </c>
      <c r="J110" s="30">
        <v>10</v>
      </c>
      <c r="K110" s="31">
        <f>4890</f>
        <v>4890</v>
      </c>
      <c r="L110" s="32" t="s">
        <v>785</v>
      </c>
      <c r="M110" s="31">
        <f>6169</f>
        <v>6169</v>
      </c>
      <c r="N110" s="32" t="s">
        <v>893</v>
      </c>
      <c r="O110" s="31">
        <f>4860</f>
        <v>4860</v>
      </c>
      <c r="P110" s="32" t="s">
        <v>785</v>
      </c>
      <c r="Q110" s="31">
        <f>5583</f>
        <v>5583</v>
      </c>
      <c r="R110" s="32" t="s">
        <v>791</v>
      </c>
      <c r="S110" s="33">
        <f>5590.37</f>
        <v>5590.37</v>
      </c>
      <c r="T110" s="30">
        <f>274130</f>
        <v>274130</v>
      </c>
      <c r="U110" s="30">
        <f>280</f>
        <v>280</v>
      </c>
      <c r="V110" s="30">
        <f>1526469870</f>
        <v>1526469870</v>
      </c>
      <c r="W110" s="30">
        <f>1586180</f>
        <v>1586180</v>
      </c>
      <c r="X110" s="34">
        <f>19</f>
        <v>19</v>
      </c>
    </row>
    <row r="111" spans="1:24" ht="13.5" customHeight="1" x14ac:dyDescent="0.15">
      <c r="A111" s="25" t="s">
        <v>989</v>
      </c>
      <c r="B111" s="25" t="s">
        <v>351</v>
      </c>
      <c r="C111" s="25" t="s">
        <v>352</v>
      </c>
      <c r="D111" s="25" t="s">
        <v>353</v>
      </c>
      <c r="E111" s="26" t="s">
        <v>45</v>
      </c>
      <c r="F111" s="27" t="s">
        <v>45</v>
      </c>
      <c r="G111" s="28" t="s">
        <v>45</v>
      </c>
      <c r="H111" s="29"/>
      <c r="I111" s="29" t="s">
        <v>46</v>
      </c>
      <c r="J111" s="30">
        <v>10</v>
      </c>
      <c r="K111" s="31">
        <f>9845</f>
        <v>9845</v>
      </c>
      <c r="L111" s="32" t="s">
        <v>785</v>
      </c>
      <c r="M111" s="31">
        <f>9926</f>
        <v>9926</v>
      </c>
      <c r="N111" s="32" t="s">
        <v>785</v>
      </c>
      <c r="O111" s="31">
        <f>8600</f>
        <v>8600</v>
      </c>
      <c r="P111" s="32" t="s">
        <v>893</v>
      </c>
      <c r="Q111" s="31">
        <f>9117</f>
        <v>9117</v>
      </c>
      <c r="R111" s="32" t="s">
        <v>791</v>
      </c>
      <c r="S111" s="33">
        <f>9148.63</f>
        <v>9148.6299999999992</v>
      </c>
      <c r="T111" s="30">
        <f>24350</f>
        <v>24350</v>
      </c>
      <c r="U111" s="30">
        <f>1140</f>
        <v>1140</v>
      </c>
      <c r="V111" s="30">
        <f>224962180</f>
        <v>224962180</v>
      </c>
      <c r="W111" s="30">
        <f>10566950</f>
        <v>10566950</v>
      </c>
      <c r="X111" s="34">
        <f>19</f>
        <v>19</v>
      </c>
    </row>
    <row r="112" spans="1:24" ht="13.5" customHeight="1" x14ac:dyDescent="0.15">
      <c r="A112" s="25" t="s">
        <v>989</v>
      </c>
      <c r="B112" s="25" t="s">
        <v>354</v>
      </c>
      <c r="C112" s="25" t="s">
        <v>355</v>
      </c>
      <c r="D112" s="25" t="s">
        <v>356</v>
      </c>
      <c r="E112" s="26" t="s">
        <v>45</v>
      </c>
      <c r="F112" s="27" t="s">
        <v>45</v>
      </c>
      <c r="G112" s="28" t="s">
        <v>45</v>
      </c>
      <c r="H112" s="29"/>
      <c r="I112" s="29" t="s">
        <v>46</v>
      </c>
      <c r="J112" s="30">
        <v>1</v>
      </c>
      <c r="K112" s="31">
        <f>24680</f>
        <v>24680</v>
      </c>
      <c r="L112" s="32" t="s">
        <v>785</v>
      </c>
      <c r="M112" s="31">
        <f>25690</f>
        <v>25690</v>
      </c>
      <c r="N112" s="32" t="s">
        <v>791</v>
      </c>
      <c r="O112" s="31">
        <f>24235</f>
        <v>24235</v>
      </c>
      <c r="P112" s="32" t="s">
        <v>78</v>
      </c>
      <c r="Q112" s="31">
        <f>25510</f>
        <v>25510</v>
      </c>
      <c r="R112" s="32" t="s">
        <v>791</v>
      </c>
      <c r="S112" s="33">
        <f>24933.42</f>
        <v>24933.42</v>
      </c>
      <c r="T112" s="30">
        <f>79105</f>
        <v>79105</v>
      </c>
      <c r="U112" s="30">
        <f>32283</f>
        <v>32283</v>
      </c>
      <c r="V112" s="30">
        <f>1968177946</f>
        <v>1968177946</v>
      </c>
      <c r="W112" s="30">
        <f>799446286</f>
        <v>799446286</v>
      </c>
      <c r="X112" s="34">
        <f>19</f>
        <v>19</v>
      </c>
    </row>
    <row r="113" spans="1:24" ht="13.5" customHeight="1" x14ac:dyDescent="0.15">
      <c r="A113" s="25" t="s">
        <v>989</v>
      </c>
      <c r="B113" s="25" t="s">
        <v>357</v>
      </c>
      <c r="C113" s="25" t="s">
        <v>358</v>
      </c>
      <c r="D113" s="25" t="s">
        <v>359</v>
      </c>
      <c r="E113" s="26" t="s">
        <v>45</v>
      </c>
      <c r="F113" s="27" t="s">
        <v>45</v>
      </c>
      <c r="G113" s="28" t="s">
        <v>45</v>
      </c>
      <c r="H113" s="29"/>
      <c r="I113" s="29" t="s">
        <v>46</v>
      </c>
      <c r="J113" s="30">
        <v>1</v>
      </c>
      <c r="K113" s="31">
        <f>2083</f>
        <v>2083</v>
      </c>
      <c r="L113" s="32" t="s">
        <v>785</v>
      </c>
      <c r="M113" s="31">
        <f>2188</f>
        <v>2188</v>
      </c>
      <c r="N113" s="32" t="s">
        <v>786</v>
      </c>
      <c r="O113" s="31">
        <f>2049</f>
        <v>2049</v>
      </c>
      <c r="P113" s="32" t="s">
        <v>876</v>
      </c>
      <c r="Q113" s="31">
        <f>2174</f>
        <v>2174</v>
      </c>
      <c r="R113" s="32" t="s">
        <v>791</v>
      </c>
      <c r="S113" s="33">
        <f>2118.68</f>
        <v>2118.6799999999998</v>
      </c>
      <c r="T113" s="30">
        <f>41534</f>
        <v>41534</v>
      </c>
      <c r="U113" s="30" t="str">
        <f>"－"</f>
        <v>－</v>
      </c>
      <c r="V113" s="30">
        <f>87523124</f>
        <v>87523124</v>
      </c>
      <c r="W113" s="30" t="str">
        <f>"－"</f>
        <v>－</v>
      </c>
      <c r="X113" s="34">
        <f>19</f>
        <v>19</v>
      </c>
    </row>
    <row r="114" spans="1:24" ht="13.5" customHeight="1" x14ac:dyDescent="0.15">
      <c r="A114" s="25" t="s">
        <v>989</v>
      </c>
      <c r="B114" s="25" t="s">
        <v>360</v>
      </c>
      <c r="C114" s="25" t="s">
        <v>361</v>
      </c>
      <c r="D114" s="25" t="s">
        <v>362</v>
      </c>
      <c r="E114" s="26" t="s">
        <v>45</v>
      </c>
      <c r="F114" s="27" t="s">
        <v>45</v>
      </c>
      <c r="G114" s="28" t="s">
        <v>45</v>
      </c>
      <c r="H114" s="29"/>
      <c r="I114" s="29" t="s">
        <v>46</v>
      </c>
      <c r="J114" s="30">
        <v>10</v>
      </c>
      <c r="K114" s="31">
        <f>13410</f>
        <v>13410</v>
      </c>
      <c r="L114" s="32" t="s">
        <v>785</v>
      </c>
      <c r="M114" s="31">
        <f>15125</f>
        <v>15125</v>
      </c>
      <c r="N114" s="32" t="s">
        <v>786</v>
      </c>
      <c r="O114" s="31">
        <f>13190</f>
        <v>13190</v>
      </c>
      <c r="P114" s="32" t="s">
        <v>785</v>
      </c>
      <c r="Q114" s="31">
        <f>14915</f>
        <v>14915</v>
      </c>
      <c r="R114" s="32" t="s">
        <v>791</v>
      </c>
      <c r="S114" s="33">
        <f>14162.11</f>
        <v>14162.11</v>
      </c>
      <c r="T114" s="30">
        <f>16390110</f>
        <v>16390110</v>
      </c>
      <c r="U114" s="30">
        <f>30080</f>
        <v>30080</v>
      </c>
      <c r="V114" s="30">
        <f>232048062700</f>
        <v>232048062700</v>
      </c>
      <c r="W114" s="30">
        <f>433806550</f>
        <v>433806550</v>
      </c>
      <c r="X114" s="34">
        <f>19</f>
        <v>19</v>
      </c>
    </row>
    <row r="115" spans="1:24" ht="13.5" customHeight="1" x14ac:dyDescent="0.15">
      <c r="A115" s="25" t="s">
        <v>989</v>
      </c>
      <c r="B115" s="25" t="s">
        <v>363</v>
      </c>
      <c r="C115" s="25" t="s">
        <v>364</v>
      </c>
      <c r="D115" s="25" t="s">
        <v>365</v>
      </c>
      <c r="E115" s="26" t="s">
        <v>45</v>
      </c>
      <c r="F115" s="27" t="s">
        <v>45</v>
      </c>
      <c r="G115" s="28" t="s">
        <v>45</v>
      </c>
      <c r="H115" s="29"/>
      <c r="I115" s="29" t="s">
        <v>46</v>
      </c>
      <c r="J115" s="30">
        <v>10</v>
      </c>
      <c r="K115" s="31">
        <f>2699.5</f>
        <v>2699.5</v>
      </c>
      <c r="L115" s="32" t="s">
        <v>785</v>
      </c>
      <c r="M115" s="31">
        <f>2718.5</f>
        <v>2718.5</v>
      </c>
      <c r="N115" s="32" t="s">
        <v>785</v>
      </c>
      <c r="O115" s="31">
        <f>2528</f>
        <v>2528</v>
      </c>
      <c r="P115" s="32" t="s">
        <v>786</v>
      </c>
      <c r="Q115" s="31">
        <f>2547.5</f>
        <v>2547.5</v>
      </c>
      <c r="R115" s="32" t="s">
        <v>791</v>
      </c>
      <c r="S115" s="33">
        <f>2620.61</f>
        <v>2620.61</v>
      </c>
      <c r="T115" s="30">
        <f>1056920</f>
        <v>1056920</v>
      </c>
      <c r="U115" s="30">
        <f>602040</f>
        <v>602040</v>
      </c>
      <c r="V115" s="30">
        <f>2724991617</f>
        <v>2724991617</v>
      </c>
      <c r="W115" s="30">
        <f>1535358272</f>
        <v>1535358272</v>
      </c>
      <c r="X115" s="34">
        <f>19</f>
        <v>19</v>
      </c>
    </row>
    <row r="116" spans="1:24" ht="13.5" customHeight="1" x14ac:dyDescent="0.15">
      <c r="A116" s="25" t="s">
        <v>989</v>
      </c>
      <c r="B116" s="25" t="s">
        <v>366</v>
      </c>
      <c r="C116" s="25" t="s">
        <v>367</v>
      </c>
      <c r="D116" s="25" t="s">
        <v>368</v>
      </c>
      <c r="E116" s="26" t="s">
        <v>45</v>
      </c>
      <c r="F116" s="27" t="s">
        <v>45</v>
      </c>
      <c r="G116" s="28" t="s">
        <v>45</v>
      </c>
      <c r="H116" s="29" t="s">
        <v>877</v>
      </c>
      <c r="I116" s="29"/>
      <c r="J116" s="30">
        <v>10</v>
      </c>
      <c r="K116" s="31">
        <f>761</f>
        <v>761</v>
      </c>
      <c r="L116" s="32" t="s">
        <v>785</v>
      </c>
      <c r="M116" s="31">
        <f>997</f>
        <v>997</v>
      </c>
      <c r="N116" s="32" t="s">
        <v>893</v>
      </c>
      <c r="O116" s="31">
        <f>761</f>
        <v>761</v>
      </c>
      <c r="P116" s="32" t="s">
        <v>785</v>
      </c>
      <c r="Q116" s="31">
        <f>951</f>
        <v>951</v>
      </c>
      <c r="R116" s="32" t="s">
        <v>791</v>
      </c>
      <c r="S116" s="33">
        <f>917.77</f>
        <v>917.77</v>
      </c>
      <c r="T116" s="30">
        <f>6790</f>
        <v>6790</v>
      </c>
      <c r="U116" s="30" t="str">
        <f>"－"</f>
        <v>－</v>
      </c>
      <c r="V116" s="30">
        <f>6106555</f>
        <v>6106555</v>
      </c>
      <c r="W116" s="30" t="str">
        <f>"－"</f>
        <v>－</v>
      </c>
      <c r="X116" s="34">
        <f>17</f>
        <v>17</v>
      </c>
    </row>
    <row r="117" spans="1:24" ht="13.5" customHeight="1" x14ac:dyDescent="0.15">
      <c r="A117" s="25" t="s">
        <v>989</v>
      </c>
      <c r="B117" s="25" t="s">
        <v>369</v>
      </c>
      <c r="C117" s="25" t="s">
        <v>370</v>
      </c>
      <c r="D117" s="25" t="s">
        <v>371</v>
      </c>
      <c r="E117" s="26" t="s">
        <v>45</v>
      </c>
      <c r="F117" s="27" t="s">
        <v>45</v>
      </c>
      <c r="G117" s="28" t="s">
        <v>45</v>
      </c>
      <c r="H117" s="29"/>
      <c r="I117" s="29" t="s">
        <v>46</v>
      </c>
      <c r="J117" s="30">
        <v>10</v>
      </c>
      <c r="K117" s="31">
        <f>1465</f>
        <v>1465</v>
      </c>
      <c r="L117" s="32" t="s">
        <v>785</v>
      </c>
      <c r="M117" s="31">
        <f>1532</f>
        <v>1532</v>
      </c>
      <c r="N117" s="32" t="s">
        <v>255</v>
      </c>
      <c r="O117" s="31">
        <f>1454</f>
        <v>1454</v>
      </c>
      <c r="P117" s="32" t="s">
        <v>876</v>
      </c>
      <c r="Q117" s="31">
        <f>1532</f>
        <v>1532</v>
      </c>
      <c r="R117" s="32" t="s">
        <v>255</v>
      </c>
      <c r="S117" s="33">
        <f>1488.25</f>
        <v>1488.25</v>
      </c>
      <c r="T117" s="30">
        <f>2010</f>
        <v>2010</v>
      </c>
      <c r="U117" s="30" t="str">
        <f>"－"</f>
        <v>－</v>
      </c>
      <c r="V117" s="30">
        <f>2962240</f>
        <v>2962240</v>
      </c>
      <c r="W117" s="30" t="str">
        <f>"－"</f>
        <v>－</v>
      </c>
      <c r="X117" s="34">
        <f>8</f>
        <v>8</v>
      </c>
    </row>
    <row r="118" spans="1:24" ht="13.5" customHeight="1" x14ac:dyDescent="0.15">
      <c r="A118" s="25" t="s">
        <v>989</v>
      </c>
      <c r="B118" s="25" t="s">
        <v>372</v>
      </c>
      <c r="C118" s="25" t="s">
        <v>373</v>
      </c>
      <c r="D118" s="25" t="s">
        <v>374</v>
      </c>
      <c r="E118" s="26" t="s">
        <v>45</v>
      </c>
      <c r="F118" s="27" t="s">
        <v>45</v>
      </c>
      <c r="G118" s="28" t="s">
        <v>45</v>
      </c>
      <c r="H118" s="29"/>
      <c r="I118" s="29" t="s">
        <v>46</v>
      </c>
      <c r="J118" s="30">
        <v>1</v>
      </c>
      <c r="K118" s="31">
        <f>1630</f>
        <v>1630</v>
      </c>
      <c r="L118" s="32" t="s">
        <v>785</v>
      </c>
      <c r="M118" s="31">
        <f>1630</f>
        <v>1630</v>
      </c>
      <c r="N118" s="32" t="s">
        <v>785</v>
      </c>
      <c r="O118" s="31">
        <f>1558</f>
        <v>1558</v>
      </c>
      <c r="P118" s="32" t="s">
        <v>792</v>
      </c>
      <c r="Q118" s="31">
        <f>1609</f>
        <v>1609</v>
      </c>
      <c r="R118" s="32" t="s">
        <v>791</v>
      </c>
      <c r="S118" s="33">
        <f>1603.53</f>
        <v>1603.53</v>
      </c>
      <c r="T118" s="30">
        <f>19149</f>
        <v>19149</v>
      </c>
      <c r="U118" s="30" t="str">
        <f>"－"</f>
        <v>－</v>
      </c>
      <c r="V118" s="30">
        <f>30620914</f>
        <v>30620914</v>
      </c>
      <c r="W118" s="30" t="str">
        <f>"－"</f>
        <v>－</v>
      </c>
      <c r="X118" s="34">
        <f>19</f>
        <v>19</v>
      </c>
    </row>
    <row r="119" spans="1:24" ht="13.5" customHeight="1" x14ac:dyDescent="0.15">
      <c r="A119" s="25" t="s">
        <v>989</v>
      </c>
      <c r="B119" s="25" t="s">
        <v>375</v>
      </c>
      <c r="C119" s="25" t="s">
        <v>376</v>
      </c>
      <c r="D119" s="25" t="s">
        <v>377</v>
      </c>
      <c r="E119" s="26" t="s">
        <v>45</v>
      </c>
      <c r="F119" s="27" t="s">
        <v>45</v>
      </c>
      <c r="G119" s="28" t="s">
        <v>45</v>
      </c>
      <c r="H119" s="29"/>
      <c r="I119" s="29" t="s">
        <v>46</v>
      </c>
      <c r="J119" s="30">
        <v>1</v>
      </c>
      <c r="K119" s="31">
        <f>17005</f>
        <v>17005</v>
      </c>
      <c r="L119" s="32" t="s">
        <v>785</v>
      </c>
      <c r="M119" s="31">
        <f>18030</f>
        <v>18030</v>
      </c>
      <c r="N119" s="32" t="s">
        <v>791</v>
      </c>
      <c r="O119" s="31">
        <f>16840</f>
        <v>16840</v>
      </c>
      <c r="P119" s="32" t="s">
        <v>785</v>
      </c>
      <c r="Q119" s="31">
        <f>17865</f>
        <v>17865</v>
      </c>
      <c r="R119" s="32" t="s">
        <v>791</v>
      </c>
      <c r="S119" s="33">
        <f>17453.42</f>
        <v>17453.419999999998</v>
      </c>
      <c r="T119" s="30">
        <f>20115</f>
        <v>20115</v>
      </c>
      <c r="U119" s="30">
        <f>1000</f>
        <v>1000</v>
      </c>
      <c r="V119" s="30">
        <f>353545050</f>
        <v>353545050</v>
      </c>
      <c r="W119" s="30">
        <f>17258200</f>
        <v>17258200</v>
      </c>
      <c r="X119" s="34">
        <f>19</f>
        <v>19</v>
      </c>
    </row>
    <row r="120" spans="1:24" ht="13.5" customHeight="1" x14ac:dyDescent="0.15">
      <c r="A120" s="25" t="s">
        <v>989</v>
      </c>
      <c r="B120" s="25" t="s">
        <v>378</v>
      </c>
      <c r="C120" s="25" t="s">
        <v>379</v>
      </c>
      <c r="D120" s="25" t="s">
        <v>380</v>
      </c>
      <c r="E120" s="26" t="s">
        <v>45</v>
      </c>
      <c r="F120" s="27" t="s">
        <v>45</v>
      </c>
      <c r="G120" s="28" t="s">
        <v>45</v>
      </c>
      <c r="H120" s="29"/>
      <c r="I120" s="29" t="s">
        <v>46</v>
      </c>
      <c r="J120" s="30">
        <v>1</v>
      </c>
      <c r="K120" s="31">
        <f>1575</f>
        <v>1575</v>
      </c>
      <c r="L120" s="32" t="s">
        <v>785</v>
      </c>
      <c r="M120" s="31">
        <f>1642</f>
        <v>1642</v>
      </c>
      <c r="N120" s="32" t="s">
        <v>791</v>
      </c>
      <c r="O120" s="31">
        <f>1537</f>
        <v>1537</v>
      </c>
      <c r="P120" s="32" t="s">
        <v>784</v>
      </c>
      <c r="Q120" s="31">
        <f>1628</f>
        <v>1628</v>
      </c>
      <c r="R120" s="32" t="s">
        <v>791</v>
      </c>
      <c r="S120" s="33">
        <f>1590.21</f>
        <v>1590.21</v>
      </c>
      <c r="T120" s="30">
        <f>100208</f>
        <v>100208</v>
      </c>
      <c r="U120" s="30">
        <f>69001</f>
        <v>69001</v>
      </c>
      <c r="V120" s="30">
        <f>157090578</f>
        <v>157090578</v>
      </c>
      <c r="W120" s="30">
        <f>107538071</f>
        <v>107538071</v>
      </c>
      <c r="X120" s="34">
        <f>19</f>
        <v>19</v>
      </c>
    </row>
    <row r="121" spans="1:24" ht="13.5" customHeight="1" x14ac:dyDescent="0.15">
      <c r="A121" s="25" t="s">
        <v>989</v>
      </c>
      <c r="B121" s="25" t="s">
        <v>381</v>
      </c>
      <c r="C121" s="25" t="s">
        <v>382</v>
      </c>
      <c r="D121" s="25" t="s">
        <v>383</v>
      </c>
      <c r="E121" s="26" t="s">
        <v>45</v>
      </c>
      <c r="F121" s="27" t="s">
        <v>45</v>
      </c>
      <c r="G121" s="28" t="s">
        <v>45</v>
      </c>
      <c r="H121" s="29"/>
      <c r="I121" s="29" t="s">
        <v>46</v>
      </c>
      <c r="J121" s="30">
        <v>1</v>
      </c>
      <c r="K121" s="31">
        <f>17585</f>
        <v>17585</v>
      </c>
      <c r="L121" s="32" t="s">
        <v>785</v>
      </c>
      <c r="M121" s="31">
        <f>18350</f>
        <v>18350</v>
      </c>
      <c r="N121" s="32" t="s">
        <v>791</v>
      </c>
      <c r="O121" s="31">
        <f>17395</f>
        <v>17395</v>
      </c>
      <c r="P121" s="32" t="s">
        <v>785</v>
      </c>
      <c r="Q121" s="31">
        <f>18225</f>
        <v>18225</v>
      </c>
      <c r="R121" s="32" t="s">
        <v>791</v>
      </c>
      <c r="S121" s="33">
        <f>17840.79</f>
        <v>17840.79</v>
      </c>
      <c r="T121" s="30">
        <f>86666</f>
        <v>86666</v>
      </c>
      <c r="U121" s="30">
        <f>46002</f>
        <v>46002</v>
      </c>
      <c r="V121" s="30">
        <f>1554167385</f>
        <v>1554167385</v>
      </c>
      <c r="W121" s="30">
        <f>825046560</f>
        <v>825046560</v>
      </c>
      <c r="X121" s="34">
        <f>19</f>
        <v>19</v>
      </c>
    </row>
    <row r="122" spans="1:24" ht="13.5" customHeight="1" x14ac:dyDescent="0.15">
      <c r="A122" s="25" t="s">
        <v>989</v>
      </c>
      <c r="B122" s="25" t="s">
        <v>384</v>
      </c>
      <c r="C122" s="25" t="s">
        <v>385</v>
      </c>
      <c r="D122" s="25" t="s">
        <v>386</v>
      </c>
      <c r="E122" s="26" t="s">
        <v>45</v>
      </c>
      <c r="F122" s="27" t="s">
        <v>45</v>
      </c>
      <c r="G122" s="28" t="s">
        <v>45</v>
      </c>
      <c r="H122" s="29"/>
      <c r="I122" s="29" t="s">
        <v>46</v>
      </c>
      <c r="J122" s="30">
        <v>10</v>
      </c>
      <c r="K122" s="31">
        <f>1935</f>
        <v>1935</v>
      </c>
      <c r="L122" s="32" t="s">
        <v>785</v>
      </c>
      <c r="M122" s="31">
        <f>1935</f>
        <v>1935</v>
      </c>
      <c r="N122" s="32" t="s">
        <v>785</v>
      </c>
      <c r="O122" s="31">
        <f>1813</f>
        <v>1813</v>
      </c>
      <c r="P122" s="32" t="s">
        <v>80</v>
      </c>
      <c r="Q122" s="31">
        <f>1862</f>
        <v>1862</v>
      </c>
      <c r="R122" s="32" t="s">
        <v>791</v>
      </c>
      <c r="S122" s="33">
        <f>1870.74</f>
        <v>1870.74</v>
      </c>
      <c r="T122" s="30">
        <f>1969550</f>
        <v>1969550</v>
      </c>
      <c r="U122" s="30">
        <f>945000</f>
        <v>945000</v>
      </c>
      <c r="V122" s="30">
        <f>3695146600</f>
        <v>3695146600</v>
      </c>
      <c r="W122" s="30">
        <f>1766448200</f>
        <v>1766448200</v>
      </c>
      <c r="X122" s="34">
        <f>19</f>
        <v>19</v>
      </c>
    </row>
    <row r="123" spans="1:24" ht="13.5" customHeight="1" x14ac:dyDescent="0.15">
      <c r="A123" s="25" t="s">
        <v>989</v>
      </c>
      <c r="B123" s="25" t="s">
        <v>387</v>
      </c>
      <c r="C123" s="25" t="s">
        <v>388</v>
      </c>
      <c r="D123" s="25" t="s">
        <v>389</v>
      </c>
      <c r="E123" s="26" t="s">
        <v>45</v>
      </c>
      <c r="F123" s="27" t="s">
        <v>45</v>
      </c>
      <c r="G123" s="28" t="s">
        <v>45</v>
      </c>
      <c r="H123" s="29"/>
      <c r="I123" s="29" t="s">
        <v>46</v>
      </c>
      <c r="J123" s="30">
        <v>10</v>
      </c>
      <c r="K123" s="31">
        <f>1626</f>
        <v>1626</v>
      </c>
      <c r="L123" s="32" t="s">
        <v>794</v>
      </c>
      <c r="M123" s="31">
        <f>1681</f>
        <v>1681</v>
      </c>
      <c r="N123" s="32" t="s">
        <v>786</v>
      </c>
      <c r="O123" s="31">
        <f>1599</f>
        <v>1599</v>
      </c>
      <c r="P123" s="32" t="s">
        <v>876</v>
      </c>
      <c r="Q123" s="31">
        <f>1681</f>
        <v>1681</v>
      </c>
      <c r="R123" s="32" t="s">
        <v>786</v>
      </c>
      <c r="S123" s="33">
        <f>1637</f>
        <v>1637</v>
      </c>
      <c r="T123" s="30">
        <f>330</f>
        <v>330</v>
      </c>
      <c r="U123" s="30" t="str">
        <f>"－"</f>
        <v>－</v>
      </c>
      <c r="V123" s="30">
        <f>546900</f>
        <v>546900</v>
      </c>
      <c r="W123" s="30" t="str">
        <f>"－"</f>
        <v>－</v>
      </c>
      <c r="X123" s="34">
        <f>4</f>
        <v>4</v>
      </c>
    </row>
    <row r="124" spans="1:24" ht="13.5" customHeight="1" x14ac:dyDescent="0.15">
      <c r="A124" s="25" t="s">
        <v>989</v>
      </c>
      <c r="B124" s="25" t="s">
        <v>390</v>
      </c>
      <c r="C124" s="25" t="s">
        <v>391</v>
      </c>
      <c r="D124" s="25" t="s">
        <v>392</v>
      </c>
      <c r="E124" s="26" t="s">
        <v>45</v>
      </c>
      <c r="F124" s="27" t="s">
        <v>45</v>
      </c>
      <c r="G124" s="28" t="s">
        <v>45</v>
      </c>
      <c r="H124" s="29"/>
      <c r="I124" s="29" t="s">
        <v>46</v>
      </c>
      <c r="J124" s="30">
        <v>10</v>
      </c>
      <c r="K124" s="31">
        <f>1941</f>
        <v>1941</v>
      </c>
      <c r="L124" s="32" t="s">
        <v>785</v>
      </c>
      <c r="M124" s="31">
        <f>1941</f>
        <v>1941</v>
      </c>
      <c r="N124" s="32" t="s">
        <v>785</v>
      </c>
      <c r="O124" s="31">
        <f>1830</f>
        <v>1830</v>
      </c>
      <c r="P124" s="32" t="s">
        <v>80</v>
      </c>
      <c r="Q124" s="31">
        <f>1881</f>
        <v>1881</v>
      </c>
      <c r="R124" s="32" t="s">
        <v>791</v>
      </c>
      <c r="S124" s="33">
        <f>1886.82</f>
        <v>1886.82</v>
      </c>
      <c r="T124" s="30">
        <f>3855840</f>
        <v>3855840</v>
      </c>
      <c r="U124" s="30">
        <f>2974490</f>
        <v>2974490</v>
      </c>
      <c r="V124" s="30">
        <f>7281595336</f>
        <v>7281595336</v>
      </c>
      <c r="W124" s="30">
        <f>5615905926</f>
        <v>5615905926</v>
      </c>
      <c r="X124" s="34">
        <f>19</f>
        <v>19</v>
      </c>
    </row>
    <row r="125" spans="1:24" ht="13.5" customHeight="1" x14ac:dyDescent="0.15">
      <c r="A125" s="25" t="s">
        <v>989</v>
      </c>
      <c r="B125" s="25" t="s">
        <v>393</v>
      </c>
      <c r="C125" s="25" t="s">
        <v>394</v>
      </c>
      <c r="D125" s="25" t="s">
        <v>395</v>
      </c>
      <c r="E125" s="26" t="s">
        <v>45</v>
      </c>
      <c r="F125" s="27" t="s">
        <v>45</v>
      </c>
      <c r="G125" s="28" t="s">
        <v>45</v>
      </c>
      <c r="H125" s="29"/>
      <c r="I125" s="29" t="s">
        <v>46</v>
      </c>
      <c r="J125" s="30">
        <v>1</v>
      </c>
      <c r="K125" s="31">
        <f>17250</f>
        <v>17250</v>
      </c>
      <c r="L125" s="32" t="s">
        <v>785</v>
      </c>
      <c r="M125" s="31">
        <f>18075</f>
        <v>18075</v>
      </c>
      <c r="N125" s="32" t="s">
        <v>893</v>
      </c>
      <c r="O125" s="31">
        <f>16970</f>
        <v>16970</v>
      </c>
      <c r="P125" s="32" t="s">
        <v>78</v>
      </c>
      <c r="Q125" s="31">
        <f>18005</f>
        <v>18005</v>
      </c>
      <c r="R125" s="32" t="s">
        <v>791</v>
      </c>
      <c r="S125" s="33">
        <f>17616.79</f>
        <v>17616.79</v>
      </c>
      <c r="T125" s="30">
        <f>1760</f>
        <v>1760</v>
      </c>
      <c r="U125" s="30">
        <f>2</f>
        <v>2</v>
      </c>
      <c r="V125" s="30">
        <f>30965070</f>
        <v>30965070</v>
      </c>
      <c r="W125" s="30">
        <f>35970</f>
        <v>35970</v>
      </c>
      <c r="X125" s="34">
        <f>14</f>
        <v>14</v>
      </c>
    </row>
    <row r="126" spans="1:24" ht="13.5" customHeight="1" x14ac:dyDescent="0.15">
      <c r="A126" s="25" t="s">
        <v>989</v>
      </c>
      <c r="B126" s="25" t="s">
        <v>396</v>
      </c>
      <c r="C126" s="25" t="s">
        <v>397</v>
      </c>
      <c r="D126" s="25" t="s">
        <v>398</v>
      </c>
      <c r="E126" s="26" t="s">
        <v>45</v>
      </c>
      <c r="F126" s="27" t="s">
        <v>45</v>
      </c>
      <c r="G126" s="28" t="s">
        <v>45</v>
      </c>
      <c r="H126" s="29"/>
      <c r="I126" s="29" t="s">
        <v>46</v>
      </c>
      <c r="J126" s="30">
        <v>100</v>
      </c>
      <c r="K126" s="31">
        <f>203.1</f>
        <v>203.1</v>
      </c>
      <c r="L126" s="32" t="s">
        <v>785</v>
      </c>
      <c r="M126" s="31">
        <f>222.4</f>
        <v>222.4</v>
      </c>
      <c r="N126" s="32" t="s">
        <v>876</v>
      </c>
      <c r="O126" s="31">
        <f>200</f>
        <v>200</v>
      </c>
      <c r="P126" s="32" t="s">
        <v>875</v>
      </c>
      <c r="Q126" s="31">
        <f>213.6</f>
        <v>213.6</v>
      </c>
      <c r="R126" s="32" t="s">
        <v>791</v>
      </c>
      <c r="S126" s="33">
        <f>211.14</f>
        <v>211.14</v>
      </c>
      <c r="T126" s="30">
        <f>77706400</f>
        <v>77706400</v>
      </c>
      <c r="U126" s="30">
        <f>4313800</f>
        <v>4313800</v>
      </c>
      <c r="V126" s="30">
        <f>16411974255</f>
        <v>16411974255</v>
      </c>
      <c r="W126" s="30">
        <f>894916215</f>
        <v>894916215</v>
      </c>
      <c r="X126" s="34">
        <f>19</f>
        <v>19</v>
      </c>
    </row>
    <row r="127" spans="1:24" ht="13.5" customHeight="1" x14ac:dyDescent="0.15">
      <c r="A127" s="25" t="s">
        <v>989</v>
      </c>
      <c r="B127" s="25" t="s">
        <v>399</v>
      </c>
      <c r="C127" s="25" t="s">
        <v>400</v>
      </c>
      <c r="D127" s="25" t="s">
        <v>401</v>
      </c>
      <c r="E127" s="26" t="s">
        <v>45</v>
      </c>
      <c r="F127" s="27" t="s">
        <v>45</v>
      </c>
      <c r="G127" s="28" t="s">
        <v>45</v>
      </c>
      <c r="H127" s="29"/>
      <c r="I127" s="29" t="s">
        <v>46</v>
      </c>
      <c r="J127" s="30">
        <v>1</v>
      </c>
      <c r="K127" s="31">
        <f>29000</f>
        <v>29000</v>
      </c>
      <c r="L127" s="32" t="s">
        <v>785</v>
      </c>
      <c r="M127" s="31">
        <f>29500</f>
        <v>29500</v>
      </c>
      <c r="N127" s="32" t="s">
        <v>791</v>
      </c>
      <c r="O127" s="31">
        <f>28210</f>
        <v>28210</v>
      </c>
      <c r="P127" s="32" t="s">
        <v>876</v>
      </c>
      <c r="Q127" s="31">
        <f>29395</f>
        <v>29395</v>
      </c>
      <c r="R127" s="32" t="s">
        <v>791</v>
      </c>
      <c r="S127" s="33">
        <f>28779.74</f>
        <v>28779.74</v>
      </c>
      <c r="T127" s="30">
        <f>1811</f>
        <v>1811</v>
      </c>
      <c r="U127" s="30" t="str">
        <f>"－"</f>
        <v>－</v>
      </c>
      <c r="V127" s="30">
        <f>52029565</f>
        <v>52029565</v>
      </c>
      <c r="W127" s="30" t="str">
        <f>"－"</f>
        <v>－</v>
      </c>
      <c r="X127" s="34">
        <f>19</f>
        <v>19</v>
      </c>
    </row>
    <row r="128" spans="1:24" ht="13.5" customHeight="1" x14ac:dyDescent="0.15">
      <c r="A128" s="25" t="s">
        <v>989</v>
      </c>
      <c r="B128" s="25" t="s">
        <v>402</v>
      </c>
      <c r="C128" s="25" t="s">
        <v>403</v>
      </c>
      <c r="D128" s="25" t="s">
        <v>404</v>
      </c>
      <c r="E128" s="26" t="s">
        <v>45</v>
      </c>
      <c r="F128" s="27" t="s">
        <v>45</v>
      </c>
      <c r="G128" s="28" t="s">
        <v>45</v>
      </c>
      <c r="H128" s="29"/>
      <c r="I128" s="29" t="s">
        <v>46</v>
      </c>
      <c r="J128" s="30">
        <v>1</v>
      </c>
      <c r="K128" s="31">
        <f>12545</f>
        <v>12545</v>
      </c>
      <c r="L128" s="32" t="s">
        <v>785</v>
      </c>
      <c r="M128" s="31">
        <f>13650</f>
        <v>13650</v>
      </c>
      <c r="N128" s="32" t="s">
        <v>786</v>
      </c>
      <c r="O128" s="31">
        <f>12260</f>
        <v>12260</v>
      </c>
      <c r="P128" s="32" t="s">
        <v>784</v>
      </c>
      <c r="Q128" s="31">
        <f>13190</f>
        <v>13190</v>
      </c>
      <c r="R128" s="32" t="s">
        <v>791</v>
      </c>
      <c r="S128" s="33">
        <f>13066.58</f>
        <v>13066.58</v>
      </c>
      <c r="T128" s="30">
        <f>5687</f>
        <v>5687</v>
      </c>
      <c r="U128" s="30" t="str">
        <f>"－"</f>
        <v>－</v>
      </c>
      <c r="V128" s="30">
        <f>75011490</f>
        <v>75011490</v>
      </c>
      <c r="W128" s="30" t="str">
        <f>"－"</f>
        <v>－</v>
      </c>
      <c r="X128" s="34">
        <f>19</f>
        <v>19</v>
      </c>
    </row>
    <row r="129" spans="1:24" ht="13.5" customHeight="1" x14ac:dyDescent="0.15">
      <c r="A129" s="25" t="s">
        <v>989</v>
      </c>
      <c r="B129" s="25" t="s">
        <v>405</v>
      </c>
      <c r="C129" s="25" t="s">
        <v>406</v>
      </c>
      <c r="D129" s="25" t="s">
        <v>407</v>
      </c>
      <c r="E129" s="26" t="s">
        <v>45</v>
      </c>
      <c r="F129" s="27" t="s">
        <v>45</v>
      </c>
      <c r="G129" s="28" t="s">
        <v>45</v>
      </c>
      <c r="H129" s="29"/>
      <c r="I129" s="29" t="s">
        <v>46</v>
      </c>
      <c r="J129" s="30">
        <v>1</v>
      </c>
      <c r="K129" s="31">
        <f>20650</f>
        <v>20650</v>
      </c>
      <c r="L129" s="32" t="s">
        <v>785</v>
      </c>
      <c r="M129" s="31">
        <f>21845</f>
        <v>21845</v>
      </c>
      <c r="N129" s="32" t="s">
        <v>791</v>
      </c>
      <c r="O129" s="31">
        <f>20395</f>
        <v>20395</v>
      </c>
      <c r="P129" s="32" t="s">
        <v>78</v>
      </c>
      <c r="Q129" s="31">
        <f>21840</f>
        <v>21840</v>
      </c>
      <c r="R129" s="32" t="s">
        <v>791</v>
      </c>
      <c r="S129" s="33">
        <f>21062.78</f>
        <v>21062.78</v>
      </c>
      <c r="T129" s="30">
        <f>916</f>
        <v>916</v>
      </c>
      <c r="U129" s="30" t="str">
        <f>"－"</f>
        <v>－</v>
      </c>
      <c r="V129" s="30">
        <f>19214105</f>
        <v>19214105</v>
      </c>
      <c r="W129" s="30" t="str">
        <f>"－"</f>
        <v>－</v>
      </c>
      <c r="X129" s="34">
        <f>18</f>
        <v>18</v>
      </c>
    </row>
    <row r="130" spans="1:24" ht="13.5" customHeight="1" x14ac:dyDescent="0.15">
      <c r="A130" s="25" t="s">
        <v>989</v>
      </c>
      <c r="B130" s="25" t="s">
        <v>408</v>
      </c>
      <c r="C130" s="25" t="s">
        <v>409</v>
      </c>
      <c r="D130" s="25" t="s">
        <v>410</v>
      </c>
      <c r="E130" s="26" t="s">
        <v>45</v>
      </c>
      <c r="F130" s="27" t="s">
        <v>45</v>
      </c>
      <c r="G130" s="28" t="s">
        <v>45</v>
      </c>
      <c r="H130" s="29"/>
      <c r="I130" s="29" t="s">
        <v>46</v>
      </c>
      <c r="J130" s="30">
        <v>1</v>
      </c>
      <c r="K130" s="31">
        <f>23580</f>
        <v>23580</v>
      </c>
      <c r="L130" s="32" t="s">
        <v>785</v>
      </c>
      <c r="M130" s="31">
        <f>25185</f>
        <v>25185</v>
      </c>
      <c r="N130" s="32" t="s">
        <v>791</v>
      </c>
      <c r="O130" s="31">
        <f>23300</f>
        <v>23300</v>
      </c>
      <c r="P130" s="32" t="s">
        <v>785</v>
      </c>
      <c r="Q130" s="31">
        <f>25045</f>
        <v>25045</v>
      </c>
      <c r="R130" s="32" t="s">
        <v>791</v>
      </c>
      <c r="S130" s="33">
        <f>24014.74</f>
        <v>24014.74</v>
      </c>
      <c r="T130" s="30">
        <f>3474</f>
        <v>3474</v>
      </c>
      <c r="U130" s="30" t="str">
        <f>"－"</f>
        <v>－</v>
      </c>
      <c r="V130" s="30">
        <f>82878320</f>
        <v>82878320</v>
      </c>
      <c r="W130" s="30" t="str">
        <f>"－"</f>
        <v>－</v>
      </c>
      <c r="X130" s="34">
        <f>19</f>
        <v>19</v>
      </c>
    </row>
    <row r="131" spans="1:24" ht="13.5" customHeight="1" x14ac:dyDescent="0.15">
      <c r="A131" s="25" t="s">
        <v>989</v>
      </c>
      <c r="B131" s="25" t="s">
        <v>411</v>
      </c>
      <c r="C131" s="25" t="s">
        <v>412</v>
      </c>
      <c r="D131" s="25" t="s">
        <v>413</v>
      </c>
      <c r="E131" s="26" t="s">
        <v>45</v>
      </c>
      <c r="F131" s="27" t="s">
        <v>45</v>
      </c>
      <c r="G131" s="28" t="s">
        <v>45</v>
      </c>
      <c r="H131" s="29"/>
      <c r="I131" s="29" t="s">
        <v>46</v>
      </c>
      <c r="J131" s="30">
        <v>1</v>
      </c>
      <c r="K131" s="31">
        <f>25295</f>
        <v>25295</v>
      </c>
      <c r="L131" s="32" t="s">
        <v>785</v>
      </c>
      <c r="M131" s="31">
        <f>25735</f>
        <v>25735</v>
      </c>
      <c r="N131" s="32" t="s">
        <v>789</v>
      </c>
      <c r="O131" s="31">
        <f>24400</f>
        <v>24400</v>
      </c>
      <c r="P131" s="32" t="s">
        <v>56</v>
      </c>
      <c r="Q131" s="31">
        <f>24740</f>
        <v>24740</v>
      </c>
      <c r="R131" s="32" t="s">
        <v>791</v>
      </c>
      <c r="S131" s="33">
        <f>24966.58</f>
        <v>24966.58</v>
      </c>
      <c r="T131" s="30">
        <f>3797</f>
        <v>3797</v>
      </c>
      <c r="U131" s="30" t="str">
        <f>"－"</f>
        <v>－</v>
      </c>
      <c r="V131" s="30">
        <f>94713640</f>
        <v>94713640</v>
      </c>
      <c r="W131" s="30" t="str">
        <f>"－"</f>
        <v>－</v>
      </c>
      <c r="X131" s="34">
        <f>19</f>
        <v>19</v>
      </c>
    </row>
    <row r="132" spans="1:24" ht="13.5" customHeight="1" x14ac:dyDescent="0.15">
      <c r="A132" s="25" t="s">
        <v>989</v>
      </c>
      <c r="B132" s="25" t="s">
        <v>414</v>
      </c>
      <c r="C132" s="25" t="s">
        <v>415</v>
      </c>
      <c r="D132" s="25" t="s">
        <v>416</v>
      </c>
      <c r="E132" s="26" t="s">
        <v>45</v>
      </c>
      <c r="F132" s="27" t="s">
        <v>45</v>
      </c>
      <c r="G132" s="28" t="s">
        <v>45</v>
      </c>
      <c r="H132" s="29"/>
      <c r="I132" s="29" t="s">
        <v>46</v>
      </c>
      <c r="J132" s="30">
        <v>1</v>
      </c>
      <c r="K132" s="31">
        <f>21345</f>
        <v>21345</v>
      </c>
      <c r="L132" s="32" t="s">
        <v>785</v>
      </c>
      <c r="M132" s="31">
        <f>22750</f>
        <v>22750</v>
      </c>
      <c r="N132" s="32" t="s">
        <v>791</v>
      </c>
      <c r="O132" s="31">
        <f>21150</f>
        <v>21150</v>
      </c>
      <c r="P132" s="32" t="s">
        <v>785</v>
      </c>
      <c r="Q132" s="31">
        <f>22660</f>
        <v>22660</v>
      </c>
      <c r="R132" s="32" t="s">
        <v>791</v>
      </c>
      <c r="S132" s="33">
        <f>21987.11</f>
        <v>21987.11</v>
      </c>
      <c r="T132" s="30">
        <f>3337</f>
        <v>3337</v>
      </c>
      <c r="U132" s="30">
        <f>2</f>
        <v>2</v>
      </c>
      <c r="V132" s="30">
        <f>73109565</f>
        <v>73109565</v>
      </c>
      <c r="W132" s="30">
        <f>45140</f>
        <v>45140</v>
      </c>
      <c r="X132" s="34">
        <f>19</f>
        <v>19</v>
      </c>
    </row>
    <row r="133" spans="1:24" ht="13.5" customHeight="1" x14ac:dyDescent="0.15">
      <c r="A133" s="25" t="s">
        <v>989</v>
      </c>
      <c r="B133" s="25" t="s">
        <v>417</v>
      </c>
      <c r="C133" s="25" t="s">
        <v>418</v>
      </c>
      <c r="D133" s="25" t="s">
        <v>419</v>
      </c>
      <c r="E133" s="26" t="s">
        <v>45</v>
      </c>
      <c r="F133" s="27" t="s">
        <v>45</v>
      </c>
      <c r="G133" s="28" t="s">
        <v>45</v>
      </c>
      <c r="H133" s="29"/>
      <c r="I133" s="29" t="s">
        <v>46</v>
      </c>
      <c r="J133" s="30">
        <v>1</v>
      </c>
      <c r="K133" s="31">
        <f>17385</f>
        <v>17385</v>
      </c>
      <c r="L133" s="32" t="s">
        <v>785</v>
      </c>
      <c r="M133" s="31">
        <f>19570</f>
        <v>19570</v>
      </c>
      <c r="N133" s="32" t="s">
        <v>893</v>
      </c>
      <c r="O133" s="31">
        <f>17015</f>
        <v>17015</v>
      </c>
      <c r="P133" s="32" t="s">
        <v>784</v>
      </c>
      <c r="Q133" s="31">
        <f>19255</f>
        <v>19255</v>
      </c>
      <c r="R133" s="32" t="s">
        <v>791</v>
      </c>
      <c r="S133" s="33">
        <f>18461.32</f>
        <v>18461.32</v>
      </c>
      <c r="T133" s="30">
        <f>8563</f>
        <v>8563</v>
      </c>
      <c r="U133" s="30">
        <f>3000</f>
        <v>3000</v>
      </c>
      <c r="V133" s="30">
        <f>163603430</f>
        <v>163603430</v>
      </c>
      <c r="W133" s="30">
        <f>58074000</f>
        <v>58074000</v>
      </c>
      <c r="X133" s="34">
        <f>19</f>
        <v>19</v>
      </c>
    </row>
    <row r="134" spans="1:24" ht="13.5" customHeight="1" x14ac:dyDescent="0.15">
      <c r="A134" s="25" t="s">
        <v>989</v>
      </c>
      <c r="B134" s="25" t="s">
        <v>420</v>
      </c>
      <c r="C134" s="25" t="s">
        <v>421</v>
      </c>
      <c r="D134" s="25" t="s">
        <v>422</v>
      </c>
      <c r="E134" s="26" t="s">
        <v>45</v>
      </c>
      <c r="F134" s="27" t="s">
        <v>45</v>
      </c>
      <c r="G134" s="28" t="s">
        <v>45</v>
      </c>
      <c r="H134" s="29"/>
      <c r="I134" s="29" t="s">
        <v>46</v>
      </c>
      <c r="J134" s="30">
        <v>1</v>
      </c>
      <c r="K134" s="31">
        <f>36080</f>
        <v>36080</v>
      </c>
      <c r="L134" s="32" t="s">
        <v>785</v>
      </c>
      <c r="M134" s="31">
        <f>39760</f>
        <v>39760</v>
      </c>
      <c r="N134" s="32" t="s">
        <v>893</v>
      </c>
      <c r="O134" s="31">
        <f>35690</f>
        <v>35690</v>
      </c>
      <c r="P134" s="32" t="s">
        <v>78</v>
      </c>
      <c r="Q134" s="31">
        <f>39410</f>
        <v>39410</v>
      </c>
      <c r="R134" s="32" t="s">
        <v>791</v>
      </c>
      <c r="S134" s="33">
        <f>37916.84</f>
        <v>37916.839999999997</v>
      </c>
      <c r="T134" s="30">
        <f>7108</f>
        <v>7108</v>
      </c>
      <c r="U134" s="30">
        <f>1</f>
        <v>1</v>
      </c>
      <c r="V134" s="30">
        <f>269155520</f>
        <v>269155520</v>
      </c>
      <c r="W134" s="30">
        <f>39380</f>
        <v>39380</v>
      </c>
      <c r="X134" s="34">
        <f>19</f>
        <v>19</v>
      </c>
    </row>
    <row r="135" spans="1:24" ht="13.5" customHeight="1" x14ac:dyDescent="0.15">
      <c r="A135" s="25" t="s">
        <v>989</v>
      </c>
      <c r="B135" s="25" t="s">
        <v>423</v>
      </c>
      <c r="C135" s="25" t="s">
        <v>424</v>
      </c>
      <c r="D135" s="25" t="s">
        <v>425</v>
      </c>
      <c r="E135" s="26" t="s">
        <v>45</v>
      </c>
      <c r="F135" s="27" t="s">
        <v>45</v>
      </c>
      <c r="G135" s="28" t="s">
        <v>45</v>
      </c>
      <c r="H135" s="29"/>
      <c r="I135" s="29" t="s">
        <v>46</v>
      </c>
      <c r="J135" s="30">
        <v>1</v>
      </c>
      <c r="K135" s="31">
        <f>24610</f>
        <v>24610</v>
      </c>
      <c r="L135" s="32" t="s">
        <v>785</v>
      </c>
      <c r="M135" s="31">
        <f>27500</f>
        <v>27500</v>
      </c>
      <c r="N135" s="32" t="s">
        <v>791</v>
      </c>
      <c r="O135" s="31">
        <f>24375</f>
        <v>24375</v>
      </c>
      <c r="P135" s="32" t="s">
        <v>785</v>
      </c>
      <c r="Q135" s="31">
        <f>27190</f>
        <v>27190</v>
      </c>
      <c r="R135" s="32" t="s">
        <v>791</v>
      </c>
      <c r="S135" s="33">
        <f>26249.74</f>
        <v>26249.74</v>
      </c>
      <c r="T135" s="30">
        <f>6091</f>
        <v>6091</v>
      </c>
      <c r="U135" s="30" t="str">
        <f t="shared" ref="U135:U140" si="2">"－"</f>
        <v>－</v>
      </c>
      <c r="V135" s="30">
        <f>160103285</f>
        <v>160103285</v>
      </c>
      <c r="W135" s="30" t="str">
        <f t="shared" ref="W135:W140" si="3">"－"</f>
        <v>－</v>
      </c>
      <c r="X135" s="34">
        <f>19</f>
        <v>19</v>
      </c>
    </row>
    <row r="136" spans="1:24" ht="13.5" customHeight="1" x14ac:dyDescent="0.15">
      <c r="A136" s="25" t="s">
        <v>989</v>
      </c>
      <c r="B136" s="25" t="s">
        <v>426</v>
      </c>
      <c r="C136" s="25" t="s">
        <v>427</v>
      </c>
      <c r="D136" s="25" t="s">
        <v>428</v>
      </c>
      <c r="E136" s="26" t="s">
        <v>45</v>
      </c>
      <c r="F136" s="27" t="s">
        <v>45</v>
      </c>
      <c r="G136" s="28" t="s">
        <v>45</v>
      </c>
      <c r="H136" s="29"/>
      <c r="I136" s="29" t="s">
        <v>46</v>
      </c>
      <c r="J136" s="30">
        <v>1</v>
      </c>
      <c r="K136" s="31">
        <f>27000</f>
        <v>27000</v>
      </c>
      <c r="L136" s="32" t="s">
        <v>785</v>
      </c>
      <c r="M136" s="31">
        <f>28280</f>
        <v>28280</v>
      </c>
      <c r="N136" s="32" t="s">
        <v>255</v>
      </c>
      <c r="O136" s="31">
        <f>26730</f>
        <v>26730</v>
      </c>
      <c r="P136" s="32" t="s">
        <v>876</v>
      </c>
      <c r="Q136" s="31">
        <f>28165</f>
        <v>28165</v>
      </c>
      <c r="R136" s="32" t="s">
        <v>791</v>
      </c>
      <c r="S136" s="33">
        <f>27437.89</f>
        <v>27437.89</v>
      </c>
      <c r="T136" s="30">
        <f>1037</f>
        <v>1037</v>
      </c>
      <c r="U136" s="30" t="str">
        <f t="shared" si="2"/>
        <v>－</v>
      </c>
      <c r="V136" s="30">
        <f>28380295</f>
        <v>28380295</v>
      </c>
      <c r="W136" s="30" t="str">
        <f t="shared" si="3"/>
        <v>－</v>
      </c>
      <c r="X136" s="34">
        <f>19</f>
        <v>19</v>
      </c>
    </row>
    <row r="137" spans="1:24" ht="13.5" customHeight="1" x14ac:dyDescent="0.15">
      <c r="A137" s="25" t="s">
        <v>989</v>
      </c>
      <c r="B137" s="25" t="s">
        <v>429</v>
      </c>
      <c r="C137" s="25" t="s">
        <v>430</v>
      </c>
      <c r="D137" s="25" t="s">
        <v>431</v>
      </c>
      <c r="E137" s="26" t="s">
        <v>45</v>
      </c>
      <c r="F137" s="27" t="s">
        <v>45</v>
      </c>
      <c r="G137" s="28" t="s">
        <v>45</v>
      </c>
      <c r="H137" s="29"/>
      <c r="I137" s="29" t="s">
        <v>46</v>
      </c>
      <c r="J137" s="30">
        <v>1</v>
      </c>
      <c r="K137" s="31">
        <f>6108</f>
        <v>6108</v>
      </c>
      <c r="L137" s="32" t="s">
        <v>785</v>
      </c>
      <c r="M137" s="31">
        <f>6161</f>
        <v>6161</v>
      </c>
      <c r="N137" s="32" t="s">
        <v>791</v>
      </c>
      <c r="O137" s="31">
        <f>5686</f>
        <v>5686</v>
      </c>
      <c r="P137" s="32" t="s">
        <v>787</v>
      </c>
      <c r="Q137" s="31">
        <f>6161</f>
        <v>6161</v>
      </c>
      <c r="R137" s="32" t="s">
        <v>791</v>
      </c>
      <c r="S137" s="33">
        <f>5853.11</f>
        <v>5853.11</v>
      </c>
      <c r="T137" s="30">
        <f>29440</f>
        <v>29440</v>
      </c>
      <c r="U137" s="30" t="str">
        <f t="shared" si="2"/>
        <v>－</v>
      </c>
      <c r="V137" s="30">
        <f>174127340</f>
        <v>174127340</v>
      </c>
      <c r="W137" s="30" t="str">
        <f t="shared" si="3"/>
        <v>－</v>
      </c>
      <c r="X137" s="34">
        <f>19</f>
        <v>19</v>
      </c>
    </row>
    <row r="138" spans="1:24" ht="13.5" customHeight="1" x14ac:dyDescent="0.15">
      <c r="A138" s="25" t="s">
        <v>989</v>
      </c>
      <c r="B138" s="25" t="s">
        <v>432</v>
      </c>
      <c r="C138" s="25" t="s">
        <v>433</v>
      </c>
      <c r="D138" s="25" t="s">
        <v>434</v>
      </c>
      <c r="E138" s="26" t="s">
        <v>45</v>
      </c>
      <c r="F138" s="27" t="s">
        <v>45</v>
      </c>
      <c r="G138" s="28" t="s">
        <v>45</v>
      </c>
      <c r="H138" s="29"/>
      <c r="I138" s="29" t="s">
        <v>46</v>
      </c>
      <c r="J138" s="30">
        <v>1</v>
      </c>
      <c r="K138" s="31">
        <f>15915</f>
        <v>15915</v>
      </c>
      <c r="L138" s="32" t="s">
        <v>785</v>
      </c>
      <c r="M138" s="31">
        <f>15960</f>
        <v>15960</v>
      </c>
      <c r="N138" s="32" t="s">
        <v>789</v>
      </c>
      <c r="O138" s="31">
        <f>15200</f>
        <v>15200</v>
      </c>
      <c r="P138" s="32" t="s">
        <v>876</v>
      </c>
      <c r="Q138" s="31">
        <f>15775</f>
        <v>15775</v>
      </c>
      <c r="R138" s="32" t="s">
        <v>791</v>
      </c>
      <c r="S138" s="33">
        <f>15556.05</f>
        <v>15556.05</v>
      </c>
      <c r="T138" s="30">
        <f>10800</f>
        <v>10800</v>
      </c>
      <c r="U138" s="30" t="str">
        <f t="shared" si="2"/>
        <v>－</v>
      </c>
      <c r="V138" s="30">
        <f>167579135</f>
        <v>167579135</v>
      </c>
      <c r="W138" s="30" t="str">
        <f t="shared" si="3"/>
        <v>－</v>
      </c>
      <c r="X138" s="34">
        <f>19</f>
        <v>19</v>
      </c>
    </row>
    <row r="139" spans="1:24" ht="13.5" customHeight="1" x14ac:dyDescent="0.15">
      <c r="A139" s="25" t="s">
        <v>989</v>
      </c>
      <c r="B139" s="25" t="s">
        <v>435</v>
      </c>
      <c r="C139" s="25" t="s">
        <v>436</v>
      </c>
      <c r="D139" s="25" t="s">
        <v>437</v>
      </c>
      <c r="E139" s="26" t="s">
        <v>45</v>
      </c>
      <c r="F139" s="27" t="s">
        <v>45</v>
      </c>
      <c r="G139" s="28" t="s">
        <v>45</v>
      </c>
      <c r="H139" s="29"/>
      <c r="I139" s="29" t="s">
        <v>46</v>
      </c>
      <c r="J139" s="30">
        <v>1</v>
      </c>
      <c r="K139" s="31">
        <f>49690</f>
        <v>49690</v>
      </c>
      <c r="L139" s="32" t="s">
        <v>785</v>
      </c>
      <c r="M139" s="31">
        <f>51950</f>
        <v>51950</v>
      </c>
      <c r="N139" s="32" t="s">
        <v>255</v>
      </c>
      <c r="O139" s="31">
        <f>48560</f>
        <v>48560</v>
      </c>
      <c r="P139" s="32" t="s">
        <v>78</v>
      </c>
      <c r="Q139" s="31">
        <f>51230</f>
        <v>51230</v>
      </c>
      <c r="R139" s="32" t="s">
        <v>791</v>
      </c>
      <c r="S139" s="33">
        <f>50166.84</f>
        <v>50166.84</v>
      </c>
      <c r="T139" s="30">
        <f>2873</f>
        <v>2873</v>
      </c>
      <c r="U139" s="30" t="str">
        <f t="shared" si="2"/>
        <v>－</v>
      </c>
      <c r="V139" s="30">
        <f>144243620</f>
        <v>144243620</v>
      </c>
      <c r="W139" s="30" t="str">
        <f t="shared" si="3"/>
        <v>－</v>
      </c>
      <c r="X139" s="34">
        <f>19</f>
        <v>19</v>
      </c>
    </row>
    <row r="140" spans="1:24" ht="13.5" customHeight="1" x14ac:dyDescent="0.15">
      <c r="A140" s="25" t="s">
        <v>989</v>
      </c>
      <c r="B140" s="25" t="s">
        <v>438</v>
      </c>
      <c r="C140" s="25" t="s">
        <v>439</v>
      </c>
      <c r="D140" s="25" t="s">
        <v>440</v>
      </c>
      <c r="E140" s="26" t="s">
        <v>45</v>
      </c>
      <c r="F140" s="27" t="s">
        <v>45</v>
      </c>
      <c r="G140" s="28" t="s">
        <v>45</v>
      </c>
      <c r="H140" s="29"/>
      <c r="I140" s="29" t="s">
        <v>46</v>
      </c>
      <c r="J140" s="30">
        <v>1</v>
      </c>
      <c r="K140" s="31">
        <f>22985</f>
        <v>22985</v>
      </c>
      <c r="L140" s="32" t="s">
        <v>785</v>
      </c>
      <c r="M140" s="31">
        <f>23140</f>
        <v>23140</v>
      </c>
      <c r="N140" s="32" t="s">
        <v>791</v>
      </c>
      <c r="O140" s="31">
        <f>22265</f>
        <v>22265</v>
      </c>
      <c r="P140" s="32" t="s">
        <v>876</v>
      </c>
      <c r="Q140" s="31">
        <f>23135</f>
        <v>23135</v>
      </c>
      <c r="R140" s="32" t="s">
        <v>791</v>
      </c>
      <c r="S140" s="33">
        <f>22728.68</f>
        <v>22728.68</v>
      </c>
      <c r="T140" s="30">
        <f>3275</f>
        <v>3275</v>
      </c>
      <c r="U140" s="30" t="str">
        <f t="shared" si="2"/>
        <v>－</v>
      </c>
      <c r="V140" s="30">
        <f>74171975</f>
        <v>74171975</v>
      </c>
      <c r="W140" s="30" t="str">
        <f t="shared" si="3"/>
        <v>－</v>
      </c>
      <c r="X140" s="34">
        <f>19</f>
        <v>19</v>
      </c>
    </row>
    <row r="141" spans="1:24" ht="13.5" customHeight="1" x14ac:dyDescent="0.15">
      <c r="A141" s="25" t="s">
        <v>989</v>
      </c>
      <c r="B141" s="25" t="s">
        <v>441</v>
      </c>
      <c r="C141" s="25" t="s">
        <v>442</v>
      </c>
      <c r="D141" s="25" t="s">
        <v>443</v>
      </c>
      <c r="E141" s="26" t="s">
        <v>45</v>
      </c>
      <c r="F141" s="27" t="s">
        <v>45</v>
      </c>
      <c r="G141" s="28" t="s">
        <v>45</v>
      </c>
      <c r="H141" s="29"/>
      <c r="I141" s="29" t="s">
        <v>46</v>
      </c>
      <c r="J141" s="30">
        <v>1</v>
      </c>
      <c r="K141" s="31">
        <f>10580</f>
        <v>10580</v>
      </c>
      <c r="L141" s="32" t="s">
        <v>785</v>
      </c>
      <c r="M141" s="31">
        <f>11515</f>
        <v>11515</v>
      </c>
      <c r="N141" s="32" t="s">
        <v>56</v>
      </c>
      <c r="O141" s="31">
        <f>10370</f>
        <v>10370</v>
      </c>
      <c r="P141" s="32" t="s">
        <v>875</v>
      </c>
      <c r="Q141" s="31">
        <f>11125</f>
        <v>11125</v>
      </c>
      <c r="R141" s="32" t="s">
        <v>791</v>
      </c>
      <c r="S141" s="33">
        <f>10947.37</f>
        <v>10947.37</v>
      </c>
      <c r="T141" s="30">
        <f>79136</f>
        <v>79136</v>
      </c>
      <c r="U141" s="30">
        <f>1801</f>
        <v>1801</v>
      </c>
      <c r="V141" s="30">
        <f>871771314</f>
        <v>871771314</v>
      </c>
      <c r="W141" s="30">
        <f>20093034</f>
        <v>20093034</v>
      </c>
      <c r="X141" s="34">
        <f>19</f>
        <v>19</v>
      </c>
    </row>
    <row r="142" spans="1:24" ht="13.5" customHeight="1" x14ac:dyDescent="0.15">
      <c r="A142" s="25" t="s">
        <v>989</v>
      </c>
      <c r="B142" s="25" t="s">
        <v>444</v>
      </c>
      <c r="C142" s="25" t="s">
        <v>445</v>
      </c>
      <c r="D142" s="25" t="s">
        <v>446</v>
      </c>
      <c r="E142" s="26" t="s">
        <v>45</v>
      </c>
      <c r="F142" s="27" t="s">
        <v>45</v>
      </c>
      <c r="G142" s="28" t="s">
        <v>45</v>
      </c>
      <c r="H142" s="29"/>
      <c r="I142" s="29" t="s">
        <v>46</v>
      </c>
      <c r="J142" s="30">
        <v>1</v>
      </c>
      <c r="K142" s="31">
        <f>15380</f>
        <v>15380</v>
      </c>
      <c r="L142" s="32" t="s">
        <v>785</v>
      </c>
      <c r="M142" s="31">
        <f>15900</f>
        <v>15900</v>
      </c>
      <c r="N142" s="32" t="s">
        <v>791</v>
      </c>
      <c r="O142" s="31">
        <f>15100</f>
        <v>15100</v>
      </c>
      <c r="P142" s="32" t="s">
        <v>875</v>
      </c>
      <c r="Q142" s="31">
        <f>15710</f>
        <v>15710</v>
      </c>
      <c r="R142" s="32" t="s">
        <v>791</v>
      </c>
      <c r="S142" s="33">
        <f>15517.37</f>
        <v>15517.37</v>
      </c>
      <c r="T142" s="30">
        <f>5483</f>
        <v>5483</v>
      </c>
      <c r="U142" s="30">
        <f>3500</f>
        <v>3500</v>
      </c>
      <c r="V142" s="30">
        <f>85138750</f>
        <v>85138750</v>
      </c>
      <c r="W142" s="30">
        <f>54462450</f>
        <v>54462450</v>
      </c>
      <c r="X142" s="34">
        <f>19</f>
        <v>19</v>
      </c>
    </row>
    <row r="143" spans="1:24" ht="13.5" customHeight="1" x14ac:dyDescent="0.15">
      <c r="A143" s="25" t="s">
        <v>989</v>
      </c>
      <c r="B143" s="25" t="s">
        <v>447</v>
      </c>
      <c r="C143" s="25" t="s">
        <v>448</v>
      </c>
      <c r="D143" s="25" t="s">
        <v>449</v>
      </c>
      <c r="E143" s="26" t="s">
        <v>45</v>
      </c>
      <c r="F143" s="27" t="s">
        <v>45</v>
      </c>
      <c r="G143" s="28" t="s">
        <v>45</v>
      </c>
      <c r="H143" s="29"/>
      <c r="I143" s="29" t="s">
        <v>46</v>
      </c>
      <c r="J143" s="30">
        <v>1</v>
      </c>
      <c r="K143" s="31">
        <f>28160</f>
        <v>28160</v>
      </c>
      <c r="L143" s="32" t="s">
        <v>785</v>
      </c>
      <c r="M143" s="31">
        <f>28815</f>
        <v>28815</v>
      </c>
      <c r="N143" s="32" t="s">
        <v>255</v>
      </c>
      <c r="O143" s="31">
        <f>26975</f>
        <v>26975</v>
      </c>
      <c r="P143" s="32" t="s">
        <v>876</v>
      </c>
      <c r="Q143" s="31">
        <f>28200</f>
        <v>28200</v>
      </c>
      <c r="R143" s="32" t="s">
        <v>791</v>
      </c>
      <c r="S143" s="33">
        <f>27846.32</f>
        <v>27846.32</v>
      </c>
      <c r="T143" s="30">
        <f>1985</f>
        <v>1985</v>
      </c>
      <c r="U143" s="30" t="str">
        <f>"－"</f>
        <v>－</v>
      </c>
      <c r="V143" s="30">
        <f>55319620</f>
        <v>55319620</v>
      </c>
      <c r="W143" s="30" t="str">
        <f>"－"</f>
        <v>－</v>
      </c>
      <c r="X143" s="34">
        <f>19</f>
        <v>19</v>
      </c>
    </row>
    <row r="144" spans="1:24" ht="13.5" customHeight="1" x14ac:dyDescent="0.15">
      <c r="A144" s="25" t="s">
        <v>989</v>
      </c>
      <c r="B144" s="25" t="s">
        <v>450</v>
      </c>
      <c r="C144" s="25" t="s">
        <v>451</v>
      </c>
      <c r="D144" s="25" t="s">
        <v>452</v>
      </c>
      <c r="E144" s="26" t="s">
        <v>45</v>
      </c>
      <c r="F144" s="27" t="s">
        <v>45</v>
      </c>
      <c r="G144" s="28" t="s">
        <v>45</v>
      </c>
      <c r="H144" s="29"/>
      <c r="I144" s="29" t="s">
        <v>46</v>
      </c>
      <c r="J144" s="30">
        <v>10</v>
      </c>
      <c r="K144" s="31">
        <f>1264.5</f>
        <v>1264.5</v>
      </c>
      <c r="L144" s="32" t="s">
        <v>785</v>
      </c>
      <c r="M144" s="31">
        <f>1329.5</f>
        <v>1329.5</v>
      </c>
      <c r="N144" s="32" t="s">
        <v>893</v>
      </c>
      <c r="O144" s="31">
        <f>1255</f>
        <v>1255</v>
      </c>
      <c r="P144" s="32" t="s">
        <v>785</v>
      </c>
      <c r="Q144" s="31">
        <f>1312</f>
        <v>1312</v>
      </c>
      <c r="R144" s="32" t="s">
        <v>791</v>
      </c>
      <c r="S144" s="33">
        <f>1289.05</f>
        <v>1289.05</v>
      </c>
      <c r="T144" s="30">
        <f>597990</f>
        <v>597990</v>
      </c>
      <c r="U144" s="30">
        <f>120000</f>
        <v>120000</v>
      </c>
      <c r="V144" s="30">
        <f>760159275</f>
        <v>760159275</v>
      </c>
      <c r="W144" s="30">
        <f>151879980</f>
        <v>151879980</v>
      </c>
      <c r="X144" s="34">
        <f>19</f>
        <v>19</v>
      </c>
    </row>
    <row r="145" spans="1:24" ht="13.5" customHeight="1" x14ac:dyDescent="0.15">
      <c r="A145" s="25" t="s">
        <v>989</v>
      </c>
      <c r="B145" s="25" t="s">
        <v>453</v>
      </c>
      <c r="C145" s="25" t="s">
        <v>454</v>
      </c>
      <c r="D145" s="25" t="s">
        <v>455</v>
      </c>
      <c r="E145" s="26" t="s">
        <v>45</v>
      </c>
      <c r="F145" s="27" t="s">
        <v>45</v>
      </c>
      <c r="G145" s="28" t="s">
        <v>45</v>
      </c>
      <c r="H145" s="29"/>
      <c r="I145" s="29" t="s">
        <v>46</v>
      </c>
      <c r="J145" s="30">
        <v>10</v>
      </c>
      <c r="K145" s="31">
        <f>2231</f>
        <v>2231</v>
      </c>
      <c r="L145" s="32" t="s">
        <v>785</v>
      </c>
      <c r="M145" s="31">
        <f>2315</f>
        <v>2315</v>
      </c>
      <c r="N145" s="32" t="s">
        <v>255</v>
      </c>
      <c r="O145" s="31">
        <f>2187</f>
        <v>2187</v>
      </c>
      <c r="P145" s="32" t="s">
        <v>78</v>
      </c>
      <c r="Q145" s="31">
        <f>2315</f>
        <v>2315</v>
      </c>
      <c r="R145" s="32" t="s">
        <v>255</v>
      </c>
      <c r="S145" s="33">
        <f>2235.11</f>
        <v>2235.11</v>
      </c>
      <c r="T145" s="30">
        <f>15480</f>
        <v>15480</v>
      </c>
      <c r="U145" s="30" t="str">
        <f>"－"</f>
        <v>－</v>
      </c>
      <c r="V145" s="30">
        <f>34327370</f>
        <v>34327370</v>
      </c>
      <c r="W145" s="30" t="str">
        <f>"－"</f>
        <v>－</v>
      </c>
      <c r="X145" s="34">
        <f>9</f>
        <v>9</v>
      </c>
    </row>
    <row r="146" spans="1:24" ht="13.5" customHeight="1" x14ac:dyDescent="0.15">
      <c r="A146" s="25" t="s">
        <v>989</v>
      </c>
      <c r="B146" s="25" t="s">
        <v>456</v>
      </c>
      <c r="C146" s="25" t="s">
        <v>457</v>
      </c>
      <c r="D146" s="25" t="s">
        <v>458</v>
      </c>
      <c r="E146" s="26" t="s">
        <v>45</v>
      </c>
      <c r="F146" s="27" t="s">
        <v>45</v>
      </c>
      <c r="G146" s="28" t="s">
        <v>45</v>
      </c>
      <c r="H146" s="29"/>
      <c r="I146" s="29" t="s">
        <v>46</v>
      </c>
      <c r="J146" s="30">
        <v>10</v>
      </c>
      <c r="K146" s="31">
        <f>2405</f>
        <v>2405</v>
      </c>
      <c r="L146" s="32" t="s">
        <v>785</v>
      </c>
      <c r="M146" s="31">
        <f>2505.5</f>
        <v>2505.5</v>
      </c>
      <c r="N146" s="32" t="s">
        <v>791</v>
      </c>
      <c r="O146" s="31">
        <f>2356</f>
        <v>2356</v>
      </c>
      <c r="P146" s="32" t="s">
        <v>78</v>
      </c>
      <c r="Q146" s="31">
        <f>2505.5</f>
        <v>2505.5</v>
      </c>
      <c r="R146" s="32" t="s">
        <v>791</v>
      </c>
      <c r="S146" s="33">
        <f>2432.72</f>
        <v>2432.7199999999998</v>
      </c>
      <c r="T146" s="30">
        <f>57200</f>
        <v>57200</v>
      </c>
      <c r="U146" s="30">
        <f>4180</f>
        <v>4180</v>
      </c>
      <c r="V146" s="30">
        <f>137571731</f>
        <v>137571731</v>
      </c>
      <c r="W146" s="30">
        <f>10007756</f>
        <v>10007756</v>
      </c>
      <c r="X146" s="34">
        <f>16</f>
        <v>16</v>
      </c>
    </row>
    <row r="147" spans="1:24" ht="13.5" customHeight="1" x14ac:dyDescent="0.15">
      <c r="A147" s="25" t="s">
        <v>989</v>
      </c>
      <c r="B147" s="25" t="s">
        <v>459</v>
      </c>
      <c r="C147" s="25" t="s">
        <v>460</v>
      </c>
      <c r="D147" s="25" t="s">
        <v>461</v>
      </c>
      <c r="E147" s="26" t="s">
        <v>45</v>
      </c>
      <c r="F147" s="27" t="s">
        <v>45</v>
      </c>
      <c r="G147" s="28" t="s">
        <v>45</v>
      </c>
      <c r="H147" s="29"/>
      <c r="I147" s="29" t="s">
        <v>46</v>
      </c>
      <c r="J147" s="30">
        <v>10</v>
      </c>
      <c r="K147" s="31">
        <f>1492</f>
        <v>1492</v>
      </c>
      <c r="L147" s="32" t="s">
        <v>785</v>
      </c>
      <c r="M147" s="31">
        <f>1556</f>
        <v>1556</v>
      </c>
      <c r="N147" s="32" t="s">
        <v>791</v>
      </c>
      <c r="O147" s="31">
        <f>1459.5</f>
        <v>1459.5</v>
      </c>
      <c r="P147" s="32" t="s">
        <v>78</v>
      </c>
      <c r="Q147" s="31">
        <f>1556</f>
        <v>1556</v>
      </c>
      <c r="R147" s="32" t="s">
        <v>791</v>
      </c>
      <c r="S147" s="33">
        <f>1495.06</f>
        <v>1495.06</v>
      </c>
      <c r="T147" s="30">
        <f>3440</f>
        <v>3440</v>
      </c>
      <c r="U147" s="30" t="str">
        <f>"－"</f>
        <v>－</v>
      </c>
      <c r="V147" s="30">
        <f>5132430</f>
        <v>5132430</v>
      </c>
      <c r="W147" s="30" t="str">
        <f>"－"</f>
        <v>－</v>
      </c>
      <c r="X147" s="34">
        <f>9</f>
        <v>9</v>
      </c>
    </row>
    <row r="148" spans="1:24" ht="13.5" customHeight="1" x14ac:dyDescent="0.15">
      <c r="A148" s="25" t="s">
        <v>989</v>
      </c>
      <c r="B148" s="25" t="s">
        <v>462</v>
      </c>
      <c r="C148" s="25" t="s">
        <v>463</v>
      </c>
      <c r="D148" s="25" t="s">
        <v>464</v>
      </c>
      <c r="E148" s="26" t="s">
        <v>45</v>
      </c>
      <c r="F148" s="27" t="s">
        <v>45</v>
      </c>
      <c r="G148" s="28" t="s">
        <v>45</v>
      </c>
      <c r="H148" s="29"/>
      <c r="I148" s="29" t="s">
        <v>46</v>
      </c>
      <c r="J148" s="30">
        <v>10</v>
      </c>
      <c r="K148" s="31">
        <f>362.3</f>
        <v>362.3</v>
      </c>
      <c r="L148" s="32" t="s">
        <v>785</v>
      </c>
      <c r="M148" s="31">
        <f>382.1</f>
        <v>382.1</v>
      </c>
      <c r="N148" s="32" t="s">
        <v>893</v>
      </c>
      <c r="O148" s="31">
        <f>360.5</f>
        <v>360.5</v>
      </c>
      <c r="P148" s="32" t="s">
        <v>785</v>
      </c>
      <c r="Q148" s="31">
        <f>377.4</f>
        <v>377.4</v>
      </c>
      <c r="R148" s="32" t="s">
        <v>791</v>
      </c>
      <c r="S148" s="33">
        <f>372.42</f>
        <v>372.42</v>
      </c>
      <c r="T148" s="30">
        <f>52458250</f>
        <v>52458250</v>
      </c>
      <c r="U148" s="30">
        <f>383970</f>
        <v>383970</v>
      </c>
      <c r="V148" s="30">
        <f>19506617028</f>
        <v>19506617028</v>
      </c>
      <c r="W148" s="30">
        <f>145376735</f>
        <v>145376735</v>
      </c>
      <c r="X148" s="34">
        <f>19</f>
        <v>19</v>
      </c>
    </row>
    <row r="149" spans="1:24" ht="13.5" customHeight="1" x14ac:dyDescent="0.15">
      <c r="A149" s="25" t="s">
        <v>989</v>
      </c>
      <c r="B149" s="25" t="s">
        <v>465</v>
      </c>
      <c r="C149" s="25" t="s">
        <v>466</v>
      </c>
      <c r="D149" s="25" t="s">
        <v>467</v>
      </c>
      <c r="E149" s="26" t="s">
        <v>45</v>
      </c>
      <c r="F149" s="27" t="s">
        <v>45</v>
      </c>
      <c r="G149" s="28" t="s">
        <v>45</v>
      </c>
      <c r="H149" s="29"/>
      <c r="I149" s="29" t="s">
        <v>46</v>
      </c>
      <c r="J149" s="30">
        <v>10</v>
      </c>
      <c r="K149" s="31">
        <f>263</f>
        <v>263</v>
      </c>
      <c r="L149" s="32" t="s">
        <v>785</v>
      </c>
      <c r="M149" s="31">
        <f>270.8</f>
        <v>270.8</v>
      </c>
      <c r="N149" s="32" t="s">
        <v>78</v>
      </c>
      <c r="O149" s="31">
        <f>260.1</f>
        <v>260.10000000000002</v>
      </c>
      <c r="P149" s="32" t="s">
        <v>876</v>
      </c>
      <c r="Q149" s="31">
        <f>265.7</f>
        <v>265.7</v>
      </c>
      <c r="R149" s="32" t="s">
        <v>791</v>
      </c>
      <c r="S149" s="33">
        <f>266.06</f>
        <v>266.06</v>
      </c>
      <c r="T149" s="30">
        <f>5584330</f>
        <v>5584330</v>
      </c>
      <c r="U149" s="30">
        <f>3482600</f>
        <v>3482600</v>
      </c>
      <c r="V149" s="30">
        <f>1479965082</f>
        <v>1479965082</v>
      </c>
      <c r="W149" s="30">
        <f>922362784</f>
        <v>922362784</v>
      </c>
      <c r="X149" s="34">
        <f>19</f>
        <v>19</v>
      </c>
    </row>
    <row r="150" spans="1:24" ht="13.5" customHeight="1" x14ac:dyDescent="0.15">
      <c r="A150" s="25" t="s">
        <v>989</v>
      </c>
      <c r="B150" s="25" t="s">
        <v>468</v>
      </c>
      <c r="C150" s="25" t="s">
        <v>469</v>
      </c>
      <c r="D150" s="25" t="s">
        <v>470</v>
      </c>
      <c r="E150" s="26" t="s">
        <v>45</v>
      </c>
      <c r="F150" s="27" t="s">
        <v>45</v>
      </c>
      <c r="G150" s="28" t="s">
        <v>45</v>
      </c>
      <c r="H150" s="29"/>
      <c r="I150" s="29" t="s">
        <v>46</v>
      </c>
      <c r="J150" s="30">
        <v>1</v>
      </c>
      <c r="K150" s="31">
        <f>3190</f>
        <v>3190</v>
      </c>
      <c r="L150" s="32" t="s">
        <v>785</v>
      </c>
      <c r="M150" s="31">
        <f>3375</f>
        <v>3375</v>
      </c>
      <c r="N150" s="32" t="s">
        <v>893</v>
      </c>
      <c r="O150" s="31">
        <f>3170</f>
        <v>3170</v>
      </c>
      <c r="P150" s="32" t="s">
        <v>785</v>
      </c>
      <c r="Q150" s="31">
        <f>3340</f>
        <v>3340</v>
      </c>
      <c r="R150" s="32" t="s">
        <v>791</v>
      </c>
      <c r="S150" s="33">
        <f>3295</f>
        <v>3295</v>
      </c>
      <c r="T150" s="30">
        <f>48578</f>
        <v>48578</v>
      </c>
      <c r="U150" s="30">
        <f>2560</f>
        <v>2560</v>
      </c>
      <c r="V150" s="30">
        <f>159520781</f>
        <v>159520781</v>
      </c>
      <c r="W150" s="30">
        <f>8545971</f>
        <v>8545971</v>
      </c>
      <c r="X150" s="34">
        <f>19</f>
        <v>19</v>
      </c>
    </row>
    <row r="151" spans="1:24" ht="13.5" customHeight="1" x14ac:dyDescent="0.15">
      <c r="A151" s="25" t="s">
        <v>989</v>
      </c>
      <c r="B151" s="25" t="s">
        <v>471</v>
      </c>
      <c r="C151" s="25" t="s">
        <v>472</v>
      </c>
      <c r="D151" s="25" t="s">
        <v>473</v>
      </c>
      <c r="E151" s="26" t="s">
        <v>45</v>
      </c>
      <c r="F151" s="27" t="s">
        <v>45</v>
      </c>
      <c r="G151" s="28" t="s">
        <v>45</v>
      </c>
      <c r="H151" s="29"/>
      <c r="I151" s="29" t="s">
        <v>46</v>
      </c>
      <c r="J151" s="30">
        <v>1</v>
      </c>
      <c r="K151" s="31">
        <f>2116</f>
        <v>2116</v>
      </c>
      <c r="L151" s="32" t="s">
        <v>785</v>
      </c>
      <c r="M151" s="31">
        <f>2300</f>
        <v>2300</v>
      </c>
      <c r="N151" s="32" t="s">
        <v>789</v>
      </c>
      <c r="O151" s="31">
        <f>2093</f>
        <v>2093</v>
      </c>
      <c r="P151" s="32" t="s">
        <v>785</v>
      </c>
      <c r="Q151" s="31">
        <f>2228</f>
        <v>2228</v>
      </c>
      <c r="R151" s="32" t="s">
        <v>791</v>
      </c>
      <c r="S151" s="33">
        <f>2219.95</f>
        <v>2219.9499999999998</v>
      </c>
      <c r="T151" s="30">
        <f>92809</f>
        <v>92809</v>
      </c>
      <c r="U151" s="30" t="str">
        <f>"－"</f>
        <v>－</v>
      </c>
      <c r="V151" s="30">
        <f>206811867</f>
        <v>206811867</v>
      </c>
      <c r="W151" s="30" t="str">
        <f>"－"</f>
        <v>－</v>
      </c>
      <c r="X151" s="34">
        <f>19</f>
        <v>19</v>
      </c>
    </row>
    <row r="152" spans="1:24" ht="13.5" customHeight="1" x14ac:dyDescent="0.15">
      <c r="A152" s="25" t="s">
        <v>989</v>
      </c>
      <c r="B152" s="25" t="s">
        <v>474</v>
      </c>
      <c r="C152" s="25" t="s">
        <v>475</v>
      </c>
      <c r="D152" s="25" t="s">
        <v>476</v>
      </c>
      <c r="E152" s="26" t="s">
        <v>45</v>
      </c>
      <c r="F152" s="27" t="s">
        <v>45</v>
      </c>
      <c r="G152" s="28" t="s">
        <v>45</v>
      </c>
      <c r="H152" s="29"/>
      <c r="I152" s="29" t="s">
        <v>46</v>
      </c>
      <c r="J152" s="30">
        <v>1</v>
      </c>
      <c r="K152" s="31">
        <f>2422</f>
        <v>2422</v>
      </c>
      <c r="L152" s="32" t="s">
        <v>785</v>
      </c>
      <c r="M152" s="31">
        <f>2641</f>
        <v>2641</v>
      </c>
      <c r="N152" s="32" t="s">
        <v>893</v>
      </c>
      <c r="O152" s="31">
        <f>2410</f>
        <v>2410</v>
      </c>
      <c r="P152" s="32" t="s">
        <v>785</v>
      </c>
      <c r="Q152" s="31">
        <f>2610</f>
        <v>2610</v>
      </c>
      <c r="R152" s="32" t="s">
        <v>791</v>
      </c>
      <c r="S152" s="33">
        <f>2533.74</f>
        <v>2533.7399999999998</v>
      </c>
      <c r="T152" s="30">
        <f>128250</f>
        <v>128250</v>
      </c>
      <c r="U152" s="30">
        <f>1</f>
        <v>1</v>
      </c>
      <c r="V152" s="30">
        <f>324873387</f>
        <v>324873387</v>
      </c>
      <c r="W152" s="30">
        <f>2713</f>
        <v>2713</v>
      </c>
      <c r="X152" s="34">
        <f>19</f>
        <v>19</v>
      </c>
    </row>
    <row r="153" spans="1:24" ht="13.5" customHeight="1" x14ac:dyDescent="0.15">
      <c r="A153" s="25" t="s">
        <v>989</v>
      </c>
      <c r="B153" s="25" t="s">
        <v>477</v>
      </c>
      <c r="C153" s="25" t="s">
        <v>478</v>
      </c>
      <c r="D153" s="25" t="s">
        <v>479</v>
      </c>
      <c r="E153" s="26" t="s">
        <v>45</v>
      </c>
      <c r="F153" s="27" t="s">
        <v>45</v>
      </c>
      <c r="G153" s="28" t="s">
        <v>45</v>
      </c>
      <c r="H153" s="29"/>
      <c r="I153" s="29" t="s">
        <v>46</v>
      </c>
      <c r="J153" s="30">
        <v>1</v>
      </c>
      <c r="K153" s="31">
        <f>10805</f>
        <v>10805</v>
      </c>
      <c r="L153" s="32" t="s">
        <v>785</v>
      </c>
      <c r="M153" s="31">
        <f>10810</f>
        <v>10810</v>
      </c>
      <c r="N153" s="32" t="s">
        <v>785</v>
      </c>
      <c r="O153" s="31">
        <f>10070</f>
        <v>10070</v>
      </c>
      <c r="P153" s="32" t="s">
        <v>80</v>
      </c>
      <c r="Q153" s="31">
        <f>10295</f>
        <v>10295</v>
      </c>
      <c r="R153" s="32" t="s">
        <v>791</v>
      </c>
      <c r="S153" s="33">
        <f>10399.47</f>
        <v>10399.469999999999</v>
      </c>
      <c r="T153" s="30">
        <f>52657</f>
        <v>52657</v>
      </c>
      <c r="U153" s="30">
        <f>9731</f>
        <v>9731</v>
      </c>
      <c r="V153" s="30">
        <f>547754182</f>
        <v>547754182</v>
      </c>
      <c r="W153" s="30">
        <f>101064367</f>
        <v>101064367</v>
      </c>
      <c r="X153" s="34">
        <f>19</f>
        <v>19</v>
      </c>
    </row>
    <row r="154" spans="1:24" ht="13.5" customHeight="1" x14ac:dyDescent="0.15">
      <c r="A154" s="25" t="s">
        <v>989</v>
      </c>
      <c r="B154" s="25" t="s">
        <v>480</v>
      </c>
      <c r="C154" s="25" t="s">
        <v>481</v>
      </c>
      <c r="D154" s="25" t="s">
        <v>482</v>
      </c>
      <c r="E154" s="26" t="s">
        <v>45</v>
      </c>
      <c r="F154" s="27" t="s">
        <v>45</v>
      </c>
      <c r="G154" s="28" t="s">
        <v>45</v>
      </c>
      <c r="H154" s="29"/>
      <c r="I154" s="29" t="s">
        <v>46</v>
      </c>
      <c r="J154" s="30">
        <v>1</v>
      </c>
      <c r="K154" s="31">
        <f>2443</f>
        <v>2443</v>
      </c>
      <c r="L154" s="32" t="s">
        <v>785</v>
      </c>
      <c r="M154" s="31">
        <f>2577</f>
        <v>2577</v>
      </c>
      <c r="N154" s="32" t="s">
        <v>788</v>
      </c>
      <c r="O154" s="31">
        <f>2339</f>
        <v>2339</v>
      </c>
      <c r="P154" s="32" t="s">
        <v>784</v>
      </c>
      <c r="Q154" s="31">
        <f>2442</f>
        <v>2442</v>
      </c>
      <c r="R154" s="32" t="s">
        <v>791</v>
      </c>
      <c r="S154" s="33">
        <f>2469.42</f>
        <v>2469.42</v>
      </c>
      <c r="T154" s="30">
        <f>4534475</f>
        <v>4534475</v>
      </c>
      <c r="U154" s="30">
        <f>50</f>
        <v>50</v>
      </c>
      <c r="V154" s="30">
        <f>11182562699</f>
        <v>11182562699</v>
      </c>
      <c r="W154" s="30">
        <f>122075</f>
        <v>122075</v>
      </c>
      <c r="X154" s="34">
        <f>19</f>
        <v>19</v>
      </c>
    </row>
    <row r="155" spans="1:24" ht="13.5" customHeight="1" x14ac:dyDescent="0.15">
      <c r="A155" s="25" t="s">
        <v>989</v>
      </c>
      <c r="B155" s="25" t="s">
        <v>483</v>
      </c>
      <c r="C155" s="25" t="s">
        <v>484</v>
      </c>
      <c r="D155" s="25" t="s">
        <v>485</v>
      </c>
      <c r="E155" s="26" t="s">
        <v>45</v>
      </c>
      <c r="F155" s="27" t="s">
        <v>45</v>
      </c>
      <c r="G155" s="28" t="s">
        <v>45</v>
      </c>
      <c r="H155" s="29"/>
      <c r="I155" s="29" t="s">
        <v>46</v>
      </c>
      <c r="J155" s="30">
        <v>1</v>
      </c>
      <c r="K155" s="31">
        <f>22870</f>
        <v>22870</v>
      </c>
      <c r="L155" s="32" t="s">
        <v>785</v>
      </c>
      <c r="M155" s="31">
        <f>23805</f>
        <v>23805</v>
      </c>
      <c r="N155" s="32" t="s">
        <v>786</v>
      </c>
      <c r="O155" s="31">
        <f>22630</f>
        <v>22630</v>
      </c>
      <c r="P155" s="32" t="s">
        <v>785</v>
      </c>
      <c r="Q155" s="31">
        <f>23555</f>
        <v>23555</v>
      </c>
      <c r="R155" s="32" t="s">
        <v>791</v>
      </c>
      <c r="S155" s="33">
        <f>23315.26</f>
        <v>23315.26</v>
      </c>
      <c r="T155" s="30">
        <f>2296</f>
        <v>2296</v>
      </c>
      <c r="U155" s="30" t="str">
        <f t="shared" ref="U155:U160" si="4">"－"</f>
        <v>－</v>
      </c>
      <c r="V155" s="30">
        <f>53623780</f>
        <v>53623780</v>
      </c>
      <c r="W155" s="30" t="str">
        <f t="shared" ref="W155:W160" si="5">"－"</f>
        <v>－</v>
      </c>
      <c r="X155" s="34">
        <f>19</f>
        <v>19</v>
      </c>
    </row>
    <row r="156" spans="1:24" ht="13.5" customHeight="1" x14ac:dyDescent="0.15">
      <c r="A156" s="25" t="s">
        <v>989</v>
      </c>
      <c r="B156" s="25" t="s">
        <v>486</v>
      </c>
      <c r="C156" s="25" t="s">
        <v>487</v>
      </c>
      <c r="D156" s="25" t="s">
        <v>488</v>
      </c>
      <c r="E156" s="26" t="s">
        <v>45</v>
      </c>
      <c r="F156" s="27" t="s">
        <v>45</v>
      </c>
      <c r="G156" s="28" t="s">
        <v>45</v>
      </c>
      <c r="H156" s="29"/>
      <c r="I156" s="29" t="s">
        <v>46</v>
      </c>
      <c r="J156" s="30">
        <v>10</v>
      </c>
      <c r="K156" s="31">
        <f>2928</f>
        <v>2928</v>
      </c>
      <c r="L156" s="32" t="s">
        <v>785</v>
      </c>
      <c r="M156" s="31">
        <f>2974</f>
        <v>2974</v>
      </c>
      <c r="N156" s="32" t="s">
        <v>876</v>
      </c>
      <c r="O156" s="31">
        <f>2780</f>
        <v>2780</v>
      </c>
      <c r="P156" s="32" t="s">
        <v>790</v>
      </c>
      <c r="Q156" s="31">
        <f>2840.5</f>
        <v>2840.5</v>
      </c>
      <c r="R156" s="32" t="s">
        <v>791</v>
      </c>
      <c r="S156" s="33">
        <f>2872.58</f>
        <v>2872.58</v>
      </c>
      <c r="T156" s="30">
        <f>19910</f>
        <v>19910</v>
      </c>
      <c r="U156" s="30" t="str">
        <f t="shared" si="4"/>
        <v>－</v>
      </c>
      <c r="V156" s="30">
        <f>57332905</f>
        <v>57332905</v>
      </c>
      <c r="W156" s="30" t="str">
        <f t="shared" si="5"/>
        <v>－</v>
      </c>
      <c r="X156" s="34">
        <f>19</f>
        <v>19</v>
      </c>
    </row>
    <row r="157" spans="1:24" ht="13.5" customHeight="1" x14ac:dyDescent="0.15">
      <c r="A157" s="25" t="s">
        <v>989</v>
      </c>
      <c r="B157" s="25" t="s">
        <v>489</v>
      </c>
      <c r="C157" s="25" t="s">
        <v>490</v>
      </c>
      <c r="D157" s="25" t="s">
        <v>491</v>
      </c>
      <c r="E157" s="26" t="s">
        <v>45</v>
      </c>
      <c r="F157" s="27" t="s">
        <v>45</v>
      </c>
      <c r="G157" s="28" t="s">
        <v>45</v>
      </c>
      <c r="H157" s="29"/>
      <c r="I157" s="29" t="s">
        <v>46</v>
      </c>
      <c r="J157" s="30">
        <v>1</v>
      </c>
      <c r="K157" s="31">
        <f>12965</f>
        <v>12965</v>
      </c>
      <c r="L157" s="32" t="s">
        <v>785</v>
      </c>
      <c r="M157" s="31">
        <f>13295</f>
        <v>13295</v>
      </c>
      <c r="N157" s="32" t="s">
        <v>787</v>
      </c>
      <c r="O157" s="31">
        <f>12110</f>
        <v>12110</v>
      </c>
      <c r="P157" s="32" t="s">
        <v>791</v>
      </c>
      <c r="Q157" s="31">
        <f>12215</f>
        <v>12215</v>
      </c>
      <c r="R157" s="32" t="s">
        <v>791</v>
      </c>
      <c r="S157" s="33">
        <f>12743.68</f>
        <v>12743.68</v>
      </c>
      <c r="T157" s="30">
        <f>2338</f>
        <v>2338</v>
      </c>
      <c r="U157" s="30" t="str">
        <f t="shared" si="4"/>
        <v>－</v>
      </c>
      <c r="V157" s="30">
        <f>29564630</f>
        <v>29564630</v>
      </c>
      <c r="W157" s="30" t="str">
        <f t="shared" si="5"/>
        <v>－</v>
      </c>
      <c r="X157" s="34">
        <f>19</f>
        <v>19</v>
      </c>
    </row>
    <row r="158" spans="1:24" ht="13.5" customHeight="1" x14ac:dyDescent="0.15">
      <c r="A158" s="25" t="s">
        <v>989</v>
      </c>
      <c r="B158" s="25" t="s">
        <v>492</v>
      </c>
      <c r="C158" s="25" t="s">
        <v>493</v>
      </c>
      <c r="D158" s="25" t="s">
        <v>494</v>
      </c>
      <c r="E158" s="26" t="s">
        <v>45</v>
      </c>
      <c r="F158" s="27" t="s">
        <v>45</v>
      </c>
      <c r="G158" s="28" t="s">
        <v>45</v>
      </c>
      <c r="H158" s="29"/>
      <c r="I158" s="29" t="s">
        <v>46</v>
      </c>
      <c r="J158" s="30">
        <v>1</v>
      </c>
      <c r="K158" s="31">
        <f>21470</f>
        <v>21470</v>
      </c>
      <c r="L158" s="32" t="s">
        <v>785</v>
      </c>
      <c r="M158" s="31">
        <f>22285</f>
        <v>22285</v>
      </c>
      <c r="N158" s="32" t="s">
        <v>875</v>
      </c>
      <c r="O158" s="31">
        <f>19500</f>
        <v>19500</v>
      </c>
      <c r="P158" s="32" t="s">
        <v>893</v>
      </c>
      <c r="Q158" s="31">
        <f>19905</f>
        <v>19905</v>
      </c>
      <c r="R158" s="32" t="s">
        <v>791</v>
      </c>
      <c r="S158" s="33">
        <f>21117.11</f>
        <v>21117.11</v>
      </c>
      <c r="T158" s="30">
        <f>2496</f>
        <v>2496</v>
      </c>
      <c r="U158" s="30" t="str">
        <f t="shared" si="4"/>
        <v>－</v>
      </c>
      <c r="V158" s="30">
        <f>52011260</f>
        <v>52011260</v>
      </c>
      <c r="W158" s="30" t="str">
        <f t="shared" si="5"/>
        <v>－</v>
      </c>
      <c r="X158" s="34">
        <f>19</f>
        <v>19</v>
      </c>
    </row>
    <row r="159" spans="1:24" ht="13.5" customHeight="1" x14ac:dyDescent="0.15">
      <c r="A159" s="25" t="s">
        <v>989</v>
      </c>
      <c r="B159" s="25" t="s">
        <v>495</v>
      </c>
      <c r="C159" s="25" t="s">
        <v>496</v>
      </c>
      <c r="D159" s="25" t="s">
        <v>497</v>
      </c>
      <c r="E159" s="26" t="s">
        <v>45</v>
      </c>
      <c r="F159" s="27" t="s">
        <v>45</v>
      </c>
      <c r="G159" s="28" t="s">
        <v>45</v>
      </c>
      <c r="H159" s="29"/>
      <c r="I159" s="29" t="s">
        <v>46</v>
      </c>
      <c r="J159" s="30">
        <v>1</v>
      </c>
      <c r="K159" s="31">
        <f>18405</f>
        <v>18405</v>
      </c>
      <c r="L159" s="32" t="s">
        <v>785</v>
      </c>
      <c r="M159" s="31">
        <f>18895</f>
        <v>18895</v>
      </c>
      <c r="N159" s="32" t="s">
        <v>56</v>
      </c>
      <c r="O159" s="31">
        <f>17710</f>
        <v>17710</v>
      </c>
      <c r="P159" s="32" t="s">
        <v>788</v>
      </c>
      <c r="Q159" s="31">
        <f>18005</f>
        <v>18005</v>
      </c>
      <c r="R159" s="32" t="s">
        <v>793</v>
      </c>
      <c r="S159" s="33">
        <f>18266.88</f>
        <v>18266.88</v>
      </c>
      <c r="T159" s="30">
        <f>113</f>
        <v>113</v>
      </c>
      <c r="U159" s="30" t="str">
        <f t="shared" si="4"/>
        <v>－</v>
      </c>
      <c r="V159" s="30">
        <f>2094340</f>
        <v>2094340</v>
      </c>
      <c r="W159" s="30" t="str">
        <f t="shared" si="5"/>
        <v>－</v>
      </c>
      <c r="X159" s="34">
        <f>8</f>
        <v>8</v>
      </c>
    </row>
    <row r="160" spans="1:24" ht="13.5" customHeight="1" x14ac:dyDescent="0.15">
      <c r="A160" s="25" t="s">
        <v>989</v>
      </c>
      <c r="B160" s="25" t="s">
        <v>498</v>
      </c>
      <c r="C160" s="25" t="s">
        <v>499</v>
      </c>
      <c r="D160" s="25" t="s">
        <v>500</v>
      </c>
      <c r="E160" s="26" t="s">
        <v>45</v>
      </c>
      <c r="F160" s="27" t="s">
        <v>45</v>
      </c>
      <c r="G160" s="28" t="s">
        <v>45</v>
      </c>
      <c r="H160" s="29"/>
      <c r="I160" s="29" t="s">
        <v>46</v>
      </c>
      <c r="J160" s="30">
        <v>10</v>
      </c>
      <c r="K160" s="31">
        <f>49490</f>
        <v>49490</v>
      </c>
      <c r="L160" s="32" t="s">
        <v>785</v>
      </c>
      <c r="M160" s="31">
        <f>49490</f>
        <v>49490</v>
      </c>
      <c r="N160" s="32" t="s">
        <v>785</v>
      </c>
      <c r="O160" s="31">
        <f>48000</f>
        <v>48000</v>
      </c>
      <c r="P160" s="32" t="s">
        <v>785</v>
      </c>
      <c r="Q160" s="31">
        <f>48690</f>
        <v>48690</v>
      </c>
      <c r="R160" s="32" t="s">
        <v>791</v>
      </c>
      <c r="S160" s="33">
        <f>48811.58</f>
        <v>48811.58</v>
      </c>
      <c r="T160" s="30">
        <f>5000</f>
        <v>5000</v>
      </c>
      <c r="U160" s="30" t="str">
        <f t="shared" si="4"/>
        <v>－</v>
      </c>
      <c r="V160" s="30">
        <f>243203400</f>
        <v>243203400</v>
      </c>
      <c r="W160" s="30" t="str">
        <f t="shared" si="5"/>
        <v>－</v>
      </c>
      <c r="X160" s="34">
        <f>19</f>
        <v>19</v>
      </c>
    </row>
    <row r="161" spans="1:24" ht="13.5" customHeight="1" x14ac:dyDescent="0.15">
      <c r="A161" s="25" t="s">
        <v>989</v>
      </c>
      <c r="B161" s="25" t="s">
        <v>501</v>
      </c>
      <c r="C161" s="25" t="s">
        <v>502</v>
      </c>
      <c r="D161" s="25" t="s">
        <v>503</v>
      </c>
      <c r="E161" s="26" t="s">
        <v>45</v>
      </c>
      <c r="F161" s="27" t="s">
        <v>45</v>
      </c>
      <c r="G161" s="28" t="s">
        <v>45</v>
      </c>
      <c r="H161" s="29"/>
      <c r="I161" s="29" t="s">
        <v>46</v>
      </c>
      <c r="J161" s="30">
        <v>100</v>
      </c>
      <c r="K161" s="31">
        <f>262</f>
        <v>262</v>
      </c>
      <c r="L161" s="32" t="s">
        <v>785</v>
      </c>
      <c r="M161" s="31">
        <f>263.9</f>
        <v>263.89999999999998</v>
      </c>
      <c r="N161" s="32" t="s">
        <v>78</v>
      </c>
      <c r="O161" s="31">
        <f>250</f>
        <v>250</v>
      </c>
      <c r="P161" s="32" t="s">
        <v>893</v>
      </c>
      <c r="Q161" s="31">
        <f>253.2</f>
        <v>253.2</v>
      </c>
      <c r="R161" s="32" t="s">
        <v>791</v>
      </c>
      <c r="S161" s="33">
        <f>257.94</f>
        <v>257.94</v>
      </c>
      <c r="T161" s="30">
        <f>16808500</f>
        <v>16808500</v>
      </c>
      <c r="U161" s="30">
        <f>211100</f>
        <v>211100</v>
      </c>
      <c r="V161" s="30">
        <f>4342447785</f>
        <v>4342447785</v>
      </c>
      <c r="W161" s="30">
        <f>54159045</f>
        <v>54159045</v>
      </c>
      <c r="X161" s="34">
        <f>19</f>
        <v>19</v>
      </c>
    </row>
    <row r="162" spans="1:24" ht="13.5" customHeight="1" x14ac:dyDescent="0.15">
      <c r="A162" s="25" t="s">
        <v>989</v>
      </c>
      <c r="B162" s="25" t="s">
        <v>504</v>
      </c>
      <c r="C162" s="25" t="s">
        <v>505</v>
      </c>
      <c r="D162" s="25" t="s">
        <v>506</v>
      </c>
      <c r="E162" s="26" t="s">
        <v>45</v>
      </c>
      <c r="F162" s="27" t="s">
        <v>45</v>
      </c>
      <c r="G162" s="28" t="s">
        <v>45</v>
      </c>
      <c r="H162" s="29"/>
      <c r="I162" s="29" t="s">
        <v>46</v>
      </c>
      <c r="J162" s="30">
        <v>10</v>
      </c>
      <c r="K162" s="31">
        <f>37350</f>
        <v>37350</v>
      </c>
      <c r="L162" s="32" t="s">
        <v>785</v>
      </c>
      <c r="M162" s="31">
        <f>38150</f>
        <v>38150</v>
      </c>
      <c r="N162" s="32" t="s">
        <v>787</v>
      </c>
      <c r="O162" s="31">
        <f>36140</f>
        <v>36140</v>
      </c>
      <c r="P162" s="32" t="s">
        <v>80</v>
      </c>
      <c r="Q162" s="31">
        <f>37400</f>
        <v>37400</v>
      </c>
      <c r="R162" s="32" t="s">
        <v>791</v>
      </c>
      <c r="S162" s="33">
        <f>37321.58</f>
        <v>37321.58</v>
      </c>
      <c r="T162" s="30">
        <f>5230</f>
        <v>5230</v>
      </c>
      <c r="U162" s="30" t="str">
        <f>"－"</f>
        <v>－</v>
      </c>
      <c r="V162" s="30">
        <f>194063700</f>
        <v>194063700</v>
      </c>
      <c r="W162" s="30" t="str">
        <f>"－"</f>
        <v>－</v>
      </c>
      <c r="X162" s="34">
        <f>19</f>
        <v>19</v>
      </c>
    </row>
    <row r="163" spans="1:24" ht="13.5" customHeight="1" x14ac:dyDescent="0.15">
      <c r="A163" s="25" t="s">
        <v>989</v>
      </c>
      <c r="B163" s="25" t="s">
        <v>507</v>
      </c>
      <c r="C163" s="25" t="s">
        <v>508</v>
      </c>
      <c r="D163" s="25" t="s">
        <v>509</v>
      </c>
      <c r="E163" s="26" t="s">
        <v>45</v>
      </c>
      <c r="F163" s="27" t="s">
        <v>45</v>
      </c>
      <c r="G163" s="28" t="s">
        <v>45</v>
      </c>
      <c r="H163" s="29"/>
      <c r="I163" s="29" t="s">
        <v>46</v>
      </c>
      <c r="J163" s="30">
        <v>10</v>
      </c>
      <c r="K163" s="31">
        <f>3643</f>
        <v>3643</v>
      </c>
      <c r="L163" s="32" t="s">
        <v>785</v>
      </c>
      <c r="M163" s="31">
        <f>3840</f>
        <v>3840</v>
      </c>
      <c r="N163" s="32" t="s">
        <v>788</v>
      </c>
      <c r="O163" s="31">
        <f>3625</f>
        <v>3625</v>
      </c>
      <c r="P163" s="32" t="s">
        <v>80</v>
      </c>
      <c r="Q163" s="31">
        <f>3777</f>
        <v>3777</v>
      </c>
      <c r="R163" s="32" t="s">
        <v>791</v>
      </c>
      <c r="S163" s="33">
        <f>3746.95</f>
        <v>3746.95</v>
      </c>
      <c r="T163" s="30">
        <f>51480</f>
        <v>51480</v>
      </c>
      <c r="U163" s="30">
        <f>30</f>
        <v>30</v>
      </c>
      <c r="V163" s="30">
        <f>192584490</f>
        <v>192584490</v>
      </c>
      <c r="W163" s="30">
        <f>113590</f>
        <v>113590</v>
      </c>
      <c r="X163" s="34">
        <f>19</f>
        <v>19</v>
      </c>
    </row>
    <row r="164" spans="1:24" ht="13.5" customHeight="1" x14ac:dyDescent="0.15">
      <c r="A164" s="25" t="s">
        <v>989</v>
      </c>
      <c r="B164" s="25" t="s">
        <v>510</v>
      </c>
      <c r="C164" s="25" t="s">
        <v>511</v>
      </c>
      <c r="D164" s="25" t="s">
        <v>512</v>
      </c>
      <c r="E164" s="26" t="s">
        <v>45</v>
      </c>
      <c r="F164" s="27" t="s">
        <v>45</v>
      </c>
      <c r="G164" s="28" t="s">
        <v>45</v>
      </c>
      <c r="H164" s="29"/>
      <c r="I164" s="29" t="s">
        <v>46</v>
      </c>
      <c r="J164" s="30">
        <v>10</v>
      </c>
      <c r="K164" s="31">
        <f>1617</f>
        <v>1617</v>
      </c>
      <c r="L164" s="32" t="s">
        <v>785</v>
      </c>
      <c r="M164" s="31">
        <f>1738.5</f>
        <v>1738.5</v>
      </c>
      <c r="N164" s="32" t="s">
        <v>255</v>
      </c>
      <c r="O164" s="31">
        <f>1600</f>
        <v>1600</v>
      </c>
      <c r="P164" s="32" t="s">
        <v>784</v>
      </c>
      <c r="Q164" s="31">
        <f>1678</f>
        <v>1678</v>
      </c>
      <c r="R164" s="32" t="s">
        <v>791</v>
      </c>
      <c r="S164" s="33">
        <f>1695.42</f>
        <v>1695.42</v>
      </c>
      <c r="T164" s="30">
        <f>163700</f>
        <v>163700</v>
      </c>
      <c r="U164" s="30">
        <f>40</f>
        <v>40</v>
      </c>
      <c r="V164" s="30">
        <f>280314335</f>
        <v>280314335</v>
      </c>
      <c r="W164" s="30">
        <f>69015</f>
        <v>69015</v>
      </c>
      <c r="X164" s="34">
        <f>19</f>
        <v>19</v>
      </c>
    </row>
    <row r="165" spans="1:24" ht="13.5" customHeight="1" x14ac:dyDescent="0.15">
      <c r="A165" s="25" t="s">
        <v>989</v>
      </c>
      <c r="B165" s="25" t="s">
        <v>513</v>
      </c>
      <c r="C165" s="25" t="s">
        <v>514</v>
      </c>
      <c r="D165" s="25" t="s">
        <v>515</v>
      </c>
      <c r="E165" s="26" t="s">
        <v>45</v>
      </c>
      <c r="F165" s="27" t="s">
        <v>45</v>
      </c>
      <c r="G165" s="28" t="s">
        <v>45</v>
      </c>
      <c r="H165" s="29"/>
      <c r="I165" s="29" t="s">
        <v>46</v>
      </c>
      <c r="J165" s="30">
        <v>100</v>
      </c>
      <c r="K165" s="31">
        <f>236</f>
        <v>236</v>
      </c>
      <c r="L165" s="32" t="s">
        <v>785</v>
      </c>
      <c r="M165" s="31">
        <f>239.8</f>
        <v>239.8</v>
      </c>
      <c r="N165" s="32" t="s">
        <v>784</v>
      </c>
      <c r="O165" s="31">
        <f>224.1</f>
        <v>224.1</v>
      </c>
      <c r="P165" s="32" t="s">
        <v>894</v>
      </c>
      <c r="Q165" s="31">
        <f>227.9</f>
        <v>227.9</v>
      </c>
      <c r="R165" s="32" t="s">
        <v>791</v>
      </c>
      <c r="S165" s="33">
        <f>233.67</f>
        <v>233.67</v>
      </c>
      <c r="T165" s="30">
        <f>112000</f>
        <v>112000</v>
      </c>
      <c r="U165" s="30">
        <f>400</f>
        <v>400</v>
      </c>
      <c r="V165" s="30">
        <f>26177850</f>
        <v>26177850</v>
      </c>
      <c r="W165" s="30">
        <f>91390</f>
        <v>91390</v>
      </c>
      <c r="X165" s="34">
        <f>19</f>
        <v>19</v>
      </c>
    </row>
    <row r="166" spans="1:24" ht="13.5" customHeight="1" x14ac:dyDescent="0.15">
      <c r="A166" s="25" t="s">
        <v>989</v>
      </c>
      <c r="B166" s="25" t="s">
        <v>516</v>
      </c>
      <c r="C166" s="25" t="s">
        <v>517</v>
      </c>
      <c r="D166" s="25" t="s">
        <v>518</v>
      </c>
      <c r="E166" s="26" t="s">
        <v>45</v>
      </c>
      <c r="F166" s="27" t="s">
        <v>45</v>
      </c>
      <c r="G166" s="28" t="s">
        <v>45</v>
      </c>
      <c r="H166" s="29"/>
      <c r="I166" s="29" t="s">
        <v>46</v>
      </c>
      <c r="J166" s="30">
        <v>10</v>
      </c>
      <c r="K166" s="31">
        <f>1515.5</f>
        <v>1515.5</v>
      </c>
      <c r="L166" s="32" t="s">
        <v>785</v>
      </c>
      <c r="M166" s="31">
        <f>1541.5</f>
        <v>1541.5</v>
      </c>
      <c r="N166" s="32" t="s">
        <v>78</v>
      </c>
      <c r="O166" s="31">
        <f>1462</f>
        <v>1462</v>
      </c>
      <c r="P166" s="32" t="s">
        <v>876</v>
      </c>
      <c r="Q166" s="31">
        <f>1478</f>
        <v>1478</v>
      </c>
      <c r="R166" s="32" t="s">
        <v>791</v>
      </c>
      <c r="S166" s="33">
        <f>1505.21</f>
        <v>1505.21</v>
      </c>
      <c r="T166" s="30">
        <f>3680</f>
        <v>3680</v>
      </c>
      <c r="U166" s="30" t="str">
        <f t="shared" ref="U166:U173" si="6">"－"</f>
        <v>－</v>
      </c>
      <c r="V166" s="30">
        <f>5557860</f>
        <v>5557860</v>
      </c>
      <c r="W166" s="30" t="str">
        <f t="shared" ref="W166:W173" si="7">"－"</f>
        <v>－</v>
      </c>
      <c r="X166" s="34">
        <f>12</f>
        <v>12</v>
      </c>
    </row>
    <row r="167" spans="1:24" ht="13.5" customHeight="1" x14ac:dyDescent="0.15">
      <c r="A167" s="25" t="s">
        <v>989</v>
      </c>
      <c r="B167" s="25" t="s">
        <v>519</v>
      </c>
      <c r="C167" s="25" t="s">
        <v>520</v>
      </c>
      <c r="D167" s="25" t="s">
        <v>521</v>
      </c>
      <c r="E167" s="26" t="s">
        <v>45</v>
      </c>
      <c r="F167" s="27" t="s">
        <v>45</v>
      </c>
      <c r="G167" s="28" t="s">
        <v>45</v>
      </c>
      <c r="H167" s="29"/>
      <c r="I167" s="29" t="s">
        <v>46</v>
      </c>
      <c r="J167" s="30">
        <v>10</v>
      </c>
      <c r="K167" s="31">
        <f>554.8</f>
        <v>554.79999999999995</v>
      </c>
      <c r="L167" s="32" t="s">
        <v>785</v>
      </c>
      <c r="M167" s="31">
        <f>575</f>
        <v>575</v>
      </c>
      <c r="N167" s="32" t="s">
        <v>793</v>
      </c>
      <c r="O167" s="31">
        <f>519.1</f>
        <v>519.1</v>
      </c>
      <c r="P167" s="32" t="s">
        <v>791</v>
      </c>
      <c r="Q167" s="31">
        <f>528.8</f>
        <v>528.79999999999995</v>
      </c>
      <c r="R167" s="32" t="s">
        <v>791</v>
      </c>
      <c r="S167" s="33">
        <f>548.54</f>
        <v>548.54</v>
      </c>
      <c r="T167" s="30">
        <f>44230</f>
        <v>44230</v>
      </c>
      <c r="U167" s="30" t="str">
        <f t="shared" si="6"/>
        <v>－</v>
      </c>
      <c r="V167" s="30">
        <f>24198697</f>
        <v>24198697</v>
      </c>
      <c r="W167" s="30" t="str">
        <f t="shared" si="7"/>
        <v>－</v>
      </c>
      <c r="X167" s="34">
        <f>19</f>
        <v>19</v>
      </c>
    </row>
    <row r="168" spans="1:24" ht="13.5" customHeight="1" x14ac:dyDescent="0.15">
      <c r="A168" s="25" t="s">
        <v>989</v>
      </c>
      <c r="B168" s="25" t="s">
        <v>522</v>
      </c>
      <c r="C168" s="25" t="s">
        <v>523</v>
      </c>
      <c r="D168" s="25" t="s">
        <v>524</v>
      </c>
      <c r="E168" s="26" t="s">
        <v>45</v>
      </c>
      <c r="F168" s="27" t="s">
        <v>45</v>
      </c>
      <c r="G168" s="28" t="s">
        <v>45</v>
      </c>
      <c r="H168" s="29"/>
      <c r="I168" s="29" t="s">
        <v>46</v>
      </c>
      <c r="J168" s="30">
        <v>10</v>
      </c>
      <c r="K168" s="31">
        <f>2184</f>
        <v>2184</v>
      </c>
      <c r="L168" s="32" t="s">
        <v>785</v>
      </c>
      <c r="M168" s="31">
        <f>2300</f>
        <v>2300</v>
      </c>
      <c r="N168" s="32" t="s">
        <v>789</v>
      </c>
      <c r="O168" s="31">
        <f>2075</f>
        <v>2075</v>
      </c>
      <c r="P168" s="32" t="s">
        <v>784</v>
      </c>
      <c r="Q168" s="31">
        <f>2249</f>
        <v>2249</v>
      </c>
      <c r="R168" s="32" t="s">
        <v>893</v>
      </c>
      <c r="S168" s="33">
        <f>2205.09</f>
        <v>2205.09</v>
      </c>
      <c r="T168" s="30">
        <f>2450</f>
        <v>2450</v>
      </c>
      <c r="U168" s="30" t="str">
        <f t="shared" si="6"/>
        <v>－</v>
      </c>
      <c r="V168" s="30">
        <f>5431850</f>
        <v>5431850</v>
      </c>
      <c r="W168" s="30" t="str">
        <f t="shared" si="7"/>
        <v>－</v>
      </c>
      <c r="X168" s="34">
        <f>17</f>
        <v>17</v>
      </c>
    </row>
    <row r="169" spans="1:24" ht="13.5" customHeight="1" x14ac:dyDescent="0.15">
      <c r="A169" s="25" t="s">
        <v>989</v>
      </c>
      <c r="B169" s="25" t="s">
        <v>525</v>
      </c>
      <c r="C169" s="25" t="s">
        <v>526</v>
      </c>
      <c r="D169" s="25" t="s">
        <v>527</v>
      </c>
      <c r="E169" s="26" t="s">
        <v>45</v>
      </c>
      <c r="F169" s="27" t="s">
        <v>45</v>
      </c>
      <c r="G169" s="28" t="s">
        <v>45</v>
      </c>
      <c r="H169" s="29"/>
      <c r="I169" s="29" t="s">
        <v>46</v>
      </c>
      <c r="J169" s="30">
        <v>10</v>
      </c>
      <c r="K169" s="31">
        <f>873.9</f>
        <v>873.9</v>
      </c>
      <c r="L169" s="32" t="s">
        <v>785</v>
      </c>
      <c r="M169" s="31">
        <f>888</f>
        <v>888</v>
      </c>
      <c r="N169" s="32" t="s">
        <v>791</v>
      </c>
      <c r="O169" s="31">
        <f>839.3</f>
        <v>839.3</v>
      </c>
      <c r="P169" s="32" t="s">
        <v>876</v>
      </c>
      <c r="Q169" s="31">
        <f>884.6</f>
        <v>884.6</v>
      </c>
      <c r="R169" s="32" t="s">
        <v>791</v>
      </c>
      <c r="S169" s="33">
        <f>862.61</f>
        <v>862.61</v>
      </c>
      <c r="T169" s="30">
        <f>33520</f>
        <v>33520</v>
      </c>
      <c r="U169" s="30" t="str">
        <f t="shared" si="6"/>
        <v>－</v>
      </c>
      <c r="V169" s="30">
        <f>29031943</f>
        <v>29031943</v>
      </c>
      <c r="W169" s="30" t="str">
        <f t="shared" si="7"/>
        <v>－</v>
      </c>
      <c r="X169" s="34">
        <f>19</f>
        <v>19</v>
      </c>
    </row>
    <row r="170" spans="1:24" ht="13.5" customHeight="1" x14ac:dyDescent="0.15">
      <c r="A170" s="25" t="s">
        <v>989</v>
      </c>
      <c r="B170" s="25" t="s">
        <v>528</v>
      </c>
      <c r="C170" s="25" t="s">
        <v>529</v>
      </c>
      <c r="D170" s="25" t="s">
        <v>530</v>
      </c>
      <c r="E170" s="26" t="s">
        <v>45</v>
      </c>
      <c r="F170" s="27" t="s">
        <v>45</v>
      </c>
      <c r="G170" s="28" t="s">
        <v>45</v>
      </c>
      <c r="H170" s="29"/>
      <c r="I170" s="29" t="s">
        <v>46</v>
      </c>
      <c r="J170" s="30">
        <v>10</v>
      </c>
      <c r="K170" s="31">
        <f>639.2</f>
        <v>639.20000000000005</v>
      </c>
      <c r="L170" s="32" t="s">
        <v>785</v>
      </c>
      <c r="M170" s="31">
        <f>645</f>
        <v>645</v>
      </c>
      <c r="N170" s="32" t="s">
        <v>788</v>
      </c>
      <c r="O170" s="31">
        <f>616.7</f>
        <v>616.70000000000005</v>
      </c>
      <c r="P170" s="32" t="s">
        <v>876</v>
      </c>
      <c r="Q170" s="31">
        <f>643</f>
        <v>643</v>
      </c>
      <c r="R170" s="32" t="s">
        <v>791</v>
      </c>
      <c r="S170" s="33">
        <f>628.58</f>
        <v>628.58000000000004</v>
      </c>
      <c r="T170" s="30">
        <f>151390</f>
        <v>151390</v>
      </c>
      <c r="U170" s="30" t="str">
        <f t="shared" si="6"/>
        <v>－</v>
      </c>
      <c r="V170" s="30">
        <f>95111524</f>
        <v>95111524</v>
      </c>
      <c r="W170" s="30" t="str">
        <f t="shared" si="7"/>
        <v>－</v>
      </c>
      <c r="X170" s="34">
        <f>19</f>
        <v>19</v>
      </c>
    </row>
    <row r="171" spans="1:24" ht="13.5" customHeight="1" x14ac:dyDescent="0.15">
      <c r="A171" s="25" t="s">
        <v>989</v>
      </c>
      <c r="B171" s="25" t="s">
        <v>531</v>
      </c>
      <c r="C171" s="25" t="s">
        <v>532</v>
      </c>
      <c r="D171" s="25" t="s">
        <v>533</v>
      </c>
      <c r="E171" s="26" t="s">
        <v>45</v>
      </c>
      <c r="F171" s="27" t="s">
        <v>45</v>
      </c>
      <c r="G171" s="28" t="s">
        <v>45</v>
      </c>
      <c r="H171" s="29"/>
      <c r="I171" s="29" t="s">
        <v>46</v>
      </c>
      <c r="J171" s="30">
        <v>100</v>
      </c>
      <c r="K171" s="31">
        <f>2.1</f>
        <v>2.1</v>
      </c>
      <c r="L171" s="32" t="s">
        <v>785</v>
      </c>
      <c r="M171" s="31">
        <f>2.2</f>
        <v>2.2000000000000002</v>
      </c>
      <c r="N171" s="32" t="s">
        <v>785</v>
      </c>
      <c r="O171" s="31">
        <f>1.5</f>
        <v>1.5</v>
      </c>
      <c r="P171" s="32" t="s">
        <v>786</v>
      </c>
      <c r="Q171" s="31">
        <f>1.5</f>
        <v>1.5</v>
      </c>
      <c r="R171" s="32" t="s">
        <v>791</v>
      </c>
      <c r="S171" s="33">
        <f>1.86</f>
        <v>1.86</v>
      </c>
      <c r="T171" s="30">
        <f>1047773100</f>
        <v>1047773100</v>
      </c>
      <c r="U171" s="30" t="str">
        <f t="shared" si="6"/>
        <v>－</v>
      </c>
      <c r="V171" s="30">
        <f>1938848310</f>
        <v>1938848310</v>
      </c>
      <c r="W171" s="30" t="str">
        <f t="shared" si="7"/>
        <v>－</v>
      </c>
      <c r="X171" s="34">
        <f>19</f>
        <v>19</v>
      </c>
    </row>
    <row r="172" spans="1:24" ht="13.5" customHeight="1" x14ac:dyDescent="0.15">
      <c r="A172" s="25" t="s">
        <v>989</v>
      </c>
      <c r="B172" s="25" t="s">
        <v>534</v>
      </c>
      <c r="C172" s="25" t="s">
        <v>535</v>
      </c>
      <c r="D172" s="25" t="s">
        <v>536</v>
      </c>
      <c r="E172" s="26" t="s">
        <v>45</v>
      </c>
      <c r="F172" s="27" t="s">
        <v>45</v>
      </c>
      <c r="G172" s="28" t="s">
        <v>45</v>
      </c>
      <c r="H172" s="29"/>
      <c r="I172" s="29" t="s">
        <v>46</v>
      </c>
      <c r="J172" s="30">
        <v>10</v>
      </c>
      <c r="K172" s="31">
        <f>1173</f>
        <v>1173</v>
      </c>
      <c r="L172" s="32" t="s">
        <v>785</v>
      </c>
      <c r="M172" s="31">
        <f>1234</f>
        <v>1234</v>
      </c>
      <c r="N172" s="32" t="s">
        <v>793</v>
      </c>
      <c r="O172" s="31">
        <f>1119.5</f>
        <v>1119.5</v>
      </c>
      <c r="P172" s="32" t="s">
        <v>784</v>
      </c>
      <c r="Q172" s="31">
        <f>1170.5</f>
        <v>1170.5</v>
      </c>
      <c r="R172" s="32" t="s">
        <v>791</v>
      </c>
      <c r="S172" s="33">
        <f>1180.68</f>
        <v>1180.68</v>
      </c>
      <c r="T172" s="30">
        <f>33040</f>
        <v>33040</v>
      </c>
      <c r="U172" s="30" t="str">
        <f t="shared" si="6"/>
        <v>－</v>
      </c>
      <c r="V172" s="30">
        <f>39026065</f>
        <v>39026065</v>
      </c>
      <c r="W172" s="30" t="str">
        <f t="shared" si="7"/>
        <v>－</v>
      </c>
      <c r="X172" s="34">
        <f>19</f>
        <v>19</v>
      </c>
    </row>
    <row r="173" spans="1:24" ht="13.5" customHeight="1" x14ac:dyDescent="0.15">
      <c r="A173" s="25" t="s">
        <v>989</v>
      </c>
      <c r="B173" s="25" t="s">
        <v>537</v>
      </c>
      <c r="C173" s="25" t="s">
        <v>538</v>
      </c>
      <c r="D173" s="25" t="s">
        <v>539</v>
      </c>
      <c r="E173" s="26" t="s">
        <v>45</v>
      </c>
      <c r="F173" s="27" t="s">
        <v>45</v>
      </c>
      <c r="G173" s="28" t="s">
        <v>45</v>
      </c>
      <c r="H173" s="29"/>
      <c r="I173" s="29" t="s">
        <v>46</v>
      </c>
      <c r="J173" s="30">
        <v>1</v>
      </c>
      <c r="K173" s="31">
        <f>5872</f>
        <v>5872</v>
      </c>
      <c r="L173" s="32" t="s">
        <v>785</v>
      </c>
      <c r="M173" s="31">
        <f>6610</f>
        <v>6610</v>
      </c>
      <c r="N173" s="32" t="s">
        <v>789</v>
      </c>
      <c r="O173" s="31">
        <f>5606</f>
        <v>5606</v>
      </c>
      <c r="P173" s="32" t="s">
        <v>784</v>
      </c>
      <c r="Q173" s="31">
        <f>6179</f>
        <v>6179</v>
      </c>
      <c r="R173" s="32" t="s">
        <v>791</v>
      </c>
      <c r="S173" s="33">
        <f>6113.94</f>
        <v>6113.94</v>
      </c>
      <c r="T173" s="30">
        <f>1112</f>
        <v>1112</v>
      </c>
      <c r="U173" s="30" t="str">
        <f t="shared" si="6"/>
        <v>－</v>
      </c>
      <c r="V173" s="30">
        <f>6888485</f>
        <v>6888485</v>
      </c>
      <c r="W173" s="30" t="str">
        <f t="shared" si="7"/>
        <v>－</v>
      </c>
      <c r="X173" s="34">
        <f>16</f>
        <v>16</v>
      </c>
    </row>
    <row r="174" spans="1:24" ht="13.5" customHeight="1" x14ac:dyDescent="0.15">
      <c r="A174" s="25" t="s">
        <v>989</v>
      </c>
      <c r="B174" s="25" t="s">
        <v>540</v>
      </c>
      <c r="C174" s="25" t="s">
        <v>541</v>
      </c>
      <c r="D174" s="25" t="s">
        <v>542</v>
      </c>
      <c r="E174" s="26" t="s">
        <v>45</v>
      </c>
      <c r="F174" s="27" t="s">
        <v>45</v>
      </c>
      <c r="G174" s="28" t="s">
        <v>45</v>
      </c>
      <c r="H174" s="29"/>
      <c r="I174" s="29" t="s">
        <v>46</v>
      </c>
      <c r="J174" s="30">
        <v>100</v>
      </c>
      <c r="K174" s="31">
        <f>417.4</f>
        <v>417.4</v>
      </c>
      <c r="L174" s="32" t="s">
        <v>785</v>
      </c>
      <c r="M174" s="31">
        <f>473.9</f>
        <v>473.9</v>
      </c>
      <c r="N174" s="32" t="s">
        <v>789</v>
      </c>
      <c r="O174" s="31">
        <f>410.9</f>
        <v>410.9</v>
      </c>
      <c r="P174" s="32" t="s">
        <v>784</v>
      </c>
      <c r="Q174" s="31">
        <f>455</f>
        <v>455</v>
      </c>
      <c r="R174" s="32" t="s">
        <v>791</v>
      </c>
      <c r="S174" s="33">
        <f>450.75</f>
        <v>450.75</v>
      </c>
      <c r="T174" s="30">
        <f>76700</f>
        <v>76700</v>
      </c>
      <c r="U174" s="30">
        <f>200</f>
        <v>200</v>
      </c>
      <c r="V174" s="30">
        <f>34273860</f>
        <v>34273860</v>
      </c>
      <c r="W174" s="30">
        <f>92520</f>
        <v>92520</v>
      </c>
      <c r="X174" s="34">
        <f>19</f>
        <v>19</v>
      </c>
    </row>
    <row r="175" spans="1:24" ht="13.5" customHeight="1" x14ac:dyDescent="0.15">
      <c r="A175" s="25" t="s">
        <v>989</v>
      </c>
      <c r="B175" s="25" t="s">
        <v>543</v>
      </c>
      <c r="C175" s="25" t="s">
        <v>544</v>
      </c>
      <c r="D175" s="25" t="s">
        <v>545</v>
      </c>
      <c r="E175" s="26" t="s">
        <v>45</v>
      </c>
      <c r="F175" s="27" t="s">
        <v>45</v>
      </c>
      <c r="G175" s="28" t="s">
        <v>45</v>
      </c>
      <c r="H175" s="29"/>
      <c r="I175" s="29" t="s">
        <v>46</v>
      </c>
      <c r="J175" s="30">
        <v>10</v>
      </c>
      <c r="K175" s="31">
        <f>4410</f>
        <v>4410</v>
      </c>
      <c r="L175" s="32" t="s">
        <v>785</v>
      </c>
      <c r="M175" s="31">
        <f>4927</f>
        <v>4927</v>
      </c>
      <c r="N175" s="32" t="s">
        <v>793</v>
      </c>
      <c r="O175" s="31">
        <f>4331</f>
        <v>4331</v>
      </c>
      <c r="P175" s="32" t="s">
        <v>784</v>
      </c>
      <c r="Q175" s="31">
        <f>4797</f>
        <v>4797</v>
      </c>
      <c r="R175" s="32" t="s">
        <v>791</v>
      </c>
      <c r="S175" s="33">
        <f>4752</f>
        <v>4752</v>
      </c>
      <c r="T175" s="30">
        <f>47820</f>
        <v>47820</v>
      </c>
      <c r="U175" s="30" t="str">
        <f>"－"</f>
        <v>－</v>
      </c>
      <c r="V175" s="30">
        <f>228121150</f>
        <v>228121150</v>
      </c>
      <c r="W175" s="30" t="str">
        <f>"－"</f>
        <v>－</v>
      </c>
      <c r="X175" s="34">
        <f>19</f>
        <v>19</v>
      </c>
    </row>
    <row r="176" spans="1:24" ht="13.5" customHeight="1" x14ac:dyDescent="0.15">
      <c r="A176" s="25" t="s">
        <v>989</v>
      </c>
      <c r="B176" s="25" t="s">
        <v>546</v>
      </c>
      <c r="C176" s="25" t="s">
        <v>547</v>
      </c>
      <c r="D176" s="25" t="s">
        <v>548</v>
      </c>
      <c r="E176" s="26" t="s">
        <v>45</v>
      </c>
      <c r="F176" s="27" t="s">
        <v>45</v>
      </c>
      <c r="G176" s="28" t="s">
        <v>45</v>
      </c>
      <c r="H176" s="29"/>
      <c r="I176" s="29" t="s">
        <v>46</v>
      </c>
      <c r="J176" s="30">
        <v>10</v>
      </c>
      <c r="K176" s="31">
        <f>3741</f>
        <v>3741</v>
      </c>
      <c r="L176" s="32" t="s">
        <v>785</v>
      </c>
      <c r="M176" s="31">
        <f>3767</f>
        <v>3767</v>
      </c>
      <c r="N176" s="32" t="s">
        <v>785</v>
      </c>
      <c r="O176" s="31">
        <f>3230</f>
        <v>3230</v>
      </c>
      <c r="P176" s="32" t="s">
        <v>787</v>
      </c>
      <c r="Q176" s="31">
        <f>3543</f>
        <v>3543</v>
      </c>
      <c r="R176" s="32" t="s">
        <v>791</v>
      </c>
      <c r="S176" s="33">
        <f>3435.84</f>
        <v>3435.84</v>
      </c>
      <c r="T176" s="30">
        <f>14550</f>
        <v>14550</v>
      </c>
      <c r="U176" s="30" t="str">
        <f>"－"</f>
        <v>－</v>
      </c>
      <c r="V176" s="30">
        <f>50324730</f>
        <v>50324730</v>
      </c>
      <c r="W176" s="30" t="str">
        <f>"－"</f>
        <v>－</v>
      </c>
      <c r="X176" s="34">
        <f>19</f>
        <v>19</v>
      </c>
    </row>
    <row r="177" spans="1:24" ht="13.5" customHeight="1" x14ac:dyDescent="0.15">
      <c r="A177" s="25" t="s">
        <v>989</v>
      </c>
      <c r="B177" s="25" t="s">
        <v>549</v>
      </c>
      <c r="C177" s="25" t="s">
        <v>550</v>
      </c>
      <c r="D177" s="25" t="s">
        <v>551</v>
      </c>
      <c r="E177" s="26" t="s">
        <v>45</v>
      </c>
      <c r="F177" s="27" t="s">
        <v>45</v>
      </c>
      <c r="G177" s="28" t="s">
        <v>45</v>
      </c>
      <c r="H177" s="29"/>
      <c r="I177" s="29" t="s">
        <v>46</v>
      </c>
      <c r="J177" s="30">
        <v>100</v>
      </c>
      <c r="K177" s="31">
        <f>101.8</f>
        <v>101.8</v>
      </c>
      <c r="L177" s="32" t="s">
        <v>785</v>
      </c>
      <c r="M177" s="31">
        <f>101.8</f>
        <v>101.8</v>
      </c>
      <c r="N177" s="32" t="s">
        <v>785</v>
      </c>
      <c r="O177" s="31">
        <f>92.4</f>
        <v>92.4</v>
      </c>
      <c r="P177" s="32" t="s">
        <v>793</v>
      </c>
      <c r="Q177" s="31">
        <f>96.5</f>
        <v>96.5</v>
      </c>
      <c r="R177" s="32" t="s">
        <v>791</v>
      </c>
      <c r="S177" s="33">
        <f>95.58</f>
        <v>95.58</v>
      </c>
      <c r="T177" s="30">
        <f>5862700</f>
        <v>5862700</v>
      </c>
      <c r="U177" s="30" t="str">
        <f>"－"</f>
        <v>－</v>
      </c>
      <c r="V177" s="30">
        <f>562744410</f>
        <v>562744410</v>
      </c>
      <c r="W177" s="30" t="str">
        <f>"－"</f>
        <v>－</v>
      </c>
      <c r="X177" s="34">
        <f>19</f>
        <v>19</v>
      </c>
    </row>
    <row r="178" spans="1:24" ht="13.5" customHeight="1" x14ac:dyDescent="0.15">
      <c r="A178" s="25" t="s">
        <v>989</v>
      </c>
      <c r="B178" s="25" t="s">
        <v>552</v>
      </c>
      <c r="C178" s="25" t="s">
        <v>553</v>
      </c>
      <c r="D178" s="25" t="s">
        <v>554</v>
      </c>
      <c r="E178" s="26" t="s">
        <v>45</v>
      </c>
      <c r="F178" s="27" t="s">
        <v>45</v>
      </c>
      <c r="G178" s="28" t="s">
        <v>45</v>
      </c>
      <c r="H178" s="29"/>
      <c r="I178" s="29" t="s">
        <v>46</v>
      </c>
      <c r="J178" s="30">
        <v>100</v>
      </c>
      <c r="K178" s="31">
        <f>175.7</f>
        <v>175.7</v>
      </c>
      <c r="L178" s="32" t="s">
        <v>785</v>
      </c>
      <c r="M178" s="31">
        <f>178.8</f>
        <v>178.8</v>
      </c>
      <c r="N178" s="32" t="s">
        <v>788</v>
      </c>
      <c r="O178" s="31">
        <f>168.9</f>
        <v>168.9</v>
      </c>
      <c r="P178" s="32" t="s">
        <v>875</v>
      </c>
      <c r="Q178" s="31">
        <f>177</f>
        <v>177</v>
      </c>
      <c r="R178" s="32" t="s">
        <v>791</v>
      </c>
      <c r="S178" s="33">
        <f>173.59</f>
        <v>173.59</v>
      </c>
      <c r="T178" s="30">
        <f>463900</f>
        <v>463900</v>
      </c>
      <c r="U178" s="30" t="str">
        <f>"－"</f>
        <v>－</v>
      </c>
      <c r="V178" s="30">
        <f>80422420</f>
        <v>80422420</v>
      </c>
      <c r="W178" s="30" t="str">
        <f>"－"</f>
        <v>－</v>
      </c>
      <c r="X178" s="34">
        <f>19</f>
        <v>19</v>
      </c>
    </row>
    <row r="179" spans="1:24" ht="13.5" customHeight="1" x14ac:dyDescent="0.15">
      <c r="A179" s="25" t="s">
        <v>989</v>
      </c>
      <c r="B179" s="25" t="s">
        <v>555</v>
      </c>
      <c r="C179" s="25" t="s">
        <v>556</v>
      </c>
      <c r="D179" s="25" t="s">
        <v>557</v>
      </c>
      <c r="E179" s="26" t="s">
        <v>45</v>
      </c>
      <c r="F179" s="27" t="s">
        <v>45</v>
      </c>
      <c r="G179" s="28" t="s">
        <v>45</v>
      </c>
      <c r="H179" s="29"/>
      <c r="I179" s="29" t="s">
        <v>46</v>
      </c>
      <c r="J179" s="30">
        <v>10</v>
      </c>
      <c r="K179" s="31">
        <f>3958</f>
        <v>3958</v>
      </c>
      <c r="L179" s="32" t="s">
        <v>785</v>
      </c>
      <c r="M179" s="31">
        <f>4100</f>
        <v>4100</v>
      </c>
      <c r="N179" s="32" t="s">
        <v>788</v>
      </c>
      <c r="O179" s="31">
        <f>3940</f>
        <v>3940</v>
      </c>
      <c r="P179" s="32" t="s">
        <v>894</v>
      </c>
      <c r="Q179" s="31">
        <f>4045</f>
        <v>4045</v>
      </c>
      <c r="R179" s="32" t="s">
        <v>791</v>
      </c>
      <c r="S179" s="33">
        <f>3991.26</f>
        <v>3991.26</v>
      </c>
      <c r="T179" s="30">
        <f>5160</f>
        <v>5160</v>
      </c>
      <c r="U179" s="30">
        <f>30</f>
        <v>30</v>
      </c>
      <c r="V179" s="30">
        <f>20661360</f>
        <v>20661360</v>
      </c>
      <c r="W179" s="30">
        <f>119630</f>
        <v>119630</v>
      </c>
      <c r="X179" s="34">
        <f>19</f>
        <v>19</v>
      </c>
    </row>
    <row r="180" spans="1:24" ht="13.5" customHeight="1" x14ac:dyDescent="0.15">
      <c r="A180" s="25" t="s">
        <v>989</v>
      </c>
      <c r="B180" s="25" t="s">
        <v>558</v>
      </c>
      <c r="C180" s="25" t="s">
        <v>559</v>
      </c>
      <c r="D180" s="25" t="s">
        <v>560</v>
      </c>
      <c r="E180" s="26" t="s">
        <v>45</v>
      </c>
      <c r="F180" s="27" t="s">
        <v>45</v>
      </c>
      <c r="G180" s="28" t="s">
        <v>45</v>
      </c>
      <c r="H180" s="29"/>
      <c r="I180" s="29" t="s">
        <v>46</v>
      </c>
      <c r="J180" s="30">
        <v>10</v>
      </c>
      <c r="K180" s="31">
        <f>2050</f>
        <v>2050</v>
      </c>
      <c r="L180" s="32" t="s">
        <v>785</v>
      </c>
      <c r="M180" s="31">
        <f>2109.5</f>
        <v>2109.5</v>
      </c>
      <c r="N180" s="32" t="s">
        <v>893</v>
      </c>
      <c r="O180" s="31">
        <f>1991.5</f>
        <v>1991.5</v>
      </c>
      <c r="P180" s="32" t="s">
        <v>784</v>
      </c>
      <c r="Q180" s="31">
        <f>2088.5</f>
        <v>2088.5</v>
      </c>
      <c r="R180" s="32" t="s">
        <v>791</v>
      </c>
      <c r="S180" s="33">
        <f>2050.74</f>
        <v>2050.7399999999998</v>
      </c>
      <c r="T180" s="30">
        <f>56360</f>
        <v>56360</v>
      </c>
      <c r="U180" s="30">
        <f>20</f>
        <v>20</v>
      </c>
      <c r="V180" s="30">
        <f>114879470</f>
        <v>114879470</v>
      </c>
      <c r="W180" s="30">
        <f>42170</f>
        <v>42170</v>
      </c>
      <c r="X180" s="34">
        <f>19</f>
        <v>19</v>
      </c>
    </row>
    <row r="181" spans="1:24" ht="13.5" customHeight="1" x14ac:dyDescent="0.15">
      <c r="A181" s="25" t="s">
        <v>989</v>
      </c>
      <c r="B181" s="25" t="s">
        <v>561</v>
      </c>
      <c r="C181" s="25" t="s">
        <v>562</v>
      </c>
      <c r="D181" s="25" t="s">
        <v>563</v>
      </c>
      <c r="E181" s="26" t="s">
        <v>45</v>
      </c>
      <c r="F181" s="27" t="s">
        <v>45</v>
      </c>
      <c r="G181" s="28" t="s">
        <v>45</v>
      </c>
      <c r="H181" s="29"/>
      <c r="I181" s="29" t="s">
        <v>46</v>
      </c>
      <c r="J181" s="30">
        <v>10</v>
      </c>
      <c r="K181" s="31">
        <f>319.8</f>
        <v>319.8</v>
      </c>
      <c r="L181" s="32" t="s">
        <v>785</v>
      </c>
      <c r="M181" s="31">
        <f>337.7</f>
        <v>337.7</v>
      </c>
      <c r="N181" s="32" t="s">
        <v>793</v>
      </c>
      <c r="O181" s="31">
        <f>306.5</f>
        <v>306.5</v>
      </c>
      <c r="P181" s="32" t="s">
        <v>784</v>
      </c>
      <c r="Q181" s="31">
        <f>320.1</f>
        <v>320.10000000000002</v>
      </c>
      <c r="R181" s="32" t="s">
        <v>791</v>
      </c>
      <c r="S181" s="33">
        <f>323.64</f>
        <v>323.64</v>
      </c>
      <c r="T181" s="30">
        <f>14438710</f>
        <v>14438710</v>
      </c>
      <c r="U181" s="30">
        <f>3050</f>
        <v>3050</v>
      </c>
      <c r="V181" s="30">
        <f>4696065984</f>
        <v>4696065984</v>
      </c>
      <c r="W181" s="30">
        <f>993150</f>
        <v>993150</v>
      </c>
      <c r="X181" s="34">
        <f>19</f>
        <v>19</v>
      </c>
    </row>
    <row r="182" spans="1:24" ht="13.5" customHeight="1" x14ac:dyDescent="0.15">
      <c r="A182" s="25" t="s">
        <v>989</v>
      </c>
      <c r="B182" s="25" t="s">
        <v>564</v>
      </c>
      <c r="C182" s="25" t="s">
        <v>565</v>
      </c>
      <c r="D182" s="25" t="s">
        <v>566</v>
      </c>
      <c r="E182" s="26" t="s">
        <v>45</v>
      </c>
      <c r="F182" s="27" t="s">
        <v>45</v>
      </c>
      <c r="G182" s="28" t="s">
        <v>45</v>
      </c>
      <c r="H182" s="29"/>
      <c r="I182" s="29" t="s">
        <v>567</v>
      </c>
      <c r="J182" s="30">
        <v>1</v>
      </c>
      <c r="K182" s="31">
        <f>5960</f>
        <v>5960</v>
      </c>
      <c r="L182" s="32" t="s">
        <v>785</v>
      </c>
      <c r="M182" s="31">
        <f>7389</f>
        <v>7389</v>
      </c>
      <c r="N182" s="32" t="s">
        <v>893</v>
      </c>
      <c r="O182" s="31">
        <f>5870</f>
        <v>5870</v>
      </c>
      <c r="P182" s="32" t="s">
        <v>785</v>
      </c>
      <c r="Q182" s="31">
        <f>6755</f>
        <v>6755</v>
      </c>
      <c r="R182" s="32" t="s">
        <v>791</v>
      </c>
      <c r="S182" s="33">
        <f>6773.79</f>
        <v>6773.79</v>
      </c>
      <c r="T182" s="30">
        <f>118078</f>
        <v>118078</v>
      </c>
      <c r="U182" s="30" t="str">
        <f>"－"</f>
        <v>－</v>
      </c>
      <c r="V182" s="30">
        <f>793907618</f>
        <v>793907618</v>
      </c>
      <c r="W182" s="30" t="str">
        <f>"－"</f>
        <v>－</v>
      </c>
      <c r="X182" s="34">
        <f>19</f>
        <v>19</v>
      </c>
    </row>
    <row r="183" spans="1:24" ht="13.5" customHeight="1" x14ac:dyDescent="0.15">
      <c r="A183" s="25" t="s">
        <v>989</v>
      </c>
      <c r="B183" s="25" t="s">
        <v>568</v>
      </c>
      <c r="C183" s="25" t="s">
        <v>569</v>
      </c>
      <c r="D183" s="25" t="s">
        <v>570</v>
      </c>
      <c r="E183" s="26" t="s">
        <v>45</v>
      </c>
      <c r="F183" s="27" t="s">
        <v>45</v>
      </c>
      <c r="G183" s="28" t="s">
        <v>45</v>
      </c>
      <c r="H183" s="29"/>
      <c r="I183" s="29" t="s">
        <v>567</v>
      </c>
      <c r="J183" s="30">
        <v>1</v>
      </c>
      <c r="K183" s="31">
        <f>7303</f>
        <v>7303</v>
      </c>
      <c r="L183" s="32" t="s">
        <v>785</v>
      </c>
      <c r="M183" s="31">
        <f>7401</f>
        <v>7401</v>
      </c>
      <c r="N183" s="32" t="s">
        <v>785</v>
      </c>
      <c r="O183" s="31">
        <f>6425</f>
        <v>6425</v>
      </c>
      <c r="P183" s="32" t="s">
        <v>255</v>
      </c>
      <c r="Q183" s="31">
        <f>6835</f>
        <v>6835</v>
      </c>
      <c r="R183" s="32" t="s">
        <v>791</v>
      </c>
      <c r="S183" s="33">
        <f>6794.21</f>
        <v>6794.21</v>
      </c>
      <c r="T183" s="30">
        <f>10883</f>
        <v>10883</v>
      </c>
      <c r="U183" s="30" t="str">
        <f>"－"</f>
        <v>－</v>
      </c>
      <c r="V183" s="30">
        <f>74648226</f>
        <v>74648226</v>
      </c>
      <c r="W183" s="30" t="str">
        <f>"－"</f>
        <v>－</v>
      </c>
      <c r="X183" s="34">
        <f>19</f>
        <v>19</v>
      </c>
    </row>
    <row r="184" spans="1:24" ht="13.5" customHeight="1" x14ac:dyDescent="0.15">
      <c r="A184" s="25" t="s">
        <v>989</v>
      </c>
      <c r="B184" s="25" t="s">
        <v>571</v>
      </c>
      <c r="C184" s="25" t="s">
        <v>572</v>
      </c>
      <c r="D184" s="25" t="s">
        <v>573</v>
      </c>
      <c r="E184" s="26" t="s">
        <v>45</v>
      </c>
      <c r="F184" s="27" t="s">
        <v>45</v>
      </c>
      <c r="G184" s="28" t="s">
        <v>45</v>
      </c>
      <c r="H184" s="29"/>
      <c r="I184" s="29" t="s">
        <v>567</v>
      </c>
      <c r="J184" s="30">
        <v>1</v>
      </c>
      <c r="K184" s="31">
        <f>9134</f>
        <v>9134</v>
      </c>
      <c r="L184" s="32" t="s">
        <v>785</v>
      </c>
      <c r="M184" s="31">
        <f>11625</f>
        <v>11625</v>
      </c>
      <c r="N184" s="32" t="s">
        <v>255</v>
      </c>
      <c r="O184" s="31">
        <f>8842</f>
        <v>8842</v>
      </c>
      <c r="P184" s="32" t="s">
        <v>785</v>
      </c>
      <c r="Q184" s="31">
        <f>11080</f>
        <v>11080</v>
      </c>
      <c r="R184" s="32" t="s">
        <v>893</v>
      </c>
      <c r="S184" s="33">
        <f>10479.63</f>
        <v>10479.629999999999</v>
      </c>
      <c r="T184" s="30">
        <f>833</f>
        <v>833</v>
      </c>
      <c r="U184" s="30" t="str">
        <f>"－"</f>
        <v>－</v>
      </c>
      <c r="V184" s="30">
        <f>8724875</f>
        <v>8724875</v>
      </c>
      <c r="W184" s="30" t="str">
        <f>"－"</f>
        <v>－</v>
      </c>
      <c r="X184" s="34">
        <f>16</f>
        <v>16</v>
      </c>
    </row>
    <row r="185" spans="1:24" ht="13.5" customHeight="1" x14ac:dyDescent="0.15">
      <c r="A185" s="25" t="s">
        <v>989</v>
      </c>
      <c r="B185" s="25" t="s">
        <v>574</v>
      </c>
      <c r="C185" s="25" t="s">
        <v>575</v>
      </c>
      <c r="D185" s="25" t="s">
        <v>576</v>
      </c>
      <c r="E185" s="26" t="s">
        <v>45</v>
      </c>
      <c r="F185" s="27" t="s">
        <v>45</v>
      </c>
      <c r="G185" s="28" t="s">
        <v>45</v>
      </c>
      <c r="H185" s="29"/>
      <c r="I185" s="29" t="s">
        <v>567</v>
      </c>
      <c r="J185" s="30">
        <v>1</v>
      </c>
      <c r="K185" s="31">
        <f>8843</f>
        <v>8843</v>
      </c>
      <c r="L185" s="32" t="s">
        <v>785</v>
      </c>
      <c r="M185" s="31">
        <f>8843</f>
        <v>8843</v>
      </c>
      <c r="N185" s="32" t="s">
        <v>785</v>
      </c>
      <c r="O185" s="31">
        <f>7841</f>
        <v>7841</v>
      </c>
      <c r="P185" s="32" t="s">
        <v>255</v>
      </c>
      <c r="Q185" s="31">
        <f>8059</f>
        <v>8059</v>
      </c>
      <c r="R185" s="32" t="s">
        <v>791</v>
      </c>
      <c r="S185" s="33">
        <f>8163.47</f>
        <v>8163.47</v>
      </c>
      <c r="T185" s="30">
        <f>26429</f>
        <v>26429</v>
      </c>
      <c r="U185" s="30" t="str">
        <f>"－"</f>
        <v>－</v>
      </c>
      <c r="V185" s="30">
        <f>217773307</f>
        <v>217773307</v>
      </c>
      <c r="W185" s="30" t="str">
        <f>"－"</f>
        <v>－</v>
      </c>
      <c r="X185" s="34">
        <f>19</f>
        <v>19</v>
      </c>
    </row>
    <row r="186" spans="1:24" ht="13.5" customHeight="1" x14ac:dyDescent="0.15">
      <c r="A186" s="25" t="s">
        <v>989</v>
      </c>
      <c r="B186" s="25" t="s">
        <v>577</v>
      </c>
      <c r="C186" s="25" t="s">
        <v>578</v>
      </c>
      <c r="D186" s="25" t="s">
        <v>579</v>
      </c>
      <c r="E186" s="26" t="s">
        <v>45</v>
      </c>
      <c r="F186" s="27" t="s">
        <v>45</v>
      </c>
      <c r="G186" s="28" t="s">
        <v>45</v>
      </c>
      <c r="H186" s="29"/>
      <c r="I186" s="29" t="s">
        <v>567</v>
      </c>
      <c r="J186" s="30">
        <v>1</v>
      </c>
      <c r="K186" s="31">
        <f>25500</f>
        <v>25500</v>
      </c>
      <c r="L186" s="32" t="s">
        <v>785</v>
      </c>
      <c r="M186" s="31">
        <f>27810</f>
        <v>27810</v>
      </c>
      <c r="N186" s="32" t="s">
        <v>789</v>
      </c>
      <c r="O186" s="31">
        <f>25225</f>
        <v>25225</v>
      </c>
      <c r="P186" s="32" t="s">
        <v>785</v>
      </c>
      <c r="Q186" s="31">
        <f>27150</f>
        <v>27150</v>
      </c>
      <c r="R186" s="32" t="s">
        <v>791</v>
      </c>
      <c r="S186" s="33">
        <f>26646.05</f>
        <v>26646.05</v>
      </c>
      <c r="T186" s="30">
        <f>23218</f>
        <v>23218</v>
      </c>
      <c r="U186" s="30">
        <f>22</f>
        <v>22</v>
      </c>
      <c r="V186" s="30">
        <f>620440870</f>
        <v>620440870</v>
      </c>
      <c r="W186" s="30">
        <f>597670</f>
        <v>597670</v>
      </c>
      <c r="X186" s="34">
        <f>19</f>
        <v>19</v>
      </c>
    </row>
    <row r="187" spans="1:24" ht="13.5" customHeight="1" x14ac:dyDescent="0.15">
      <c r="A187" s="25" t="s">
        <v>989</v>
      </c>
      <c r="B187" s="25" t="s">
        <v>580</v>
      </c>
      <c r="C187" s="25" t="s">
        <v>581</v>
      </c>
      <c r="D187" s="25" t="s">
        <v>582</v>
      </c>
      <c r="E187" s="26" t="s">
        <v>45</v>
      </c>
      <c r="F187" s="27" t="s">
        <v>45</v>
      </c>
      <c r="G187" s="28" t="s">
        <v>45</v>
      </c>
      <c r="H187" s="29"/>
      <c r="I187" s="29" t="s">
        <v>567</v>
      </c>
      <c r="J187" s="30">
        <v>1</v>
      </c>
      <c r="K187" s="31">
        <f>4385</f>
        <v>4385</v>
      </c>
      <c r="L187" s="32" t="s">
        <v>785</v>
      </c>
      <c r="M187" s="31">
        <f>4415</f>
        <v>4415</v>
      </c>
      <c r="N187" s="32" t="s">
        <v>785</v>
      </c>
      <c r="O187" s="31">
        <f>4190</f>
        <v>4190</v>
      </c>
      <c r="P187" s="32" t="s">
        <v>789</v>
      </c>
      <c r="Q187" s="31">
        <f>4235</f>
        <v>4235</v>
      </c>
      <c r="R187" s="32" t="s">
        <v>791</v>
      </c>
      <c r="S187" s="33">
        <f>4280.26</f>
        <v>4280.26</v>
      </c>
      <c r="T187" s="30">
        <f>6655</f>
        <v>6655</v>
      </c>
      <c r="U187" s="30" t="str">
        <f>"－"</f>
        <v>－</v>
      </c>
      <c r="V187" s="30">
        <f>28324745</f>
        <v>28324745</v>
      </c>
      <c r="W187" s="30" t="str">
        <f>"－"</f>
        <v>－</v>
      </c>
      <c r="X187" s="34">
        <f>19</f>
        <v>19</v>
      </c>
    </row>
    <row r="188" spans="1:24" ht="13.5" customHeight="1" x14ac:dyDescent="0.15">
      <c r="A188" s="25" t="s">
        <v>989</v>
      </c>
      <c r="B188" s="25" t="s">
        <v>583</v>
      </c>
      <c r="C188" s="25" t="s">
        <v>584</v>
      </c>
      <c r="D188" s="25" t="s">
        <v>585</v>
      </c>
      <c r="E188" s="26" t="s">
        <v>45</v>
      </c>
      <c r="F188" s="27" t="s">
        <v>45</v>
      </c>
      <c r="G188" s="28" t="s">
        <v>45</v>
      </c>
      <c r="H188" s="29"/>
      <c r="I188" s="29" t="s">
        <v>567</v>
      </c>
      <c r="J188" s="30">
        <v>1</v>
      </c>
      <c r="K188" s="31">
        <f>1154</f>
        <v>1154</v>
      </c>
      <c r="L188" s="32" t="s">
        <v>785</v>
      </c>
      <c r="M188" s="31">
        <f>1333</f>
        <v>1333</v>
      </c>
      <c r="N188" s="32" t="s">
        <v>793</v>
      </c>
      <c r="O188" s="31">
        <f>1069</f>
        <v>1069</v>
      </c>
      <c r="P188" s="32" t="s">
        <v>784</v>
      </c>
      <c r="Q188" s="31">
        <f>1212</f>
        <v>1212</v>
      </c>
      <c r="R188" s="32" t="s">
        <v>791</v>
      </c>
      <c r="S188" s="33">
        <f>1215</f>
        <v>1215</v>
      </c>
      <c r="T188" s="30">
        <f>23354712</f>
        <v>23354712</v>
      </c>
      <c r="U188" s="30">
        <f>7786</f>
        <v>7786</v>
      </c>
      <c r="V188" s="30">
        <f>28466733103</f>
        <v>28466733103</v>
      </c>
      <c r="W188" s="30">
        <f>9841830</f>
        <v>9841830</v>
      </c>
      <c r="X188" s="34">
        <f>19</f>
        <v>19</v>
      </c>
    </row>
    <row r="189" spans="1:24" ht="13.5" customHeight="1" x14ac:dyDescent="0.15">
      <c r="A189" s="25" t="s">
        <v>989</v>
      </c>
      <c r="B189" s="25" t="s">
        <v>586</v>
      </c>
      <c r="C189" s="25" t="s">
        <v>587</v>
      </c>
      <c r="D189" s="25" t="s">
        <v>588</v>
      </c>
      <c r="E189" s="26" t="s">
        <v>45</v>
      </c>
      <c r="F189" s="27" t="s">
        <v>45</v>
      </c>
      <c r="G189" s="28" t="s">
        <v>45</v>
      </c>
      <c r="H189" s="29"/>
      <c r="I189" s="29" t="s">
        <v>567</v>
      </c>
      <c r="J189" s="30">
        <v>1</v>
      </c>
      <c r="K189" s="31">
        <f>1558</f>
        <v>1558</v>
      </c>
      <c r="L189" s="32" t="s">
        <v>785</v>
      </c>
      <c r="M189" s="31">
        <f>1619</f>
        <v>1619</v>
      </c>
      <c r="N189" s="32" t="s">
        <v>784</v>
      </c>
      <c r="O189" s="31">
        <f>1442</f>
        <v>1442</v>
      </c>
      <c r="P189" s="32" t="s">
        <v>793</v>
      </c>
      <c r="Q189" s="31">
        <f>1499</f>
        <v>1499</v>
      </c>
      <c r="R189" s="32" t="s">
        <v>791</v>
      </c>
      <c r="S189" s="33">
        <f>1516.74</f>
        <v>1516.74</v>
      </c>
      <c r="T189" s="30">
        <f>1428445</f>
        <v>1428445</v>
      </c>
      <c r="U189" s="30">
        <f>12</f>
        <v>12</v>
      </c>
      <c r="V189" s="30">
        <f>2163937337</f>
        <v>2163937337</v>
      </c>
      <c r="W189" s="30">
        <f>18600</f>
        <v>18600</v>
      </c>
      <c r="X189" s="34">
        <f>19</f>
        <v>19</v>
      </c>
    </row>
    <row r="190" spans="1:24" ht="13.5" customHeight="1" x14ac:dyDescent="0.15">
      <c r="A190" s="25" t="s">
        <v>989</v>
      </c>
      <c r="B190" s="25" t="s">
        <v>589</v>
      </c>
      <c r="C190" s="25" t="s">
        <v>590</v>
      </c>
      <c r="D190" s="25" t="s">
        <v>591</v>
      </c>
      <c r="E190" s="26" t="s">
        <v>45</v>
      </c>
      <c r="F190" s="27" t="s">
        <v>45</v>
      </c>
      <c r="G190" s="28" t="s">
        <v>45</v>
      </c>
      <c r="H190" s="29"/>
      <c r="I190" s="29" t="s">
        <v>567</v>
      </c>
      <c r="J190" s="30">
        <v>1</v>
      </c>
      <c r="K190" s="31">
        <f>24785</f>
        <v>24785</v>
      </c>
      <c r="L190" s="32" t="s">
        <v>785</v>
      </c>
      <c r="M190" s="31">
        <f>26525</f>
        <v>26525</v>
      </c>
      <c r="N190" s="32" t="s">
        <v>876</v>
      </c>
      <c r="O190" s="31">
        <f>24650</f>
        <v>24650</v>
      </c>
      <c r="P190" s="32" t="s">
        <v>78</v>
      </c>
      <c r="Q190" s="31">
        <f>25530</f>
        <v>25530</v>
      </c>
      <c r="R190" s="32" t="s">
        <v>791</v>
      </c>
      <c r="S190" s="33">
        <f>25524.47</f>
        <v>25524.47</v>
      </c>
      <c r="T190" s="30">
        <f>68519</f>
        <v>68519</v>
      </c>
      <c r="U190" s="30">
        <f>11</f>
        <v>11</v>
      </c>
      <c r="V190" s="30">
        <f>1752445240</f>
        <v>1752445240</v>
      </c>
      <c r="W190" s="30">
        <f>281935</f>
        <v>281935</v>
      </c>
      <c r="X190" s="34">
        <f>19</f>
        <v>19</v>
      </c>
    </row>
    <row r="191" spans="1:24" ht="13.5" customHeight="1" x14ac:dyDescent="0.15">
      <c r="A191" s="25" t="s">
        <v>989</v>
      </c>
      <c r="B191" s="25" t="s">
        <v>592</v>
      </c>
      <c r="C191" s="25" t="s">
        <v>593</v>
      </c>
      <c r="D191" s="25" t="s">
        <v>594</v>
      </c>
      <c r="E191" s="26" t="s">
        <v>45</v>
      </c>
      <c r="F191" s="27" t="s">
        <v>45</v>
      </c>
      <c r="G191" s="28" t="s">
        <v>45</v>
      </c>
      <c r="H191" s="29"/>
      <c r="I191" s="29" t="s">
        <v>567</v>
      </c>
      <c r="J191" s="30">
        <v>1</v>
      </c>
      <c r="K191" s="31">
        <f>2976</f>
        <v>2976</v>
      </c>
      <c r="L191" s="32" t="s">
        <v>785</v>
      </c>
      <c r="M191" s="31">
        <f>2982</f>
        <v>2982</v>
      </c>
      <c r="N191" s="32" t="s">
        <v>785</v>
      </c>
      <c r="O191" s="31">
        <f>2847</f>
        <v>2847</v>
      </c>
      <c r="P191" s="32" t="s">
        <v>56</v>
      </c>
      <c r="Q191" s="31">
        <f>2904</f>
        <v>2904</v>
      </c>
      <c r="R191" s="32" t="s">
        <v>791</v>
      </c>
      <c r="S191" s="33">
        <f>2912.32</f>
        <v>2912.32</v>
      </c>
      <c r="T191" s="30">
        <f>587688</f>
        <v>587688</v>
      </c>
      <c r="U191" s="30" t="str">
        <f>"－"</f>
        <v>－</v>
      </c>
      <c r="V191" s="30">
        <f>1709413302</f>
        <v>1709413302</v>
      </c>
      <c r="W191" s="30" t="str">
        <f>"－"</f>
        <v>－</v>
      </c>
      <c r="X191" s="34">
        <f>19</f>
        <v>19</v>
      </c>
    </row>
    <row r="192" spans="1:24" ht="13.5" customHeight="1" x14ac:dyDescent="0.15">
      <c r="A192" s="25" t="s">
        <v>989</v>
      </c>
      <c r="B192" s="25" t="s">
        <v>595</v>
      </c>
      <c r="C192" s="25" t="s">
        <v>596</v>
      </c>
      <c r="D192" s="25" t="s">
        <v>597</v>
      </c>
      <c r="E192" s="26" t="s">
        <v>45</v>
      </c>
      <c r="F192" s="27" t="s">
        <v>45</v>
      </c>
      <c r="G192" s="28" t="s">
        <v>45</v>
      </c>
      <c r="H192" s="29"/>
      <c r="I192" s="29" t="s">
        <v>567</v>
      </c>
      <c r="J192" s="30">
        <v>1</v>
      </c>
      <c r="K192" s="31">
        <f>7795</f>
        <v>7795</v>
      </c>
      <c r="L192" s="32" t="s">
        <v>785</v>
      </c>
      <c r="M192" s="31">
        <f>8332</f>
        <v>8332</v>
      </c>
      <c r="N192" s="32" t="s">
        <v>791</v>
      </c>
      <c r="O192" s="31">
        <f>7600</f>
        <v>7600</v>
      </c>
      <c r="P192" s="32" t="s">
        <v>78</v>
      </c>
      <c r="Q192" s="31">
        <f>8332</f>
        <v>8332</v>
      </c>
      <c r="R192" s="32" t="s">
        <v>791</v>
      </c>
      <c r="S192" s="33">
        <f>7962.21</f>
        <v>7962.21</v>
      </c>
      <c r="T192" s="30">
        <f>58248</f>
        <v>58248</v>
      </c>
      <c r="U192" s="30">
        <f>7</f>
        <v>7</v>
      </c>
      <c r="V192" s="30">
        <f>466031798</f>
        <v>466031798</v>
      </c>
      <c r="W192" s="30">
        <f>57281</f>
        <v>57281</v>
      </c>
      <c r="X192" s="34">
        <f>19</f>
        <v>19</v>
      </c>
    </row>
    <row r="193" spans="1:24" ht="13.5" customHeight="1" x14ac:dyDescent="0.15">
      <c r="A193" s="25" t="s">
        <v>989</v>
      </c>
      <c r="B193" s="25" t="s">
        <v>598</v>
      </c>
      <c r="C193" s="25" t="s">
        <v>599</v>
      </c>
      <c r="D193" s="25" t="s">
        <v>600</v>
      </c>
      <c r="E193" s="26" t="s">
        <v>45</v>
      </c>
      <c r="F193" s="27" t="s">
        <v>45</v>
      </c>
      <c r="G193" s="28" t="s">
        <v>45</v>
      </c>
      <c r="H193" s="29"/>
      <c r="I193" s="29" t="s">
        <v>567</v>
      </c>
      <c r="J193" s="30">
        <v>1</v>
      </c>
      <c r="K193" s="31">
        <f>16115</f>
        <v>16115</v>
      </c>
      <c r="L193" s="32" t="s">
        <v>785</v>
      </c>
      <c r="M193" s="31">
        <f>16965</f>
        <v>16965</v>
      </c>
      <c r="N193" s="32" t="s">
        <v>893</v>
      </c>
      <c r="O193" s="31">
        <f>15910</f>
        <v>15910</v>
      </c>
      <c r="P193" s="32" t="s">
        <v>785</v>
      </c>
      <c r="Q193" s="31">
        <f>16745</f>
        <v>16745</v>
      </c>
      <c r="R193" s="32" t="s">
        <v>791</v>
      </c>
      <c r="S193" s="33">
        <f>16309.69</f>
        <v>16309.69</v>
      </c>
      <c r="T193" s="30">
        <f>409</f>
        <v>409</v>
      </c>
      <c r="U193" s="30" t="str">
        <f>"－"</f>
        <v>－</v>
      </c>
      <c r="V193" s="30">
        <f>6736960</f>
        <v>6736960</v>
      </c>
      <c r="W193" s="30" t="str">
        <f>"－"</f>
        <v>－</v>
      </c>
      <c r="X193" s="34">
        <f>16</f>
        <v>16</v>
      </c>
    </row>
    <row r="194" spans="1:24" ht="13.5" customHeight="1" x14ac:dyDescent="0.15">
      <c r="A194" s="25" t="s">
        <v>989</v>
      </c>
      <c r="B194" s="25" t="s">
        <v>601</v>
      </c>
      <c r="C194" s="25" t="s">
        <v>602</v>
      </c>
      <c r="D194" s="25" t="s">
        <v>603</v>
      </c>
      <c r="E194" s="26" t="s">
        <v>45</v>
      </c>
      <c r="F194" s="27" t="s">
        <v>45</v>
      </c>
      <c r="G194" s="28" t="s">
        <v>45</v>
      </c>
      <c r="H194" s="29"/>
      <c r="I194" s="29" t="s">
        <v>567</v>
      </c>
      <c r="J194" s="30">
        <v>1</v>
      </c>
      <c r="K194" s="31">
        <f>22480</f>
        <v>22480</v>
      </c>
      <c r="L194" s="32" t="s">
        <v>785</v>
      </c>
      <c r="M194" s="31">
        <f>23330</f>
        <v>23330</v>
      </c>
      <c r="N194" s="32" t="s">
        <v>787</v>
      </c>
      <c r="O194" s="31">
        <f>21950</f>
        <v>21950</v>
      </c>
      <c r="P194" s="32" t="s">
        <v>80</v>
      </c>
      <c r="Q194" s="31">
        <f>22550</f>
        <v>22550</v>
      </c>
      <c r="R194" s="32" t="s">
        <v>791</v>
      </c>
      <c r="S194" s="33">
        <f>22645.53</f>
        <v>22645.53</v>
      </c>
      <c r="T194" s="30">
        <f>22384</f>
        <v>22384</v>
      </c>
      <c r="U194" s="30">
        <f>1801</f>
        <v>1801</v>
      </c>
      <c r="V194" s="30">
        <f>507255210</f>
        <v>507255210</v>
      </c>
      <c r="W194" s="30">
        <f>40841705</f>
        <v>40841705</v>
      </c>
      <c r="X194" s="34">
        <f>19</f>
        <v>19</v>
      </c>
    </row>
    <row r="195" spans="1:24" ht="13.5" customHeight="1" x14ac:dyDescent="0.15">
      <c r="A195" s="25" t="s">
        <v>989</v>
      </c>
      <c r="B195" s="25" t="s">
        <v>604</v>
      </c>
      <c r="C195" s="25" t="s">
        <v>605</v>
      </c>
      <c r="D195" s="25" t="s">
        <v>606</v>
      </c>
      <c r="E195" s="26" t="s">
        <v>45</v>
      </c>
      <c r="F195" s="27" t="s">
        <v>45</v>
      </c>
      <c r="G195" s="28" t="s">
        <v>45</v>
      </c>
      <c r="H195" s="29"/>
      <c r="I195" s="29" t="s">
        <v>567</v>
      </c>
      <c r="J195" s="30">
        <v>1</v>
      </c>
      <c r="K195" s="31">
        <f>14805</f>
        <v>14805</v>
      </c>
      <c r="L195" s="32" t="s">
        <v>785</v>
      </c>
      <c r="M195" s="31">
        <f>16150</f>
        <v>16150</v>
      </c>
      <c r="N195" s="32" t="s">
        <v>893</v>
      </c>
      <c r="O195" s="31">
        <f>14440</f>
        <v>14440</v>
      </c>
      <c r="P195" s="32" t="s">
        <v>785</v>
      </c>
      <c r="Q195" s="31">
        <f>15785</f>
        <v>15785</v>
      </c>
      <c r="R195" s="32" t="s">
        <v>791</v>
      </c>
      <c r="S195" s="33">
        <f>14987.19</f>
        <v>14987.19</v>
      </c>
      <c r="T195" s="30">
        <f>280</f>
        <v>280</v>
      </c>
      <c r="U195" s="30" t="str">
        <f>"－"</f>
        <v>－</v>
      </c>
      <c r="V195" s="30">
        <f>4195250</f>
        <v>4195250</v>
      </c>
      <c r="W195" s="30" t="str">
        <f>"－"</f>
        <v>－</v>
      </c>
      <c r="X195" s="34">
        <f>16</f>
        <v>16</v>
      </c>
    </row>
    <row r="196" spans="1:24" ht="13.5" customHeight="1" x14ac:dyDescent="0.15">
      <c r="A196" s="25" t="s">
        <v>989</v>
      </c>
      <c r="B196" s="25" t="s">
        <v>607</v>
      </c>
      <c r="C196" s="25" t="s">
        <v>608</v>
      </c>
      <c r="D196" s="25" t="s">
        <v>609</v>
      </c>
      <c r="E196" s="26" t="s">
        <v>45</v>
      </c>
      <c r="F196" s="27" t="s">
        <v>45</v>
      </c>
      <c r="G196" s="28" t="s">
        <v>45</v>
      </c>
      <c r="H196" s="29"/>
      <c r="I196" s="29" t="s">
        <v>567</v>
      </c>
      <c r="J196" s="30">
        <v>1</v>
      </c>
      <c r="K196" s="31">
        <f>18970</f>
        <v>18970</v>
      </c>
      <c r="L196" s="32" t="s">
        <v>785</v>
      </c>
      <c r="M196" s="31">
        <f>18995</f>
        <v>18995</v>
      </c>
      <c r="N196" s="32" t="s">
        <v>793</v>
      </c>
      <c r="O196" s="31">
        <f>17400</f>
        <v>17400</v>
      </c>
      <c r="P196" s="32" t="s">
        <v>893</v>
      </c>
      <c r="Q196" s="31">
        <f>17695</f>
        <v>17695</v>
      </c>
      <c r="R196" s="32" t="s">
        <v>791</v>
      </c>
      <c r="S196" s="33">
        <f>18430.79</f>
        <v>18430.79</v>
      </c>
      <c r="T196" s="30">
        <f>42757</f>
        <v>42757</v>
      </c>
      <c r="U196" s="30">
        <f>2</f>
        <v>2</v>
      </c>
      <c r="V196" s="30">
        <f>785064535</f>
        <v>785064535</v>
      </c>
      <c r="W196" s="30">
        <f>36340</f>
        <v>36340</v>
      </c>
      <c r="X196" s="34">
        <f>19</f>
        <v>19</v>
      </c>
    </row>
    <row r="197" spans="1:24" ht="13.5" customHeight="1" x14ac:dyDescent="0.15">
      <c r="A197" s="25" t="s">
        <v>989</v>
      </c>
      <c r="B197" s="25" t="s">
        <v>610</v>
      </c>
      <c r="C197" s="25" t="s">
        <v>611</v>
      </c>
      <c r="D197" s="25" t="s">
        <v>612</v>
      </c>
      <c r="E197" s="26" t="s">
        <v>45</v>
      </c>
      <c r="F197" s="27" t="s">
        <v>45</v>
      </c>
      <c r="G197" s="28" t="s">
        <v>45</v>
      </c>
      <c r="H197" s="29"/>
      <c r="I197" s="29" t="s">
        <v>567</v>
      </c>
      <c r="J197" s="30">
        <v>1</v>
      </c>
      <c r="K197" s="31">
        <f>4010</f>
        <v>4010</v>
      </c>
      <c r="L197" s="32" t="s">
        <v>785</v>
      </c>
      <c r="M197" s="31">
        <f>4200</f>
        <v>4200</v>
      </c>
      <c r="N197" s="32" t="s">
        <v>893</v>
      </c>
      <c r="O197" s="31">
        <f>3960</f>
        <v>3960</v>
      </c>
      <c r="P197" s="32" t="s">
        <v>792</v>
      </c>
      <c r="Q197" s="31">
        <f>4180</f>
        <v>4180</v>
      </c>
      <c r="R197" s="32" t="s">
        <v>791</v>
      </c>
      <c r="S197" s="33">
        <f>4078.82</f>
        <v>4078.82</v>
      </c>
      <c r="T197" s="30">
        <f>5683</f>
        <v>5683</v>
      </c>
      <c r="U197" s="30" t="str">
        <f t="shared" ref="U197:U209" si="8">"－"</f>
        <v>－</v>
      </c>
      <c r="V197" s="30">
        <f>23152575</f>
        <v>23152575</v>
      </c>
      <c r="W197" s="30" t="str">
        <f t="shared" ref="W197:W209" si="9">"－"</f>
        <v>－</v>
      </c>
      <c r="X197" s="34">
        <f>17</f>
        <v>17</v>
      </c>
    </row>
    <row r="198" spans="1:24" ht="13.5" customHeight="1" x14ac:dyDescent="0.15">
      <c r="A198" s="25" t="s">
        <v>989</v>
      </c>
      <c r="B198" s="25" t="s">
        <v>613</v>
      </c>
      <c r="C198" s="25" t="s">
        <v>614</v>
      </c>
      <c r="D198" s="25" t="s">
        <v>615</v>
      </c>
      <c r="E198" s="26" t="s">
        <v>45</v>
      </c>
      <c r="F198" s="27" t="s">
        <v>45</v>
      </c>
      <c r="G198" s="28" t="s">
        <v>45</v>
      </c>
      <c r="H198" s="29"/>
      <c r="I198" s="29" t="s">
        <v>567</v>
      </c>
      <c r="J198" s="30">
        <v>1</v>
      </c>
      <c r="K198" s="31">
        <f>14875</f>
        <v>14875</v>
      </c>
      <c r="L198" s="32" t="s">
        <v>785</v>
      </c>
      <c r="M198" s="31">
        <f>15785</f>
        <v>15785</v>
      </c>
      <c r="N198" s="32" t="s">
        <v>791</v>
      </c>
      <c r="O198" s="31">
        <f>14610</f>
        <v>14610</v>
      </c>
      <c r="P198" s="32" t="s">
        <v>876</v>
      </c>
      <c r="Q198" s="31">
        <f>15535</f>
        <v>15535</v>
      </c>
      <c r="R198" s="32" t="s">
        <v>791</v>
      </c>
      <c r="S198" s="33">
        <f>15256.07</f>
        <v>15256.07</v>
      </c>
      <c r="T198" s="30">
        <f>366</f>
        <v>366</v>
      </c>
      <c r="U198" s="30" t="str">
        <f t="shared" si="8"/>
        <v>－</v>
      </c>
      <c r="V198" s="30">
        <f>5511515</f>
        <v>5511515</v>
      </c>
      <c r="W198" s="30" t="str">
        <f t="shared" si="9"/>
        <v>－</v>
      </c>
      <c r="X198" s="34">
        <f>14</f>
        <v>14</v>
      </c>
    </row>
    <row r="199" spans="1:24" ht="13.5" customHeight="1" x14ac:dyDescent="0.15">
      <c r="A199" s="25" t="s">
        <v>989</v>
      </c>
      <c r="B199" s="25" t="s">
        <v>616</v>
      </c>
      <c r="C199" s="25" t="s">
        <v>617</v>
      </c>
      <c r="D199" s="25" t="s">
        <v>618</v>
      </c>
      <c r="E199" s="26" t="s">
        <v>45</v>
      </c>
      <c r="F199" s="27" t="s">
        <v>45</v>
      </c>
      <c r="G199" s="28" t="s">
        <v>45</v>
      </c>
      <c r="H199" s="29"/>
      <c r="I199" s="29" t="s">
        <v>567</v>
      </c>
      <c r="J199" s="30">
        <v>1</v>
      </c>
      <c r="K199" s="31">
        <f>12590</f>
        <v>12590</v>
      </c>
      <c r="L199" s="32" t="s">
        <v>78</v>
      </c>
      <c r="M199" s="31">
        <f>13045</f>
        <v>13045</v>
      </c>
      <c r="N199" s="32" t="s">
        <v>786</v>
      </c>
      <c r="O199" s="31">
        <f>12500</f>
        <v>12500</v>
      </c>
      <c r="P199" s="32" t="s">
        <v>876</v>
      </c>
      <c r="Q199" s="31">
        <f>13020</f>
        <v>13020</v>
      </c>
      <c r="R199" s="32" t="s">
        <v>786</v>
      </c>
      <c r="S199" s="33">
        <f>12694.38</f>
        <v>12694.38</v>
      </c>
      <c r="T199" s="30">
        <f>151</f>
        <v>151</v>
      </c>
      <c r="U199" s="30" t="str">
        <f t="shared" si="8"/>
        <v>－</v>
      </c>
      <c r="V199" s="30">
        <f>1957060</f>
        <v>1957060</v>
      </c>
      <c r="W199" s="30" t="str">
        <f t="shared" si="9"/>
        <v>－</v>
      </c>
      <c r="X199" s="34">
        <f>8</f>
        <v>8</v>
      </c>
    </row>
    <row r="200" spans="1:24" ht="13.5" customHeight="1" x14ac:dyDescent="0.15">
      <c r="A200" s="25" t="s">
        <v>989</v>
      </c>
      <c r="B200" s="25" t="s">
        <v>619</v>
      </c>
      <c r="C200" s="25" t="s">
        <v>620</v>
      </c>
      <c r="D200" s="25" t="s">
        <v>621</v>
      </c>
      <c r="E200" s="26" t="s">
        <v>45</v>
      </c>
      <c r="F200" s="27" t="s">
        <v>45</v>
      </c>
      <c r="G200" s="28" t="s">
        <v>45</v>
      </c>
      <c r="H200" s="29"/>
      <c r="I200" s="29" t="s">
        <v>567</v>
      </c>
      <c r="J200" s="30">
        <v>1</v>
      </c>
      <c r="K200" s="31">
        <f>17800</f>
        <v>17800</v>
      </c>
      <c r="L200" s="32" t="s">
        <v>785</v>
      </c>
      <c r="M200" s="31">
        <f>18140</f>
        <v>18140</v>
      </c>
      <c r="N200" s="32" t="s">
        <v>786</v>
      </c>
      <c r="O200" s="31">
        <f>17135</f>
        <v>17135</v>
      </c>
      <c r="P200" s="32" t="s">
        <v>876</v>
      </c>
      <c r="Q200" s="31">
        <f>18140</f>
        <v>18140</v>
      </c>
      <c r="R200" s="32" t="s">
        <v>786</v>
      </c>
      <c r="S200" s="33">
        <f>17804.55</f>
        <v>17804.55</v>
      </c>
      <c r="T200" s="30">
        <f>8678</f>
        <v>8678</v>
      </c>
      <c r="U200" s="30" t="str">
        <f t="shared" si="8"/>
        <v>－</v>
      </c>
      <c r="V200" s="30">
        <f>155266990</f>
        <v>155266990</v>
      </c>
      <c r="W200" s="30" t="str">
        <f t="shared" si="9"/>
        <v>－</v>
      </c>
      <c r="X200" s="34">
        <f>11</f>
        <v>11</v>
      </c>
    </row>
    <row r="201" spans="1:24" ht="13.5" customHeight="1" x14ac:dyDescent="0.15">
      <c r="A201" s="25" t="s">
        <v>989</v>
      </c>
      <c r="B201" s="25" t="s">
        <v>622</v>
      </c>
      <c r="C201" s="25" t="s">
        <v>623</v>
      </c>
      <c r="D201" s="25" t="s">
        <v>624</v>
      </c>
      <c r="E201" s="26" t="s">
        <v>45</v>
      </c>
      <c r="F201" s="27" t="s">
        <v>45</v>
      </c>
      <c r="G201" s="28" t="s">
        <v>45</v>
      </c>
      <c r="H201" s="29"/>
      <c r="I201" s="29" t="s">
        <v>567</v>
      </c>
      <c r="J201" s="30">
        <v>1</v>
      </c>
      <c r="K201" s="31">
        <f>16010</f>
        <v>16010</v>
      </c>
      <c r="L201" s="32" t="s">
        <v>785</v>
      </c>
      <c r="M201" s="31">
        <f>16010</f>
        <v>16010</v>
      </c>
      <c r="N201" s="32" t="s">
        <v>785</v>
      </c>
      <c r="O201" s="31">
        <f>14815</f>
        <v>14815</v>
      </c>
      <c r="P201" s="32" t="s">
        <v>80</v>
      </c>
      <c r="Q201" s="31">
        <f>14815</f>
        <v>14815</v>
      </c>
      <c r="R201" s="32" t="s">
        <v>80</v>
      </c>
      <c r="S201" s="33">
        <f>15491.67</f>
        <v>15491.67</v>
      </c>
      <c r="T201" s="30">
        <f>55</f>
        <v>55</v>
      </c>
      <c r="U201" s="30" t="str">
        <f t="shared" si="8"/>
        <v>－</v>
      </c>
      <c r="V201" s="30">
        <f>875410</f>
        <v>875410</v>
      </c>
      <c r="W201" s="30" t="str">
        <f t="shared" si="9"/>
        <v>－</v>
      </c>
      <c r="X201" s="34">
        <f>3</f>
        <v>3</v>
      </c>
    </row>
    <row r="202" spans="1:24" ht="13.5" customHeight="1" x14ac:dyDescent="0.15">
      <c r="A202" s="25" t="s">
        <v>989</v>
      </c>
      <c r="B202" s="25" t="s">
        <v>625</v>
      </c>
      <c r="C202" s="25" t="s">
        <v>626</v>
      </c>
      <c r="D202" s="25" t="s">
        <v>627</v>
      </c>
      <c r="E202" s="26" t="s">
        <v>45</v>
      </c>
      <c r="F202" s="27" t="s">
        <v>45</v>
      </c>
      <c r="G202" s="28" t="s">
        <v>45</v>
      </c>
      <c r="H202" s="29"/>
      <c r="I202" s="29" t="s">
        <v>567</v>
      </c>
      <c r="J202" s="30">
        <v>1</v>
      </c>
      <c r="K202" s="31">
        <f>12625</f>
        <v>12625</v>
      </c>
      <c r="L202" s="32" t="s">
        <v>875</v>
      </c>
      <c r="M202" s="31">
        <f>13280</f>
        <v>13280</v>
      </c>
      <c r="N202" s="32" t="s">
        <v>255</v>
      </c>
      <c r="O202" s="31">
        <f>12510</f>
        <v>12510</v>
      </c>
      <c r="P202" s="32" t="s">
        <v>792</v>
      </c>
      <c r="Q202" s="31">
        <f>13245</f>
        <v>13245</v>
      </c>
      <c r="R202" s="32" t="s">
        <v>791</v>
      </c>
      <c r="S202" s="33">
        <f>12920</f>
        <v>12920</v>
      </c>
      <c r="T202" s="30">
        <f>660</f>
        <v>660</v>
      </c>
      <c r="U202" s="30" t="str">
        <f t="shared" si="8"/>
        <v>－</v>
      </c>
      <c r="V202" s="30">
        <f>8529800</f>
        <v>8529800</v>
      </c>
      <c r="W202" s="30" t="str">
        <f t="shared" si="9"/>
        <v>－</v>
      </c>
      <c r="X202" s="34">
        <f>9</f>
        <v>9</v>
      </c>
    </row>
    <row r="203" spans="1:24" ht="13.5" customHeight="1" x14ac:dyDescent="0.15">
      <c r="A203" s="25" t="s">
        <v>989</v>
      </c>
      <c r="B203" s="25" t="s">
        <v>628</v>
      </c>
      <c r="C203" s="25" t="s">
        <v>629</v>
      </c>
      <c r="D203" s="25" t="s">
        <v>630</v>
      </c>
      <c r="E203" s="26" t="s">
        <v>45</v>
      </c>
      <c r="F203" s="27" t="s">
        <v>45</v>
      </c>
      <c r="G203" s="28" t="s">
        <v>45</v>
      </c>
      <c r="H203" s="29"/>
      <c r="I203" s="29" t="s">
        <v>567</v>
      </c>
      <c r="J203" s="30">
        <v>1</v>
      </c>
      <c r="K203" s="31">
        <f>15695</f>
        <v>15695</v>
      </c>
      <c r="L203" s="32" t="s">
        <v>789</v>
      </c>
      <c r="M203" s="31">
        <f>15700</f>
        <v>15700</v>
      </c>
      <c r="N203" s="32" t="s">
        <v>789</v>
      </c>
      <c r="O203" s="31">
        <f>15695</f>
        <v>15695</v>
      </c>
      <c r="P203" s="32" t="s">
        <v>789</v>
      </c>
      <c r="Q203" s="31">
        <f>15700</f>
        <v>15700</v>
      </c>
      <c r="R203" s="32" t="s">
        <v>789</v>
      </c>
      <c r="S203" s="33">
        <f>15700</f>
        <v>15700</v>
      </c>
      <c r="T203" s="30">
        <f>7</f>
        <v>7</v>
      </c>
      <c r="U203" s="30" t="str">
        <f t="shared" si="8"/>
        <v>－</v>
      </c>
      <c r="V203" s="30">
        <f>109870</f>
        <v>109870</v>
      </c>
      <c r="W203" s="30" t="str">
        <f t="shared" si="9"/>
        <v>－</v>
      </c>
      <c r="X203" s="34">
        <f>1</f>
        <v>1</v>
      </c>
    </row>
    <row r="204" spans="1:24" ht="13.5" customHeight="1" x14ac:dyDescent="0.15">
      <c r="A204" s="25" t="s">
        <v>989</v>
      </c>
      <c r="B204" s="25" t="s">
        <v>631</v>
      </c>
      <c r="C204" s="25" t="s">
        <v>632</v>
      </c>
      <c r="D204" s="25" t="s">
        <v>633</v>
      </c>
      <c r="E204" s="26" t="s">
        <v>45</v>
      </c>
      <c r="F204" s="27" t="s">
        <v>45</v>
      </c>
      <c r="G204" s="28" t="s">
        <v>45</v>
      </c>
      <c r="H204" s="29"/>
      <c r="I204" s="29" t="s">
        <v>567</v>
      </c>
      <c r="J204" s="30">
        <v>1</v>
      </c>
      <c r="K204" s="31" t="str">
        <f>"－"</f>
        <v>－</v>
      </c>
      <c r="L204" s="32"/>
      <c r="M204" s="31" t="str">
        <f>"－"</f>
        <v>－</v>
      </c>
      <c r="N204" s="32"/>
      <c r="O204" s="31" t="str">
        <f>"－"</f>
        <v>－</v>
      </c>
      <c r="P204" s="32"/>
      <c r="Q204" s="31" t="str">
        <f>"－"</f>
        <v>－</v>
      </c>
      <c r="R204" s="32"/>
      <c r="S204" s="33" t="str">
        <f>"－"</f>
        <v>－</v>
      </c>
      <c r="T204" s="30" t="str">
        <f>"－"</f>
        <v>－</v>
      </c>
      <c r="U204" s="30" t="str">
        <f t="shared" si="8"/>
        <v>－</v>
      </c>
      <c r="V204" s="30" t="str">
        <f>"－"</f>
        <v>－</v>
      </c>
      <c r="W204" s="30" t="str">
        <f t="shared" si="9"/>
        <v>－</v>
      </c>
      <c r="X204" s="34" t="str">
        <f>"－"</f>
        <v>－</v>
      </c>
    </row>
    <row r="205" spans="1:24" ht="13.5" customHeight="1" x14ac:dyDescent="0.15">
      <c r="A205" s="25" t="s">
        <v>989</v>
      </c>
      <c r="B205" s="25" t="s">
        <v>634</v>
      </c>
      <c r="C205" s="25" t="s">
        <v>635</v>
      </c>
      <c r="D205" s="25" t="s">
        <v>636</v>
      </c>
      <c r="E205" s="26" t="s">
        <v>45</v>
      </c>
      <c r="F205" s="27" t="s">
        <v>45</v>
      </c>
      <c r="G205" s="28" t="s">
        <v>45</v>
      </c>
      <c r="H205" s="29"/>
      <c r="I205" s="29" t="s">
        <v>567</v>
      </c>
      <c r="J205" s="30">
        <v>1</v>
      </c>
      <c r="K205" s="31">
        <f>9197</f>
        <v>9197</v>
      </c>
      <c r="L205" s="32" t="s">
        <v>875</v>
      </c>
      <c r="M205" s="31">
        <f>9597</f>
        <v>9597</v>
      </c>
      <c r="N205" s="32" t="s">
        <v>789</v>
      </c>
      <c r="O205" s="31">
        <f>9197</f>
        <v>9197</v>
      </c>
      <c r="P205" s="32" t="s">
        <v>875</v>
      </c>
      <c r="Q205" s="31">
        <f>9496</f>
        <v>9496</v>
      </c>
      <c r="R205" s="32" t="s">
        <v>255</v>
      </c>
      <c r="S205" s="33">
        <f>9341</f>
        <v>9341</v>
      </c>
      <c r="T205" s="30">
        <f>760</f>
        <v>760</v>
      </c>
      <c r="U205" s="30" t="str">
        <f t="shared" si="8"/>
        <v>－</v>
      </c>
      <c r="V205" s="30">
        <f>7154290</f>
        <v>7154290</v>
      </c>
      <c r="W205" s="30" t="str">
        <f t="shared" si="9"/>
        <v>－</v>
      </c>
      <c r="X205" s="34">
        <f>7</f>
        <v>7</v>
      </c>
    </row>
    <row r="206" spans="1:24" ht="13.5" customHeight="1" x14ac:dyDescent="0.15">
      <c r="A206" s="25" t="s">
        <v>989</v>
      </c>
      <c r="B206" s="25" t="s">
        <v>637</v>
      </c>
      <c r="C206" s="25" t="s">
        <v>638</v>
      </c>
      <c r="D206" s="25" t="s">
        <v>639</v>
      </c>
      <c r="E206" s="26" t="s">
        <v>45</v>
      </c>
      <c r="F206" s="27" t="s">
        <v>45</v>
      </c>
      <c r="G206" s="28" t="s">
        <v>45</v>
      </c>
      <c r="H206" s="29"/>
      <c r="I206" s="29" t="s">
        <v>567</v>
      </c>
      <c r="J206" s="30">
        <v>1</v>
      </c>
      <c r="K206" s="31">
        <f>9647</f>
        <v>9647</v>
      </c>
      <c r="L206" s="32" t="s">
        <v>785</v>
      </c>
      <c r="M206" s="31">
        <f>10200</f>
        <v>10200</v>
      </c>
      <c r="N206" s="32" t="s">
        <v>786</v>
      </c>
      <c r="O206" s="31">
        <f>9533</f>
        <v>9533</v>
      </c>
      <c r="P206" s="32" t="s">
        <v>792</v>
      </c>
      <c r="Q206" s="31">
        <f>10125</f>
        <v>10125</v>
      </c>
      <c r="R206" s="32" t="s">
        <v>791</v>
      </c>
      <c r="S206" s="33">
        <f>9884.88</f>
        <v>9884.8799999999992</v>
      </c>
      <c r="T206" s="30">
        <f>9817</f>
        <v>9817</v>
      </c>
      <c r="U206" s="30" t="str">
        <f t="shared" si="8"/>
        <v>－</v>
      </c>
      <c r="V206" s="30">
        <f>97838992</f>
        <v>97838992</v>
      </c>
      <c r="W206" s="30" t="str">
        <f t="shared" si="9"/>
        <v>－</v>
      </c>
      <c r="X206" s="34">
        <f>17</f>
        <v>17</v>
      </c>
    </row>
    <row r="207" spans="1:24" ht="13.5" customHeight="1" x14ac:dyDescent="0.15">
      <c r="A207" s="25" t="s">
        <v>989</v>
      </c>
      <c r="B207" s="25" t="s">
        <v>640</v>
      </c>
      <c r="C207" s="25" t="s">
        <v>641</v>
      </c>
      <c r="D207" s="25" t="s">
        <v>642</v>
      </c>
      <c r="E207" s="26" t="s">
        <v>45</v>
      </c>
      <c r="F207" s="27" t="s">
        <v>45</v>
      </c>
      <c r="G207" s="28" t="s">
        <v>45</v>
      </c>
      <c r="H207" s="29"/>
      <c r="I207" s="29" t="s">
        <v>567</v>
      </c>
      <c r="J207" s="30">
        <v>1</v>
      </c>
      <c r="K207" s="31">
        <f>9891</f>
        <v>9891</v>
      </c>
      <c r="L207" s="32" t="s">
        <v>80</v>
      </c>
      <c r="M207" s="31">
        <f>10230</f>
        <v>10230</v>
      </c>
      <c r="N207" s="32" t="s">
        <v>791</v>
      </c>
      <c r="O207" s="31">
        <f>9891</f>
        <v>9891</v>
      </c>
      <c r="P207" s="32" t="s">
        <v>80</v>
      </c>
      <c r="Q207" s="31">
        <f>10230</f>
        <v>10230</v>
      </c>
      <c r="R207" s="32" t="s">
        <v>791</v>
      </c>
      <c r="S207" s="33">
        <f>10108</f>
        <v>10108</v>
      </c>
      <c r="T207" s="30">
        <f>3879</f>
        <v>3879</v>
      </c>
      <c r="U207" s="30" t="str">
        <f t="shared" si="8"/>
        <v>－</v>
      </c>
      <c r="V207" s="30">
        <f>39351770</f>
        <v>39351770</v>
      </c>
      <c r="W207" s="30" t="str">
        <f t="shared" si="9"/>
        <v>－</v>
      </c>
      <c r="X207" s="34">
        <f>7</f>
        <v>7</v>
      </c>
    </row>
    <row r="208" spans="1:24" ht="13.5" customHeight="1" x14ac:dyDescent="0.15">
      <c r="A208" s="25" t="s">
        <v>989</v>
      </c>
      <c r="B208" s="25" t="s">
        <v>899</v>
      </c>
      <c r="C208" s="25" t="s">
        <v>900</v>
      </c>
      <c r="D208" s="25" t="s">
        <v>901</v>
      </c>
      <c r="E208" s="26" t="s">
        <v>45</v>
      </c>
      <c r="F208" s="27" t="s">
        <v>45</v>
      </c>
      <c r="G208" s="28" t="s">
        <v>45</v>
      </c>
      <c r="H208" s="29"/>
      <c r="I208" s="29" t="s">
        <v>567</v>
      </c>
      <c r="J208" s="30">
        <v>1</v>
      </c>
      <c r="K208" s="31" t="str">
        <f>"－"</f>
        <v>－</v>
      </c>
      <c r="L208" s="32"/>
      <c r="M208" s="31" t="str">
        <f>"－"</f>
        <v>－</v>
      </c>
      <c r="N208" s="32"/>
      <c r="O208" s="31" t="str">
        <f>"－"</f>
        <v>－</v>
      </c>
      <c r="P208" s="32"/>
      <c r="Q208" s="31" t="str">
        <f>"－"</f>
        <v>－</v>
      </c>
      <c r="R208" s="32"/>
      <c r="S208" s="33" t="str">
        <f>"－"</f>
        <v>－</v>
      </c>
      <c r="T208" s="30" t="str">
        <f>"－"</f>
        <v>－</v>
      </c>
      <c r="U208" s="30" t="str">
        <f t="shared" si="8"/>
        <v>－</v>
      </c>
      <c r="V208" s="30" t="str">
        <f>"－"</f>
        <v>－</v>
      </c>
      <c r="W208" s="30" t="str">
        <f t="shared" si="9"/>
        <v>－</v>
      </c>
      <c r="X208" s="34" t="str">
        <f>"－"</f>
        <v>－</v>
      </c>
    </row>
    <row r="209" spans="1:24" ht="13.5" customHeight="1" x14ac:dyDescent="0.15">
      <c r="A209" s="25" t="s">
        <v>989</v>
      </c>
      <c r="B209" s="25" t="s">
        <v>986</v>
      </c>
      <c r="C209" s="25" t="s">
        <v>987</v>
      </c>
      <c r="D209" s="25" t="s">
        <v>988</v>
      </c>
      <c r="E209" s="26" t="s">
        <v>45</v>
      </c>
      <c r="F209" s="27" t="s">
        <v>45</v>
      </c>
      <c r="G209" s="28" t="s">
        <v>45</v>
      </c>
      <c r="H209" s="29"/>
      <c r="I209" s="29" t="s">
        <v>46</v>
      </c>
      <c r="J209" s="30">
        <v>10</v>
      </c>
      <c r="K209" s="31">
        <f>1884.5</f>
        <v>1884.5</v>
      </c>
      <c r="L209" s="32" t="s">
        <v>785</v>
      </c>
      <c r="M209" s="31">
        <f>1952.5</f>
        <v>1952.5</v>
      </c>
      <c r="N209" s="32" t="s">
        <v>790</v>
      </c>
      <c r="O209" s="31">
        <f>1839.5</f>
        <v>1839.5</v>
      </c>
      <c r="P209" s="32" t="s">
        <v>80</v>
      </c>
      <c r="Q209" s="31">
        <f>1900</f>
        <v>1900</v>
      </c>
      <c r="R209" s="32" t="s">
        <v>791</v>
      </c>
      <c r="S209" s="33">
        <f>1900.13</f>
        <v>1900.13</v>
      </c>
      <c r="T209" s="30">
        <f>55210</f>
        <v>55210</v>
      </c>
      <c r="U209" s="30" t="str">
        <f t="shared" si="8"/>
        <v>－</v>
      </c>
      <c r="V209" s="30">
        <f>105035310</f>
        <v>105035310</v>
      </c>
      <c r="W209" s="30" t="str">
        <f t="shared" si="9"/>
        <v>－</v>
      </c>
      <c r="X209" s="34">
        <f>19</f>
        <v>19</v>
      </c>
    </row>
    <row r="210" spans="1:24" ht="13.5" customHeight="1" x14ac:dyDescent="0.15">
      <c r="A210" s="25" t="s">
        <v>989</v>
      </c>
      <c r="B210" s="25" t="s">
        <v>990</v>
      </c>
      <c r="C210" s="25" t="s">
        <v>991</v>
      </c>
      <c r="D210" s="25" t="s">
        <v>992</v>
      </c>
      <c r="E210" s="26" t="s">
        <v>782</v>
      </c>
      <c r="F210" s="27" t="s">
        <v>783</v>
      </c>
      <c r="G210" s="28" t="s">
        <v>993</v>
      </c>
      <c r="H210" s="29"/>
      <c r="I210" s="29" t="s">
        <v>46</v>
      </c>
      <c r="J210" s="30">
        <v>1</v>
      </c>
      <c r="K210" s="31">
        <f>993</f>
        <v>993</v>
      </c>
      <c r="L210" s="32" t="s">
        <v>56</v>
      </c>
      <c r="M210" s="31">
        <f>1009</f>
        <v>1009</v>
      </c>
      <c r="N210" s="32" t="s">
        <v>790</v>
      </c>
      <c r="O210" s="31">
        <f>943</f>
        <v>943</v>
      </c>
      <c r="P210" s="32" t="s">
        <v>80</v>
      </c>
      <c r="Q210" s="31">
        <f>967</f>
        <v>967</v>
      </c>
      <c r="R210" s="32" t="s">
        <v>791</v>
      </c>
      <c r="S210" s="33">
        <f>972.54</f>
        <v>972.54</v>
      </c>
      <c r="T210" s="30">
        <f>949109</f>
        <v>949109</v>
      </c>
      <c r="U210" s="30">
        <f>29</f>
        <v>29</v>
      </c>
      <c r="V210" s="30">
        <f>924279578</f>
        <v>924279578</v>
      </c>
      <c r="W210" s="30">
        <f>26065</f>
        <v>26065</v>
      </c>
      <c r="X210" s="34">
        <f>13</f>
        <v>13</v>
      </c>
    </row>
    <row r="211" spans="1:24" ht="13.5" customHeight="1" x14ac:dyDescent="0.15">
      <c r="A211" s="25" t="s">
        <v>989</v>
      </c>
      <c r="B211" s="25" t="s">
        <v>643</v>
      </c>
      <c r="C211" s="25" t="s">
        <v>644</v>
      </c>
      <c r="D211" s="25" t="s">
        <v>645</v>
      </c>
      <c r="E211" s="26" t="s">
        <v>45</v>
      </c>
      <c r="F211" s="27" t="s">
        <v>45</v>
      </c>
      <c r="G211" s="28" t="s">
        <v>45</v>
      </c>
      <c r="H211" s="29"/>
      <c r="I211" s="29" t="s">
        <v>46</v>
      </c>
      <c r="J211" s="30">
        <v>10</v>
      </c>
      <c r="K211" s="31">
        <f>936.3</f>
        <v>936.3</v>
      </c>
      <c r="L211" s="32" t="s">
        <v>785</v>
      </c>
      <c r="M211" s="31">
        <f>950.1</f>
        <v>950.1</v>
      </c>
      <c r="N211" s="32" t="s">
        <v>788</v>
      </c>
      <c r="O211" s="31">
        <f>924</f>
        <v>924</v>
      </c>
      <c r="P211" s="32" t="s">
        <v>876</v>
      </c>
      <c r="Q211" s="31">
        <f>932.1</f>
        <v>932.1</v>
      </c>
      <c r="R211" s="32" t="s">
        <v>791</v>
      </c>
      <c r="S211" s="33">
        <f>934.3</f>
        <v>934.3</v>
      </c>
      <c r="T211" s="30">
        <f>2173420</f>
        <v>2173420</v>
      </c>
      <c r="U211" s="30">
        <f>1134970</f>
        <v>1134970</v>
      </c>
      <c r="V211" s="30">
        <f>2033558013</f>
        <v>2033558013</v>
      </c>
      <c r="W211" s="30">
        <f>1062023872</f>
        <v>1062023872</v>
      </c>
      <c r="X211" s="34">
        <f>19</f>
        <v>19</v>
      </c>
    </row>
    <row r="212" spans="1:24" ht="13.5" customHeight="1" x14ac:dyDescent="0.15">
      <c r="A212" s="25" t="s">
        <v>989</v>
      </c>
      <c r="B212" s="25" t="s">
        <v>646</v>
      </c>
      <c r="C212" s="25" t="s">
        <v>647</v>
      </c>
      <c r="D212" s="25" t="s">
        <v>648</v>
      </c>
      <c r="E212" s="26" t="s">
        <v>45</v>
      </c>
      <c r="F212" s="27" t="s">
        <v>45</v>
      </c>
      <c r="G212" s="28" t="s">
        <v>45</v>
      </c>
      <c r="H212" s="29"/>
      <c r="I212" s="29" t="s">
        <v>46</v>
      </c>
      <c r="J212" s="30">
        <v>10</v>
      </c>
      <c r="K212" s="31">
        <f>970</f>
        <v>970</v>
      </c>
      <c r="L212" s="32" t="s">
        <v>785</v>
      </c>
      <c r="M212" s="31">
        <f>974</f>
        <v>974</v>
      </c>
      <c r="N212" s="32" t="s">
        <v>788</v>
      </c>
      <c r="O212" s="31">
        <f>941.5</f>
        <v>941.5</v>
      </c>
      <c r="P212" s="32" t="s">
        <v>785</v>
      </c>
      <c r="Q212" s="31">
        <f>959.2</f>
        <v>959.2</v>
      </c>
      <c r="R212" s="32" t="s">
        <v>791</v>
      </c>
      <c r="S212" s="33">
        <f>961.52</f>
        <v>961.52</v>
      </c>
      <c r="T212" s="30">
        <f>1038120</f>
        <v>1038120</v>
      </c>
      <c r="U212" s="30">
        <f>234890</f>
        <v>234890</v>
      </c>
      <c r="V212" s="30">
        <f>996793534</f>
        <v>996793534</v>
      </c>
      <c r="W212" s="30">
        <f>226122949</f>
        <v>226122949</v>
      </c>
      <c r="X212" s="34">
        <f>19</f>
        <v>19</v>
      </c>
    </row>
    <row r="213" spans="1:24" ht="13.5" customHeight="1" x14ac:dyDescent="0.15">
      <c r="A213" s="25" t="s">
        <v>989</v>
      </c>
      <c r="B213" s="25" t="s">
        <v>649</v>
      </c>
      <c r="C213" s="25" t="s">
        <v>650</v>
      </c>
      <c r="D213" s="25" t="s">
        <v>651</v>
      </c>
      <c r="E213" s="26" t="s">
        <v>45</v>
      </c>
      <c r="F213" s="27" t="s">
        <v>45</v>
      </c>
      <c r="G213" s="28" t="s">
        <v>45</v>
      </c>
      <c r="H213" s="29"/>
      <c r="I213" s="29" t="s">
        <v>46</v>
      </c>
      <c r="J213" s="30">
        <v>10</v>
      </c>
      <c r="K213" s="31">
        <f>833.5</f>
        <v>833.5</v>
      </c>
      <c r="L213" s="32" t="s">
        <v>785</v>
      </c>
      <c r="M213" s="31">
        <f>861</f>
        <v>861</v>
      </c>
      <c r="N213" s="32" t="s">
        <v>790</v>
      </c>
      <c r="O213" s="31">
        <f>833.5</f>
        <v>833.5</v>
      </c>
      <c r="P213" s="32" t="s">
        <v>785</v>
      </c>
      <c r="Q213" s="31">
        <f>846.1</f>
        <v>846.1</v>
      </c>
      <c r="R213" s="32" t="s">
        <v>791</v>
      </c>
      <c r="S213" s="33">
        <f>848.22</f>
        <v>848.22</v>
      </c>
      <c r="T213" s="30">
        <f>1750080</f>
        <v>1750080</v>
      </c>
      <c r="U213" s="30">
        <f>1223270</f>
        <v>1223270</v>
      </c>
      <c r="V213" s="30">
        <f>1488924511</f>
        <v>1488924511</v>
      </c>
      <c r="W213" s="30">
        <f>1039283324</f>
        <v>1039283324</v>
      </c>
      <c r="X213" s="34">
        <f>19</f>
        <v>19</v>
      </c>
    </row>
    <row r="214" spans="1:24" ht="13.5" customHeight="1" x14ac:dyDescent="0.15">
      <c r="A214" s="25" t="s">
        <v>989</v>
      </c>
      <c r="B214" s="25" t="s">
        <v>652</v>
      </c>
      <c r="C214" s="25" t="s">
        <v>653</v>
      </c>
      <c r="D214" s="25" t="s">
        <v>654</v>
      </c>
      <c r="E214" s="26" t="s">
        <v>45</v>
      </c>
      <c r="F214" s="27" t="s">
        <v>45</v>
      </c>
      <c r="G214" s="28" t="s">
        <v>45</v>
      </c>
      <c r="H214" s="29"/>
      <c r="I214" s="29" t="s">
        <v>46</v>
      </c>
      <c r="J214" s="30">
        <v>10</v>
      </c>
      <c r="K214" s="31">
        <f>1559.5</f>
        <v>1559.5</v>
      </c>
      <c r="L214" s="32" t="s">
        <v>785</v>
      </c>
      <c r="M214" s="31">
        <f>1652</f>
        <v>1652</v>
      </c>
      <c r="N214" s="32" t="s">
        <v>893</v>
      </c>
      <c r="O214" s="31">
        <f>1551</f>
        <v>1551</v>
      </c>
      <c r="P214" s="32" t="s">
        <v>785</v>
      </c>
      <c r="Q214" s="31">
        <f>1635</f>
        <v>1635</v>
      </c>
      <c r="R214" s="32" t="s">
        <v>791</v>
      </c>
      <c r="S214" s="33">
        <f>1612.42</f>
        <v>1612.42</v>
      </c>
      <c r="T214" s="30">
        <f>934990</f>
        <v>934990</v>
      </c>
      <c r="U214" s="30">
        <f>702720</f>
        <v>702720</v>
      </c>
      <c r="V214" s="30">
        <f>1516009640</f>
        <v>1516009640</v>
      </c>
      <c r="W214" s="30">
        <f>1142897105</f>
        <v>1142897105</v>
      </c>
      <c r="X214" s="34">
        <f>19</f>
        <v>19</v>
      </c>
    </row>
    <row r="215" spans="1:24" ht="13.5" customHeight="1" x14ac:dyDescent="0.15">
      <c r="A215" s="25" t="s">
        <v>989</v>
      </c>
      <c r="B215" s="25" t="s">
        <v>655</v>
      </c>
      <c r="C215" s="25" t="s">
        <v>656</v>
      </c>
      <c r="D215" s="25" t="s">
        <v>657</v>
      </c>
      <c r="E215" s="26" t="s">
        <v>45</v>
      </c>
      <c r="F215" s="27" t="s">
        <v>45</v>
      </c>
      <c r="G215" s="28" t="s">
        <v>45</v>
      </c>
      <c r="H215" s="29"/>
      <c r="I215" s="29" t="s">
        <v>46</v>
      </c>
      <c r="J215" s="30">
        <v>10</v>
      </c>
      <c r="K215" s="31">
        <f>1276</f>
        <v>1276</v>
      </c>
      <c r="L215" s="32" t="s">
        <v>785</v>
      </c>
      <c r="M215" s="31">
        <f>1360</f>
        <v>1360</v>
      </c>
      <c r="N215" s="32" t="s">
        <v>793</v>
      </c>
      <c r="O215" s="31">
        <f>1276</f>
        <v>1276</v>
      </c>
      <c r="P215" s="32" t="s">
        <v>785</v>
      </c>
      <c r="Q215" s="31">
        <f>1336.5</f>
        <v>1336.5</v>
      </c>
      <c r="R215" s="32" t="s">
        <v>791</v>
      </c>
      <c r="S215" s="33">
        <f>1323.53</f>
        <v>1323.53</v>
      </c>
      <c r="T215" s="30">
        <f>452750</f>
        <v>452750</v>
      </c>
      <c r="U215" s="30">
        <f>165410</f>
        <v>165410</v>
      </c>
      <c r="V215" s="30">
        <f>602233454</f>
        <v>602233454</v>
      </c>
      <c r="W215" s="30">
        <f>221632079</f>
        <v>221632079</v>
      </c>
      <c r="X215" s="34">
        <f>19</f>
        <v>19</v>
      </c>
    </row>
    <row r="216" spans="1:24" ht="13.5" customHeight="1" x14ac:dyDescent="0.15">
      <c r="A216" s="25" t="s">
        <v>989</v>
      </c>
      <c r="B216" s="25" t="s">
        <v>658</v>
      </c>
      <c r="C216" s="25" t="s">
        <v>659</v>
      </c>
      <c r="D216" s="25" t="s">
        <v>660</v>
      </c>
      <c r="E216" s="26" t="s">
        <v>45</v>
      </c>
      <c r="F216" s="27" t="s">
        <v>45</v>
      </c>
      <c r="G216" s="28" t="s">
        <v>45</v>
      </c>
      <c r="H216" s="29"/>
      <c r="I216" s="29" t="s">
        <v>46</v>
      </c>
      <c r="J216" s="30">
        <v>10</v>
      </c>
      <c r="K216" s="31">
        <f>1105.5</f>
        <v>1105.5</v>
      </c>
      <c r="L216" s="32" t="s">
        <v>785</v>
      </c>
      <c r="M216" s="31">
        <f>1203.5</f>
        <v>1203.5</v>
      </c>
      <c r="N216" s="32" t="s">
        <v>893</v>
      </c>
      <c r="O216" s="31">
        <f>1100</f>
        <v>1100</v>
      </c>
      <c r="P216" s="32" t="s">
        <v>785</v>
      </c>
      <c r="Q216" s="31">
        <f>1192.5</f>
        <v>1192.5</v>
      </c>
      <c r="R216" s="32" t="s">
        <v>791</v>
      </c>
      <c r="S216" s="33">
        <f>1157.58</f>
        <v>1157.58</v>
      </c>
      <c r="T216" s="30">
        <f>599890</f>
        <v>599890</v>
      </c>
      <c r="U216" s="30">
        <f>356140</f>
        <v>356140</v>
      </c>
      <c r="V216" s="30">
        <f>704413470</f>
        <v>704413470</v>
      </c>
      <c r="W216" s="30">
        <f>424265640</f>
        <v>424265640</v>
      </c>
      <c r="X216" s="34">
        <f>19</f>
        <v>19</v>
      </c>
    </row>
    <row r="217" spans="1:24" ht="13.5" customHeight="1" x14ac:dyDescent="0.15">
      <c r="A217" s="25" t="s">
        <v>989</v>
      </c>
      <c r="B217" s="25" t="s">
        <v>661</v>
      </c>
      <c r="C217" s="25" t="s">
        <v>662</v>
      </c>
      <c r="D217" s="25" t="s">
        <v>663</v>
      </c>
      <c r="E217" s="26" t="s">
        <v>45</v>
      </c>
      <c r="F217" s="27" t="s">
        <v>45</v>
      </c>
      <c r="G217" s="28" t="s">
        <v>45</v>
      </c>
      <c r="H217" s="29"/>
      <c r="I217" s="29" t="s">
        <v>46</v>
      </c>
      <c r="J217" s="30">
        <v>10</v>
      </c>
      <c r="K217" s="31">
        <f>557.4</f>
        <v>557.4</v>
      </c>
      <c r="L217" s="32" t="s">
        <v>785</v>
      </c>
      <c r="M217" s="31">
        <f>604.7</f>
        <v>604.70000000000005</v>
      </c>
      <c r="N217" s="32" t="s">
        <v>786</v>
      </c>
      <c r="O217" s="31">
        <f>545.7</f>
        <v>545.70000000000005</v>
      </c>
      <c r="P217" s="32" t="s">
        <v>78</v>
      </c>
      <c r="Q217" s="31">
        <f>596.9</f>
        <v>596.9</v>
      </c>
      <c r="R217" s="32" t="s">
        <v>791</v>
      </c>
      <c r="S217" s="33">
        <f>576.81</f>
        <v>576.80999999999995</v>
      </c>
      <c r="T217" s="30">
        <f>23788330</f>
        <v>23788330</v>
      </c>
      <c r="U217" s="30">
        <f>70770</f>
        <v>70770</v>
      </c>
      <c r="V217" s="30">
        <f>13706152003</f>
        <v>13706152003</v>
      </c>
      <c r="W217" s="30">
        <f>40521518</f>
        <v>40521518</v>
      </c>
      <c r="X217" s="34">
        <f>19</f>
        <v>19</v>
      </c>
    </row>
    <row r="218" spans="1:24" ht="13.5" customHeight="1" x14ac:dyDescent="0.15">
      <c r="A218" s="25" t="s">
        <v>989</v>
      </c>
      <c r="B218" s="25" t="s">
        <v>664</v>
      </c>
      <c r="C218" s="25" t="s">
        <v>665</v>
      </c>
      <c r="D218" s="25" t="s">
        <v>666</v>
      </c>
      <c r="E218" s="26" t="s">
        <v>45</v>
      </c>
      <c r="F218" s="27" t="s">
        <v>45</v>
      </c>
      <c r="G218" s="28" t="s">
        <v>45</v>
      </c>
      <c r="H218" s="29"/>
      <c r="I218" s="29" t="s">
        <v>46</v>
      </c>
      <c r="J218" s="30">
        <v>10</v>
      </c>
      <c r="K218" s="31">
        <f>1129</f>
        <v>1129</v>
      </c>
      <c r="L218" s="32" t="s">
        <v>785</v>
      </c>
      <c r="M218" s="31">
        <f>1129</f>
        <v>1129</v>
      </c>
      <c r="N218" s="32" t="s">
        <v>785</v>
      </c>
      <c r="O218" s="31">
        <f>1065</f>
        <v>1065</v>
      </c>
      <c r="P218" s="32" t="s">
        <v>80</v>
      </c>
      <c r="Q218" s="31">
        <f>1100</f>
        <v>1100</v>
      </c>
      <c r="R218" s="32" t="s">
        <v>791</v>
      </c>
      <c r="S218" s="33">
        <f>1100.21</f>
        <v>1100.21</v>
      </c>
      <c r="T218" s="30">
        <f>1769490</f>
        <v>1769490</v>
      </c>
      <c r="U218" s="30">
        <f>710330</f>
        <v>710330</v>
      </c>
      <c r="V218" s="30">
        <f>1934946010</f>
        <v>1934946010</v>
      </c>
      <c r="W218" s="30">
        <f>775247450</f>
        <v>775247450</v>
      </c>
      <c r="X218" s="34">
        <f>19</f>
        <v>19</v>
      </c>
    </row>
    <row r="219" spans="1:24" ht="13.5" customHeight="1" x14ac:dyDescent="0.15">
      <c r="A219" s="25" t="s">
        <v>989</v>
      </c>
      <c r="B219" s="25" t="s">
        <v>667</v>
      </c>
      <c r="C219" s="25" t="s">
        <v>668</v>
      </c>
      <c r="D219" s="25" t="s">
        <v>669</v>
      </c>
      <c r="E219" s="26" t="s">
        <v>45</v>
      </c>
      <c r="F219" s="27" t="s">
        <v>45</v>
      </c>
      <c r="G219" s="28" t="s">
        <v>45</v>
      </c>
      <c r="H219" s="29"/>
      <c r="I219" s="29" t="s">
        <v>46</v>
      </c>
      <c r="J219" s="30">
        <v>1</v>
      </c>
      <c r="K219" s="31">
        <f>1034</f>
        <v>1034</v>
      </c>
      <c r="L219" s="32" t="s">
        <v>785</v>
      </c>
      <c r="M219" s="31">
        <f>1090</f>
        <v>1090</v>
      </c>
      <c r="N219" s="32" t="s">
        <v>786</v>
      </c>
      <c r="O219" s="31">
        <f>1025</f>
        <v>1025</v>
      </c>
      <c r="P219" s="32" t="s">
        <v>785</v>
      </c>
      <c r="Q219" s="31">
        <f>1078</f>
        <v>1078</v>
      </c>
      <c r="R219" s="32" t="s">
        <v>791</v>
      </c>
      <c r="S219" s="33">
        <f>1057.11</f>
        <v>1057.1099999999999</v>
      </c>
      <c r="T219" s="30">
        <f>190662</f>
        <v>190662</v>
      </c>
      <c r="U219" s="30">
        <f>2</f>
        <v>2</v>
      </c>
      <c r="V219" s="30">
        <f>201333267</f>
        <v>201333267</v>
      </c>
      <c r="W219" s="30">
        <f>2110</f>
        <v>2110</v>
      </c>
      <c r="X219" s="34">
        <f>19</f>
        <v>19</v>
      </c>
    </row>
    <row r="220" spans="1:24" ht="13.5" customHeight="1" x14ac:dyDescent="0.15">
      <c r="A220" s="25" t="s">
        <v>989</v>
      </c>
      <c r="B220" s="25" t="s">
        <v>670</v>
      </c>
      <c r="C220" s="25" t="s">
        <v>671</v>
      </c>
      <c r="D220" s="25" t="s">
        <v>672</v>
      </c>
      <c r="E220" s="26" t="s">
        <v>45</v>
      </c>
      <c r="F220" s="27" t="s">
        <v>45</v>
      </c>
      <c r="G220" s="28" t="s">
        <v>45</v>
      </c>
      <c r="H220" s="29"/>
      <c r="I220" s="29" t="s">
        <v>46</v>
      </c>
      <c r="J220" s="30">
        <v>10</v>
      </c>
      <c r="K220" s="31">
        <f>898.9</f>
        <v>898.9</v>
      </c>
      <c r="L220" s="32" t="s">
        <v>785</v>
      </c>
      <c r="M220" s="31">
        <f>904.7</f>
        <v>904.7</v>
      </c>
      <c r="N220" s="32" t="s">
        <v>793</v>
      </c>
      <c r="O220" s="31">
        <f>878.3</f>
        <v>878.3</v>
      </c>
      <c r="P220" s="32" t="s">
        <v>78</v>
      </c>
      <c r="Q220" s="31">
        <f>900</f>
        <v>900</v>
      </c>
      <c r="R220" s="32" t="s">
        <v>791</v>
      </c>
      <c r="S220" s="33">
        <f>896.21</f>
        <v>896.21</v>
      </c>
      <c r="T220" s="30">
        <f>100230</f>
        <v>100230</v>
      </c>
      <c r="U220" s="30">
        <f>33910</f>
        <v>33910</v>
      </c>
      <c r="V220" s="30">
        <f>89606454</f>
        <v>89606454</v>
      </c>
      <c r="W220" s="30">
        <f>30417270</f>
        <v>30417270</v>
      </c>
      <c r="X220" s="34">
        <f>19</f>
        <v>19</v>
      </c>
    </row>
    <row r="221" spans="1:24" ht="13.5" customHeight="1" x14ac:dyDescent="0.15">
      <c r="A221" s="25" t="s">
        <v>989</v>
      </c>
      <c r="B221" s="25" t="s">
        <v>673</v>
      </c>
      <c r="C221" s="25" t="s">
        <v>674</v>
      </c>
      <c r="D221" s="25" t="s">
        <v>675</v>
      </c>
      <c r="E221" s="26" t="s">
        <v>45</v>
      </c>
      <c r="F221" s="27" t="s">
        <v>45</v>
      </c>
      <c r="G221" s="28" t="s">
        <v>45</v>
      </c>
      <c r="H221" s="29"/>
      <c r="I221" s="29" t="s">
        <v>46</v>
      </c>
      <c r="J221" s="30">
        <v>10</v>
      </c>
      <c r="K221" s="31">
        <f>1110</f>
        <v>1110</v>
      </c>
      <c r="L221" s="32" t="s">
        <v>785</v>
      </c>
      <c r="M221" s="31">
        <f>1210</f>
        <v>1210</v>
      </c>
      <c r="N221" s="32" t="s">
        <v>255</v>
      </c>
      <c r="O221" s="31">
        <f>1100</f>
        <v>1100</v>
      </c>
      <c r="P221" s="32" t="s">
        <v>78</v>
      </c>
      <c r="Q221" s="31">
        <f>1172.5</f>
        <v>1172.5</v>
      </c>
      <c r="R221" s="32" t="s">
        <v>791</v>
      </c>
      <c r="S221" s="33">
        <f>1170.87</f>
        <v>1170.8699999999999</v>
      </c>
      <c r="T221" s="30">
        <f>224010</f>
        <v>224010</v>
      </c>
      <c r="U221" s="30">
        <f>84360</f>
        <v>84360</v>
      </c>
      <c r="V221" s="30">
        <f>260891905</f>
        <v>260891905</v>
      </c>
      <c r="W221" s="30">
        <f>99297220</f>
        <v>99297220</v>
      </c>
      <c r="X221" s="34">
        <f>19</f>
        <v>19</v>
      </c>
    </row>
    <row r="222" spans="1:24" ht="13.5" customHeight="1" x14ac:dyDescent="0.15">
      <c r="A222" s="25" t="s">
        <v>989</v>
      </c>
      <c r="B222" s="25" t="s">
        <v>676</v>
      </c>
      <c r="C222" s="25" t="s">
        <v>677</v>
      </c>
      <c r="D222" s="25" t="s">
        <v>678</v>
      </c>
      <c r="E222" s="26" t="s">
        <v>45</v>
      </c>
      <c r="F222" s="27" t="s">
        <v>45</v>
      </c>
      <c r="G222" s="28" t="s">
        <v>45</v>
      </c>
      <c r="H222" s="29"/>
      <c r="I222" s="29" t="s">
        <v>46</v>
      </c>
      <c r="J222" s="30">
        <v>10</v>
      </c>
      <c r="K222" s="31">
        <f>1298</f>
        <v>1298</v>
      </c>
      <c r="L222" s="32" t="s">
        <v>785</v>
      </c>
      <c r="M222" s="31">
        <f>1359</f>
        <v>1359</v>
      </c>
      <c r="N222" s="32" t="s">
        <v>893</v>
      </c>
      <c r="O222" s="31">
        <f>1293</f>
        <v>1293</v>
      </c>
      <c r="P222" s="32" t="s">
        <v>78</v>
      </c>
      <c r="Q222" s="31">
        <f>1342</f>
        <v>1342</v>
      </c>
      <c r="R222" s="32" t="s">
        <v>791</v>
      </c>
      <c r="S222" s="33">
        <f>1332.55</f>
        <v>1332.55</v>
      </c>
      <c r="T222" s="30">
        <f>5531170</f>
        <v>5531170</v>
      </c>
      <c r="U222" s="30">
        <f>11540</f>
        <v>11540</v>
      </c>
      <c r="V222" s="30">
        <f>7399587649</f>
        <v>7399587649</v>
      </c>
      <c r="W222" s="30">
        <f>15405164</f>
        <v>15405164</v>
      </c>
      <c r="X222" s="34">
        <f>19</f>
        <v>19</v>
      </c>
    </row>
    <row r="223" spans="1:24" ht="13.5" customHeight="1" x14ac:dyDescent="0.15">
      <c r="A223" s="25" t="s">
        <v>989</v>
      </c>
      <c r="B223" s="25" t="s">
        <v>679</v>
      </c>
      <c r="C223" s="25" t="s">
        <v>680</v>
      </c>
      <c r="D223" s="25" t="s">
        <v>681</v>
      </c>
      <c r="E223" s="26" t="s">
        <v>45</v>
      </c>
      <c r="F223" s="27" t="s">
        <v>45</v>
      </c>
      <c r="G223" s="28" t="s">
        <v>45</v>
      </c>
      <c r="H223" s="29"/>
      <c r="I223" s="29" t="s">
        <v>46</v>
      </c>
      <c r="J223" s="30">
        <v>1</v>
      </c>
      <c r="K223" s="31">
        <f>3300</f>
        <v>3300</v>
      </c>
      <c r="L223" s="32" t="s">
        <v>785</v>
      </c>
      <c r="M223" s="31">
        <f>3660</f>
        <v>3660</v>
      </c>
      <c r="N223" s="32" t="s">
        <v>893</v>
      </c>
      <c r="O223" s="31">
        <f>3280</f>
        <v>3280</v>
      </c>
      <c r="P223" s="32" t="s">
        <v>785</v>
      </c>
      <c r="Q223" s="31">
        <f>3605</f>
        <v>3605</v>
      </c>
      <c r="R223" s="32" t="s">
        <v>791</v>
      </c>
      <c r="S223" s="33">
        <f>3505.79</f>
        <v>3505.79</v>
      </c>
      <c r="T223" s="30">
        <f>27188</f>
        <v>27188</v>
      </c>
      <c r="U223" s="30" t="str">
        <f>"－"</f>
        <v>－</v>
      </c>
      <c r="V223" s="30">
        <f>94449970</f>
        <v>94449970</v>
      </c>
      <c r="W223" s="30" t="str">
        <f>"－"</f>
        <v>－</v>
      </c>
      <c r="X223" s="34">
        <f>19</f>
        <v>19</v>
      </c>
    </row>
    <row r="224" spans="1:24" ht="13.5" customHeight="1" x14ac:dyDescent="0.15">
      <c r="A224" s="25" t="s">
        <v>989</v>
      </c>
      <c r="B224" s="25" t="s">
        <v>682</v>
      </c>
      <c r="C224" s="25" t="s">
        <v>683</v>
      </c>
      <c r="D224" s="25" t="s">
        <v>684</v>
      </c>
      <c r="E224" s="26" t="s">
        <v>45</v>
      </c>
      <c r="F224" s="27" t="s">
        <v>45</v>
      </c>
      <c r="G224" s="28" t="s">
        <v>45</v>
      </c>
      <c r="H224" s="29"/>
      <c r="I224" s="29" t="s">
        <v>46</v>
      </c>
      <c r="J224" s="30">
        <v>10</v>
      </c>
      <c r="K224" s="31">
        <f>1600</f>
        <v>1600</v>
      </c>
      <c r="L224" s="32" t="s">
        <v>875</v>
      </c>
      <c r="M224" s="31">
        <f>1645.5</f>
        <v>1645.5</v>
      </c>
      <c r="N224" s="32" t="s">
        <v>893</v>
      </c>
      <c r="O224" s="31">
        <f>1575.5</f>
        <v>1575.5</v>
      </c>
      <c r="P224" s="32" t="s">
        <v>790</v>
      </c>
      <c r="Q224" s="31">
        <f>1645.5</f>
        <v>1645.5</v>
      </c>
      <c r="R224" s="32" t="s">
        <v>893</v>
      </c>
      <c r="S224" s="33">
        <f>1608.21</f>
        <v>1608.21</v>
      </c>
      <c r="T224" s="30">
        <f>1530</f>
        <v>1530</v>
      </c>
      <c r="U224" s="30" t="str">
        <f>"－"</f>
        <v>－</v>
      </c>
      <c r="V224" s="30">
        <f>2467475</f>
        <v>2467475</v>
      </c>
      <c r="W224" s="30" t="str">
        <f>"－"</f>
        <v>－</v>
      </c>
      <c r="X224" s="34">
        <f>7</f>
        <v>7</v>
      </c>
    </row>
    <row r="225" spans="1:24" ht="13.5" customHeight="1" x14ac:dyDescent="0.15">
      <c r="A225" s="25" t="s">
        <v>989</v>
      </c>
      <c r="B225" s="25" t="s">
        <v>685</v>
      </c>
      <c r="C225" s="25" t="s">
        <v>686</v>
      </c>
      <c r="D225" s="25" t="s">
        <v>687</v>
      </c>
      <c r="E225" s="26" t="s">
        <v>45</v>
      </c>
      <c r="F225" s="27" t="s">
        <v>45</v>
      </c>
      <c r="G225" s="28" t="s">
        <v>45</v>
      </c>
      <c r="H225" s="29"/>
      <c r="I225" s="29" t="s">
        <v>46</v>
      </c>
      <c r="J225" s="30">
        <v>10</v>
      </c>
      <c r="K225" s="31">
        <f>1928</f>
        <v>1928</v>
      </c>
      <c r="L225" s="32" t="s">
        <v>785</v>
      </c>
      <c r="M225" s="31">
        <f>2037</f>
        <v>2037</v>
      </c>
      <c r="N225" s="32" t="s">
        <v>786</v>
      </c>
      <c r="O225" s="31">
        <f>1913</f>
        <v>1913</v>
      </c>
      <c r="P225" s="32" t="s">
        <v>78</v>
      </c>
      <c r="Q225" s="31">
        <f>2031</f>
        <v>2031</v>
      </c>
      <c r="R225" s="32" t="s">
        <v>255</v>
      </c>
      <c r="S225" s="33">
        <f>1969.26</f>
        <v>1969.26</v>
      </c>
      <c r="T225" s="30">
        <f>2012190</f>
        <v>2012190</v>
      </c>
      <c r="U225" s="30">
        <f>1859740</f>
        <v>1859740</v>
      </c>
      <c r="V225" s="30">
        <f>3902035657</f>
        <v>3902035657</v>
      </c>
      <c r="W225" s="30">
        <f>3601761452</f>
        <v>3601761452</v>
      </c>
      <c r="X225" s="34">
        <f>17</f>
        <v>17</v>
      </c>
    </row>
    <row r="226" spans="1:24" ht="13.5" customHeight="1" x14ac:dyDescent="0.15">
      <c r="A226" s="25" t="s">
        <v>989</v>
      </c>
      <c r="B226" s="25" t="s">
        <v>688</v>
      </c>
      <c r="C226" s="25" t="s">
        <v>689</v>
      </c>
      <c r="D226" s="25" t="s">
        <v>690</v>
      </c>
      <c r="E226" s="26" t="s">
        <v>45</v>
      </c>
      <c r="F226" s="27" t="s">
        <v>45</v>
      </c>
      <c r="G226" s="28" t="s">
        <v>45</v>
      </c>
      <c r="H226" s="29"/>
      <c r="I226" s="29" t="s">
        <v>46</v>
      </c>
      <c r="J226" s="30">
        <v>1</v>
      </c>
      <c r="K226" s="31">
        <f>26340</f>
        <v>26340</v>
      </c>
      <c r="L226" s="32" t="s">
        <v>785</v>
      </c>
      <c r="M226" s="31">
        <f>27945</f>
        <v>27945</v>
      </c>
      <c r="N226" s="32" t="s">
        <v>255</v>
      </c>
      <c r="O226" s="31">
        <f>26165</f>
        <v>26165</v>
      </c>
      <c r="P226" s="32" t="s">
        <v>785</v>
      </c>
      <c r="Q226" s="31">
        <f>27940</f>
        <v>27940</v>
      </c>
      <c r="R226" s="32" t="s">
        <v>791</v>
      </c>
      <c r="S226" s="33">
        <f>27024.67</f>
        <v>27024.67</v>
      </c>
      <c r="T226" s="30">
        <f>3402</f>
        <v>3402</v>
      </c>
      <c r="U226" s="30" t="str">
        <f>"－"</f>
        <v>－</v>
      </c>
      <c r="V226" s="30">
        <f>89528975</f>
        <v>89528975</v>
      </c>
      <c r="W226" s="30" t="str">
        <f>"－"</f>
        <v>－</v>
      </c>
      <c r="X226" s="34">
        <f>15</f>
        <v>15</v>
      </c>
    </row>
    <row r="227" spans="1:24" ht="13.5" customHeight="1" x14ac:dyDescent="0.15">
      <c r="A227" s="25" t="s">
        <v>989</v>
      </c>
      <c r="B227" s="25" t="s">
        <v>691</v>
      </c>
      <c r="C227" s="25" t="s">
        <v>692</v>
      </c>
      <c r="D227" s="25" t="s">
        <v>693</v>
      </c>
      <c r="E227" s="26" t="s">
        <v>45</v>
      </c>
      <c r="F227" s="27" t="s">
        <v>45</v>
      </c>
      <c r="G227" s="28" t="s">
        <v>45</v>
      </c>
      <c r="H227" s="29"/>
      <c r="I227" s="29" t="s">
        <v>46</v>
      </c>
      <c r="J227" s="30">
        <v>1</v>
      </c>
      <c r="K227" s="31">
        <f>17100</f>
        <v>17100</v>
      </c>
      <c r="L227" s="32" t="s">
        <v>785</v>
      </c>
      <c r="M227" s="31">
        <f>18350</f>
        <v>18350</v>
      </c>
      <c r="N227" s="32" t="s">
        <v>791</v>
      </c>
      <c r="O227" s="31">
        <f>17100</f>
        <v>17100</v>
      </c>
      <c r="P227" s="32" t="s">
        <v>785</v>
      </c>
      <c r="Q227" s="31">
        <f>18325</f>
        <v>18325</v>
      </c>
      <c r="R227" s="32" t="s">
        <v>791</v>
      </c>
      <c r="S227" s="33">
        <f>17789.09</f>
        <v>17789.09</v>
      </c>
      <c r="T227" s="30">
        <f>31617</f>
        <v>31617</v>
      </c>
      <c r="U227" s="30">
        <f>16500</f>
        <v>16500</v>
      </c>
      <c r="V227" s="30">
        <f>547966215</f>
        <v>547966215</v>
      </c>
      <c r="W227" s="30">
        <f>285615600</f>
        <v>285615600</v>
      </c>
      <c r="X227" s="34">
        <f>11</f>
        <v>11</v>
      </c>
    </row>
    <row r="228" spans="1:24" ht="13.5" customHeight="1" x14ac:dyDescent="0.15">
      <c r="A228" s="25" t="s">
        <v>989</v>
      </c>
      <c r="B228" s="25" t="s">
        <v>694</v>
      </c>
      <c r="C228" s="25" t="s">
        <v>695</v>
      </c>
      <c r="D228" s="25" t="s">
        <v>696</v>
      </c>
      <c r="E228" s="26" t="s">
        <v>45</v>
      </c>
      <c r="F228" s="27" t="s">
        <v>45</v>
      </c>
      <c r="G228" s="28" t="s">
        <v>45</v>
      </c>
      <c r="H228" s="29"/>
      <c r="I228" s="29" t="s">
        <v>46</v>
      </c>
      <c r="J228" s="30">
        <v>10</v>
      </c>
      <c r="K228" s="31">
        <f>1137.5</f>
        <v>1137.5</v>
      </c>
      <c r="L228" s="32" t="s">
        <v>785</v>
      </c>
      <c r="M228" s="31">
        <f>1148.5</f>
        <v>1148.5</v>
      </c>
      <c r="N228" s="32" t="s">
        <v>794</v>
      </c>
      <c r="O228" s="31">
        <f>1070.5</f>
        <v>1070.5</v>
      </c>
      <c r="P228" s="32" t="s">
        <v>80</v>
      </c>
      <c r="Q228" s="31">
        <f>1094</f>
        <v>1094</v>
      </c>
      <c r="R228" s="32" t="s">
        <v>791</v>
      </c>
      <c r="S228" s="33">
        <f>1103.53</f>
        <v>1103.53</v>
      </c>
      <c r="T228" s="30">
        <f>821910</f>
        <v>821910</v>
      </c>
      <c r="U228" s="30">
        <f>438710</f>
        <v>438710</v>
      </c>
      <c r="V228" s="30">
        <f>918975686</f>
        <v>918975686</v>
      </c>
      <c r="W228" s="30">
        <f>492529336</f>
        <v>492529336</v>
      </c>
      <c r="X228" s="34">
        <f>19</f>
        <v>19</v>
      </c>
    </row>
    <row r="229" spans="1:24" ht="13.5" customHeight="1" x14ac:dyDescent="0.15">
      <c r="A229" s="25" t="s">
        <v>989</v>
      </c>
      <c r="B229" s="25" t="s">
        <v>697</v>
      </c>
      <c r="C229" s="25" t="s">
        <v>698</v>
      </c>
      <c r="D229" s="25" t="s">
        <v>699</v>
      </c>
      <c r="E229" s="26" t="s">
        <v>45</v>
      </c>
      <c r="F229" s="27" t="s">
        <v>45</v>
      </c>
      <c r="G229" s="28" t="s">
        <v>45</v>
      </c>
      <c r="H229" s="29"/>
      <c r="I229" s="29" t="s">
        <v>46</v>
      </c>
      <c r="J229" s="30">
        <v>10</v>
      </c>
      <c r="K229" s="31">
        <f>1121</f>
        <v>1121</v>
      </c>
      <c r="L229" s="32" t="s">
        <v>785</v>
      </c>
      <c r="M229" s="31">
        <f>1121.5</f>
        <v>1121.5</v>
      </c>
      <c r="N229" s="32" t="s">
        <v>784</v>
      </c>
      <c r="O229" s="31">
        <f>1064</f>
        <v>1064</v>
      </c>
      <c r="P229" s="32" t="s">
        <v>80</v>
      </c>
      <c r="Q229" s="31">
        <f>1093</f>
        <v>1093</v>
      </c>
      <c r="R229" s="32" t="s">
        <v>791</v>
      </c>
      <c r="S229" s="33">
        <f>1095.39</f>
        <v>1095.3900000000001</v>
      </c>
      <c r="T229" s="30">
        <f>497040</f>
        <v>497040</v>
      </c>
      <c r="U229" s="30" t="str">
        <f>"－"</f>
        <v>－</v>
      </c>
      <c r="V229" s="30">
        <f>544057910</f>
        <v>544057910</v>
      </c>
      <c r="W229" s="30" t="str">
        <f>"－"</f>
        <v>－</v>
      </c>
      <c r="X229" s="34">
        <f>18</f>
        <v>18</v>
      </c>
    </row>
    <row r="230" spans="1:24" ht="13.5" customHeight="1" x14ac:dyDescent="0.15">
      <c r="A230" s="25" t="s">
        <v>989</v>
      </c>
      <c r="B230" s="25" t="s">
        <v>700</v>
      </c>
      <c r="C230" s="25" t="s">
        <v>701</v>
      </c>
      <c r="D230" s="25" t="s">
        <v>702</v>
      </c>
      <c r="E230" s="26" t="s">
        <v>45</v>
      </c>
      <c r="F230" s="27" t="s">
        <v>45</v>
      </c>
      <c r="G230" s="28" t="s">
        <v>45</v>
      </c>
      <c r="H230" s="29"/>
      <c r="I230" s="29" t="s">
        <v>46</v>
      </c>
      <c r="J230" s="30">
        <v>1</v>
      </c>
      <c r="K230" s="31">
        <f>1183</f>
        <v>1183</v>
      </c>
      <c r="L230" s="32" t="s">
        <v>785</v>
      </c>
      <c r="M230" s="31">
        <f>1220</f>
        <v>1220</v>
      </c>
      <c r="N230" s="32" t="s">
        <v>893</v>
      </c>
      <c r="O230" s="31">
        <f>1169</f>
        <v>1169</v>
      </c>
      <c r="P230" s="32" t="s">
        <v>876</v>
      </c>
      <c r="Q230" s="31">
        <f>1211</f>
        <v>1211</v>
      </c>
      <c r="R230" s="32" t="s">
        <v>791</v>
      </c>
      <c r="S230" s="33">
        <f>1199.58</f>
        <v>1199.58</v>
      </c>
      <c r="T230" s="30">
        <f>265598</f>
        <v>265598</v>
      </c>
      <c r="U230" s="30">
        <f>41233</f>
        <v>41233</v>
      </c>
      <c r="V230" s="30">
        <f>315843698</f>
        <v>315843698</v>
      </c>
      <c r="W230" s="30">
        <f>49806887</f>
        <v>49806887</v>
      </c>
      <c r="X230" s="34">
        <f>19</f>
        <v>19</v>
      </c>
    </row>
    <row r="231" spans="1:24" ht="13.5" customHeight="1" x14ac:dyDescent="0.15">
      <c r="A231" s="25" t="s">
        <v>989</v>
      </c>
      <c r="B231" s="25" t="s">
        <v>703</v>
      </c>
      <c r="C231" s="25" t="s">
        <v>704</v>
      </c>
      <c r="D231" s="25" t="s">
        <v>705</v>
      </c>
      <c r="E231" s="26" t="s">
        <v>45</v>
      </c>
      <c r="F231" s="27" t="s">
        <v>45</v>
      </c>
      <c r="G231" s="28" t="s">
        <v>45</v>
      </c>
      <c r="H231" s="29"/>
      <c r="I231" s="29" t="s">
        <v>46</v>
      </c>
      <c r="J231" s="30">
        <v>1</v>
      </c>
      <c r="K231" s="31">
        <f>12630</f>
        <v>12630</v>
      </c>
      <c r="L231" s="32" t="s">
        <v>785</v>
      </c>
      <c r="M231" s="31">
        <f>14000</f>
        <v>14000</v>
      </c>
      <c r="N231" s="32" t="s">
        <v>255</v>
      </c>
      <c r="O231" s="31">
        <f>12370</f>
        <v>12370</v>
      </c>
      <c r="P231" s="32" t="s">
        <v>785</v>
      </c>
      <c r="Q231" s="31">
        <f>13785</f>
        <v>13785</v>
      </c>
      <c r="R231" s="32" t="s">
        <v>791</v>
      </c>
      <c r="S231" s="33">
        <f>13411.05</f>
        <v>13411.05</v>
      </c>
      <c r="T231" s="30">
        <f>1401</f>
        <v>1401</v>
      </c>
      <c r="U231" s="30" t="str">
        <f>"－"</f>
        <v>－</v>
      </c>
      <c r="V231" s="30">
        <f>18795970</f>
        <v>18795970</v>
      </c>
      <c r="W231" s="30" t="str">
        <f>"－"</f>
        <v>－</v>
      </c>
      <c r="X231" s="34">
        <f>19</f>
        <v>19</v>
      </c>
    </row>
    <row r="232" spans="1:24" ht="13.5" customHeight="1" x14ac:dyDescent="0.15">
      <c r="A232" s="25" t="s">
        <v>989</v>
      </c>
      <c r="B232" s="25" t="s">
        <v>706</v>
      </c>
      <c r="C232" s="25" t="s">
        <v>707</v>
      </c>
      <c r="D232" s="25" t="s">
        <v>708</v>
      </c>
      <c r="E232" s="26" t="s">
        <v>45</v>
      </c>
      <c r="F232" s="27" t="s">
        <v>45</v>
      </c>
      <c r="G232" s="28" t="s">
        <v>45</v>
      </c>
      <c r="H232" s="29"/>
      <c r="I232" s="29" t="s">
        <v>46</v>
      </c>
      <c r="J232" s="30">
        <v>1</v>
      </c>
      <c r="K232" s="31">
        <f>2057</f>
        <v>2057</v>
      </c>
      <c r="L232" s="32" t="s">
        <v>785</v>
      </c>
      <c r="M232" s="31">
        <f>2057</f>
        <v>2057</v>
      </c>
      <c r="N232" s="32" t="s">
        <v>785</v>
      </c>
      <c r="O232" s="31">
        <f>1915</f>
        <v>1915</v>
      </c>
      <c r="P232" s="32" t="s">
        <v>80</v>
      </c>
      <c r="Q232" s="31">
        <f>1984</f>
        <v>1984</v>
      </c>
      <c r="R232" s="32" t="s">
        <v>791</v>
      </c>
      <c r="S232" s="33">
        <f>1974.32</f>
        <v>1974.32</v>
      </c>
      <c r="T232" s="30">
        <f>269507</f>
        <v>269507</v>
      </c>
      <c r="U232" s="30">
        <f>250000</f>
        <v>250000</v>
      </c>
      <c r="V232" s="30">
        <f>521990991</f>
        <v>521990991</v>
      </c>
      <c r="W232" s="30">
        <f>483525000</f>
        <v>483525000</v>
      </c>
      <c r="X232" s="34">
        <f>19</f>
        <v>19</v>
      </c>
    </row>
    <row r="233" spans="1:24" ht="13.5" customHeight="1" x14ac:dyDescent="0.15">
      <c r="A233" s="25" t="s">
        <v>989</v>
      </c>
      <c r="B233" s="25" t="s">
        <v>709</v>
      </c>
      <c r="C233" s="25" t="s">
        <v>710</v>
      </c>
      <c r="D233" s="25" t="s">
        <v>711</v>
      </c>
      <c r="E233" s="26" t="s">
        <v>45</v>
      </c>
      <c r="F233" s="27" t="s">
        <v>45</v>
      </c>
      <c r="G233" s="28" t="s">
        <v>45</v>
      </c>
      <c r="H233" s="29"/>
      <c r="I233" s="29" t="s">
        <v>46</v>
      </c>
      <c r="J233" s="30">
        <v>10</v>
      </c>
      <c r="K233" s="31">
        <f>1508.5</f>
        <v>1508.5</v>
      </c>
      <c r="L233" s="32" t="s">
        <v>785</v>
      </c>
      <c r="M233" s="31">
        <f>1683.5</f>
        <v>1683.5</v>
      </c>
      <c r="N233" s="32" t="s">
        <v>787</v>
      </c>
      <c r="O233" s="31">
        <f>1508.5</f>
        <v>1508.5</v>
      </c>
      <c r="P233" s="32" t="s">
        <v>785</v>
      </c>
      <c r="Q233" s="31">
        <f>1682.5</f>
        <v>1682.5</v>
      </c>
      <c r="R233" s="32" t="s">
        <v>255</v>
      </c>
      <c r="S233" s="33">
        <f>1604.73</f>
        <v>1604.73</v>
      </c>
      <c r="T233" s="30">
        <f>1820</f>
        <v>1820</v>
      </c>
      <c r="U233" s="30" t="str">
        <f>"－"</f>
        <v>－</v>
      </c>
      <c r="V233" s="30">
        <f>2925410</f>
        <v>2925410</v>
      </c>
      <c r="W233" s="30" t="str">
        <f>"－"</f>
        <v>－</v>
      </c>
      <c r="X233" s="34">
        <f>15</f>
        <v>15</v>
      </c>
    </row>
    <row r="234" spans="1:24" ht="13.5" customHeight="1" x14ac:dyDescent="0.15">
      <c r="A234" s="25" t="s">
        <v>989</v>
      </c>
      <c r="B234" s="25" t="s">
        <v>712</v>
      </c>
      <c r="C234" s="25" t="s">
        <v>795</v>
      </c>
      <c r="D234" s="25" t="s">
        <v>796</v>
      </c>
      <c r="E234" s="26" t="s">
        <v>45</v>
      </c>
      <c r="F234" s="27" t="s">
        <v>45</v>
      </c>
      <c r="G234" s="28" t="s">
        <v>45</v>
      </c>
      <c r="H234" s="29"/>
      <c r="I234" s="29" t="s">
        <v>46</v>
      </c>
      <c r="J234" s="30">
        <v>10</v>
      </c>
      <c r="K234" s="31">
        <f>846</f>
        <v>846</v>
      </c>
      <c r="L234" s="32" t="s">
        <v>785</v>
      </c>
      <c r="M234" s="31">
        <f>882</f>
        <v>882</v>
      </c>
      <c r="N234" s="32" t="s">
        <v>784</v>
      </c>
      <c r="O234" s="31">
        <f>846</f>
        <v>846</v>
      </c>
      <c r="P234" s="32" t="s">
        <v>785</v>
      </c>
      <c r="Q234" s="31">
        <f>860.8</f>
        <v>860.8</v>
      </c>
      <c r="R234" s="32" t="s">
        <v>791</v>
      </c>
      <c r="S234" s="33">
        <f>859.36</f>
        <v>859.36</v>
      </c>
      <c r="T234" s="30">
        <f>518610</f>
        <v>518610</v>
      </c>
      <c r="U234" s="30">
        <f>325650</f>
        <v>325650</v>
      </c>
      <c r="V234" s="30">
        <f>446105524</f>
        <v>446105524</v>
      </c>
      <c r="W234" s="30">
        <f>280743993</f>
        <v>280743993</v>
      </c>
      <c r="X234" s="34">
        <f>19</f>
        <v>19</v>
      </c>
    </row>
    <row r="235" spans="1:24" ht="13.5" customHeight="1" x14ac:dyDescent="0.15">
      <c r="A235" s="25" t="s">
        <v>989</v>
      </c>
      <c r="B235" s="25" t="s">
        <v>713</v>
      </c>
      <c r="C235" s="25" t="s">
        <v>714</v>
      </c>
      <c r="D235" s="25" t="s">
        <v>715</v>
      </c>
      <c r="E235" s="26" t="s">
        <v>45</v>
      </c>
      <c r="F235" s="27" t="s">
        <v>45</v>
      </c>
      <c r="G235" s="28" t="s">
        <v>45</v>
      </c>
      <c r="H235" s="29"/>
      <c r="I235" s="29" t="s">
        <v>46</v>
      </c>
      <c r="J235" s="30">
        <v>10</v>
      </c>
      <c r="K235" s="31">
        <f>1938.5</f>
        <v>1938.5</v>
      </c>
      <c r="L235" s="32" t="s">
        <v>785</v>
      </c>
      <c r="M235" s="31">
        <f>1938.5</f>
        <v>1938.5</v>
      </c>
      <c r="N235" s="32" t="s">
        <v>785</v>
      </c>
      <c r="O235" s="31">
        <f>1822</f>
        <v>1822</v>
      </c>
      <c r="P235" s="32" t="s">
        <v>80</v>
      </c>
      <c r="Q235" s="31">
        <f>1864</f>
        <v>1864</v>
      </c>
      <c r="R235" s="32" t="s">
        <v>791</v>
      </c>
      <c r="S235" s="33">
        <f>1878.55</f>
        <v>1878.55</v>
      </c>
      <c r="T235" s="30">
        <f>3062720</f>
        <v>3062720</v>
      </c>
      <c r="U235" s="30">
        <f>3036330</f>
        <v>3036330</v>
      </c>
      <c r="V235" s="30">
        <f>5754908300</f>
        <v>5754908300</v>
      </c>
      <c r="W235" s="30">
        <f>5705171940</f>
        <v>5705171940</v>
      </c>
      <c r="X235" s="34">
        <f>19</f>
        <v>19</v>
      </c>
    </row>
    <row r="236" spans="1:24" ht="13.5" customHeight="1" x14ac:dyDescent="0.15">
      <c r="A236" s="25" t="s">
        <v>989</v>
      </c>
      <c r="B236" s="25" t="s">
        <v>716</v>
      </c>
      <c r="C236" s="25" t="s">
        <v>717</v>
      </c>
      <c r="D236" s="25" t="s">
        <v>718</v>
      </c>
      <c r="E236" s="26" t="s">
        <v>45</v>
      </c>
      <c r="F236" s="27" t="s">
        <v>45</v>
      </c>
      <c r="G236" s="28" t="s">
        <v>45</v>
      </c>
      <c r="H236" s="29"/>
      <c r="I236" s="29" t="s">
        <v>46</v>
      </c>
      <c r="J236" s="30">
        <v>10</v>
      </c>
      <c r="K236" s="31">
        <f>1940.5</f>
        <v>1940.5</v>
      </c>
      <c r="L236" s="32" t="s">
        <v>785</v>
      </c>
      <c r="M236" s="31">
        <f>1945.5</f>
        <v>1945.5</v>
      </c>
      <c r="N236" s="32" t="s">
        <v>785</v>
      </c>
      <c r="O236" s="31">
        <f>1819</f>
        <v>1819</v>
      </c>
      <c r="P236" s="32" t="s">
        <v>80</v>
      </c>
      <c r="Q236" s="31">
        <f>1868.5</f>
        <v>1868.5</v>
      </c>
      <c r="R236" s="32" t="s">
        <v>791</v>
      </c>
      <c r="S236" s="33">
        <f>1875.18</f>
        <v>1875.18</v>
      </c>
      <c r="T236" s="30">
        <f>685650</f>
        <v>685650</v>
      </c>
      <c r="U236" s="30">
        <f>505090</f>
        <v>505090</v>
      </c>
      <c r="V236" s="30">
        <f>1285739918</f>
        <v>1285739918</v>
      </c>
      <c r="W236" s="30">
        <f>946919483</f>
        <v>946919483</v>
      </c>
      <c r="X236" s="34">
        <f>19</f>
        <v>19</v>
      </c>
    </row>
    <row r="237" spans="1:24" ht="13.5" customHeight="1" x14ac:dyDescent="0.15">
      <c r="A237" s="25" t="s">
        <v>989</v>
      </c>
      <c r="B237" s="25" t="s">
        <v>719</v>
      </c>
      <c r="C237" s="25" t="s">
        <v>720</v>
      </c>
      <c r="D237" s="25" t="s">
        <v>721</v>
      </c>
      <c r="E237" s="26" t="s">
        <v>45</v>
      </c>
      <c r="F237" s="27" t="s">
        <v>45</v>
      </c>
      <c r="G237" s="28" t="s">
        <v>45</v>
      </c>
      <c r="H237" s="29"/>
      <c r="I237" s="29" t="s">
        <v>46</v>
      </c>
      <c r="J237" s="30">
        <v>10</v>
      </c>
      <c r="K237" s="31">
        <f>1882</f>
        <v>1882</v>
      </c>
      <c r="L237" s="32" t="s">
        <v>785</v>
      </c>
      <c r="M237" s="31">
        <f>1996</f>
        <v>1996</v>
      </c>
      <c r="N237" s="32" t="s">
        <v>786</v>
      </c>
      <c r="O237" s="31">
        <f>1878</f>
        <v>1878</v>
      </c>
      <c r="P237" s="32" t="s">
        <v>785</v>
      </c>
      <c r="Q237" s="31">
        <f>1996</f>
        <v>1996</v>
      </c>
      <c r="R237" s="32" t="s">
        <v>786</v>
      </c>
      <c r="S237" s="33">
        <f>1929.05</f>
        <v>1929.05</v>
      </c>
      <c r="T237" s="30">
        <f>1630</f>
        <v>1630</v>
      </c>
      <c r="U237" s="30" t="str">
        <f>"－"</f>
        <v>－</v>
      </c>
      <c r="V237" s="30">
        <f>3121545</f>
        <v>3121545</v>
      </c>
      <c r="W237" s="30" t="str">
        <f>"－"</f>
        <v>－</v>
      </c>
      <c r="X237" s="34">
        <f>11</f>
        <v>11</v>
      </c>
    </row>
    <row r="238" spans="1:24" ht="13.5" customHeight="1" x14ac:dyDescent="0.15">
      <c r="A238" s="25" t="s">
        <v>989</v>
      </c>
      <c r="B238" s="25" t="s">
        <v>722</v>
      </c>
      <c r="C238" s="25" t="s">
        <v>723</v>
      </c>
      <c r="D238" s="25" t="s">
        <v>724</v>
      </c>
      <c r="E238" s="26" t="s">
        <v>45</v>
      </c>
      <c r="F238" s="27" t="s">
        <v>45</v>
      </c>
      <c r="G238" s="28" t="s">
        <v>45</v>
      </c>
      <c r="H238" s="29"/>
      <c r="I238" s="29" t="s">
        <v>46</v>
      </c>
      <c r="J238" s="30">
        <v>1</v>
      </c>
      <c r="K238" s="31">
        <f>14415</f>
        <v>14415</v>
      </c>
      <c r="L238" s="32" t="s">
        <v>785</v>
      </c>
      <c r="M238" s="31">
        <f>15205</f>
        <v>15205</v>
      </c>
      <c r="N238" s="32" t="s">
        <v>893</v>
      </c>
      <c r="O238" s="31">
        <f>14340</f>
        <v>14340</v>
      </c>
      <c r="P238" s="32" t="s">
        <v>785</v>
      </c>
      <c r="Q238" s="31">
        <f>15020</f>
        <v>15020</v>
      </c>
      <c r="R238" s="32" t="s">
        <v>791</v>
      </c>
      <c r="S238" s="33">
        <f>14816.58</f>
        <v>14816.58</v>
      </c>
      <c r="T238" s="30">
        <f>1074508</f>
        <v>1074508</v>
      </c>
      <c r="U238" s="30">
        <f>13610</f>
        <v>13610</v>
      </c>
      <c r="V238" s="30">
        <f>15911010743</f>
        <v>15911010743</v>
      </c>
      <c r="W238" s="30">
        <f>199929258</f>
        <v>199929258</v>
      </c>
      <c r="X238" s="34">
        <f>19</f>
        <v>19</v>
      </c>
    </row>
    <row r="239" spans="1:24" ht="13.5" customHeight="1" x14ac:dyDescent="0.15">
      <c r="A239" s="25" t="s">
        <v>989</v>
      </c>
      <c r="B239" s="25" t="s">
        <v>725</v>
      </c>
      <c r="C239" s="25" t="s">
        <v>726</v>
      </c>
      <c r="D239" s="25" t="s">
        <v>727</v>
      </c>
      <c r="E239" s="26" t="s">
        <v>45</v>
      </c>
      <c r="F239" s="27" t="s">
        <v>45</v>
      </c>
      <c r="G239" s="28" t="s">
        <v>45</v>
      </c>
      <c r="H239" s="29"/>
      <c r="I239" s="29" t="s">
        <v>46</v>
      </c>
      <c r="J239" s="30">
        <v>1</v>
      </c>
      <c r="K239" s="31">
        <f>13410</f>
        <v>13410</v>
      </c>
      <c r="L239" s="32" t="s">
        <v>785</v>
      </c>
      <c r="M239" s="31">
        <f>13900</f>
        <v>13900</v>
      </c>
      <c r="N239" s="32" t="s">
        <v>255</v>
      </c>
      <c r="O239" s="31">
        <f>13340</f>
        <v>13340</v>
      </c>
      <c r="P239" s="32" t="s">
        <v>785</v>
      </c>
      <c r="Q239" s="31">
        <f>13775</f>
        <v>13775</v>
      </c>
      <c r="R239" s="32" t="s">
        <v>791</v>
      </c>
      <c r="S239" s="33">
        <f>13712.37</f>
        <v>13712.37</v>
      </c>
      <c r="T239" s="30">
        <f>127641</f>
        <v>127641</v>
      </c>
      <c r="U239" s="30">
        <f>3602</f>
        <v>3602</v>
      </c>
      <c r="V239" s="30">
        <f>1744411759</f>
        <v>1744411759</v>
      </c>
      <c r="W239" s="30">
        <f>49754454</f>
        <v>49754454</v>
      </c>
      <c r="X239" s="34">
        <f>19</f>
        <v>19</v>
      </c>
    </row>
    <row r="240" spans="1:24" ht="13.5" customHeight="1" x14ac:dyDescent="0.15">
      <c r="A240" s="25" t="s">
        <v>989</v>
      </c>
      <c r="B240" s="25" t="s">
        <v>728</v>
      </c>
      <c r="C240" s="25" t="s">
        <v>729</v>
      </c>
      <c r="D240" s="25" t="s">
        <v>730</v>
      </c>
      <c r="E240" s="26" t="s">
        <v>45</v>
      </c>
      <c r="F240" s="27" t="s">
        <v>45</v>
      </c>
      <c r="G240" s="28" t="s">
        <v>45</v>
      </c>
      <c r="H240" s="29"/>
      <c r="I240" s="29" t="s">
        <v>46</v>
      </c>
      <c r="J240" s="30">
        <v>1</v>
      </c>
      <c r="K240" s="31">
        <f>25200</f>
        <v>25200</v>
      </c>
      <c r="L240" s="32" t="s">
        <v>875</v>
      </c>
      <c r="M240" s="31">
        <f>26340</f>
        <v>26340</v>
      </c>
      <c r="N240" s="32" t="s">
        <v>789</v>
      </c>
      <c r="O240" s="31">
        <f>25200</f>
        <v>25200</v>
      </c>
      <c r="P240" s="32" t="s">
        <v>875</v>
      </c>
      <c r="Q240" s="31">
        <f>26340</f>
        <v>26340</v>
      </c>
      <c r="R240" s="32" t="s">
        <v>789</v>
      </c>
      <c r="S240" s="33">
        <f>25898.33</f>
        <v>25898.33</v>
      </c>
      <c r="T240" s="30">
        <f>14</f>
        <v>14</v>
      </c>
      <c r="U240" s="30" t="str">
        <f>"－"</f>
        <v>－</v>
      </c>
      <c r="V240" s="30">
        <f>364230</f>
        <v>364230</v>
      </c>
      <c r="W240" s="30" t="str">
        <f>"－"</f>
        <v>－</v>
      </c>
      <c r="X240" s="34">
        <f>3</f>
        <v>3</v>
      </c>
    </row>
    <row r="241" spans="1:24" ht="13.5" customHeight="1" x14ac:dyDescent="0.15">
      <c r="A241" s="25" t="s">
        <v>989</v>
      </c>
      <c r="B241" s="25" t="s">
        <v>731</v>
      </c>
      <c r="C241" s="25" t="s">
        <v>732</v>
      </c>
      <c r="D241" s="25" t="s">
        <v>733</v>
      </c>
      <c r="E241" s="26" t="s">
        <v>45</v>
      </c>
      <c r="F241" s="27" t="s">
        <v>45</v>
      </c>
      <c r="G241" s="28" t="s">
        <v>45</v>
      </c>
      <c r="H241" s="29"/>
      <c r="I241" s="29" t="s">
        <v>46</v>
      </c>
      <c r="J241" s="30">
        <v>1</v>
      </c>
      <c r="K241" s="31">
        <f>2461</f>
        <v>2461</v>
      </c>
      <c r="L241" s="32" t="s">
        <v>785</v>
      </c>
      <c r="M241" s="31">
        <f>2493</f>
        <v>2493</v>
      </c>
      <c r="N241" s="32" t="s">
        <v>786</v>
      </c>
      <c r="O241" s="31">
        <f>2432</f>
        <v>2432</v>
      </c>
      <c r="P241" s="32" t="s">
        <v>56</v>
      </c>
      <c r="Q241" s="31">
        <f>2456</f>
        <v>2456</v>
      </c>
      <c r="R241" s="32" t="s">
        <v>791</v>
      </c>
      <c r="S241" s="33">
        <f>2468.58</f>
        <v>2468.58</v>
      </c>
      <c r="T241" s="30">
        <f>199120</f>
        <v>199120</v>
      </c>
      <c r="U241" s="30">
        <f>14719</f>
        <v>14719</v>
      </c>
      <c r="V241" s="30">
        <f>492047177</f>
        <v>492047177</v>
      </c>
      <c r="W241" s="30">
        <f>36476633</f>
        <v>36476633</v>
      </c>
      <c r="X241" s="34">
        <f>19</f>
        <v>19</v>
      </c>
    </row>
    <row r="242" spans="1:24" ht="13.5" customHeight="1" x14ac:dyDescent="0.15">
      <c r="A242" s="25" t="s">
        <v>989</v>
      </c>
      <c r="B242" s="25" t="s">
        <v>734</v>
      </c>
      <c r="C242" s="25" t="s">
        <v>735</v>
      </c>
      <c r="D242" s="25" t="s">
        <v>736</v>
      </c>
      <c r="E242" s="26" t="s">
        <v>45</v>
      </c>
      <c r="F242" s="27" t="s">
        <v>45</v>
      </c>
      <c r="G242" s="28" t="s">
        <v>45</v>
      </c>
      <c r="H242" s="29"/>
      <c r="I242" s="29" t="s">
        <v>46</v>
      </c>
      <c r="J242" s="30">
        <v>10</v>
      </c>
      <c r="K242" s="31">
        <f>2778.5</f>
        <v>2778.5</v>
      </c>
      <c r="L242" s="32" t="s">
        <v>785</v>
      </c>
      <c r="M242" s="31">
        <f>2864</f>
        <v>2864</v>
      </c>
      <c r="N242" s="32" t="s">
        <v>876</v>
      </c>
      <c r="O242" s="31">
        <f>2752.5</f>
        <v>2752.5</v>
      </c>
      <c r="P242" s="32" t="s">
        <v>78</v>
      </c>
      <c r="Q242" s="31">
        <f>2801</f>
        <v>2801</v>
      </c>
      <c r="R242" s="32" t="s">
        <v>791</v>
      </c>
      <c r="S242" s="33">
        <f>2805.39</f>
        <v>2805.39</v>
      </c>
      <c r="T242" s="30">
        <f>823490</f>
        <v>823490</v>
      </c>
      <c r="U242" s="30" t="str">
        <f>"－"</f>
        <v>－</v>
      </c>
      <c r="V242" s="30">
        <f>2305356570</f>
        <v>2305356570</v>
      </c>
      <c r="W242" s="30" t="str">
        <f>"－"</f>
        <v>－</v>
      </c>
      <c r="X242" s="34">
        <f>19</f>
        <v>19</v>
      </c>
    </row>
    <row r="243" spans="1:24" ht="13.5" customHeight="1" x14ac:dyDescent="0.15">
      <c r="A243" s="25" t="s">
        <v>989</v>
      </c>
      <c r="B243" s="25" t="s">
        <v>737</v>
      </c>
      <c r="C243" s="25" t="s">
        <v>738</v>
      </c>
      <c r="D243" s="25" t="s">
        <v>739</v>
      </c>
      <c r="E243" s="26" t="s">
        <v>45</v>
      </c>
      <c r="F243" s="27" t="s">
        <v>45</v>
      </c>
      <c r="G243" s="28" t="s">
        <v>45</v>
      </c>
      <c r="H243" s="29"/>
      <c r="I243" s="29" t="s">
        <v>46</v>
      </c>
      <c r="J243" s="30">
        <v>10</v>
      </c>
      <c r="K243" s="31">
        <f>241.8</f>
        <v>241.8</v>
      </c>
      <c r="L243" s="32" t="s">
        <v>785</v>
      </c>
      <c r="M243" s="31">
        <f>255.9</f>
        <v>255.9</v>
      </c>
      <c r="N243" s="32" t="s">
        <v>893</v>
      </c>
      <c r="O243" s="31">
        <f>240.9</f>
        <v>240.9</v>
      </c>
      <c r="P243" s="32" t="s">
        <v>78</v>
      </c>
      <c r="Q243" s="31">
        <f>252.6</f>
        <v>252.6</v>
      </c>
      <c r="R243" s="32" t="s">
        <v>791</v>
      </c>
      <c r="S243" s="33">
        <f>249.47</f>
        <v>249.47</v>
      </c>
      <c r="T243" s="30">
        <f>51586950</f>
        <v>51586950</v>
      </c>
      <c r="U243" s="30">
        <f>4472510</f>
        <v>4472510</v>
      </c>
      <c r="V243" s="30">
        <f>12940503979</f>
        <v>12940503979</v>
      </c>
      <c r="W243" s="30">
        <f>1126404557</f>
        <v>1126404557</v>
      </c>
      <c r="X243" s="34">
        <f>19</f>
        <v>19</v>
      </c>
    </row>
    <row r="244" spans="1:24" ht="13.5" customHeight="1" x14ac:dyDescent="0.15">
      <c r="A244" s="25" t="s">
        <v>989</v>
      </c>
      <c r="B244" s="25" t="s">
        <v>740</v>
      </c>
      <c r="C244" s="25" t="s">
        <v>741</v>
      </c>
      <c r="D244" s="25" t="s">
        <v>742</v>
      </c>
      <c r="E244" s="26" t="s">
        <v>45</v>
      </c>
      <c r="F244" s="27" t="s">
        <v>45</v>
      </c>
      <c r="G244" s="28" t="s">
        <v>45</v>
      </c>
      <c r="H244" s="29"/>
      <c r="I244" s="29" t="s">
        <v>46</v>
      </c>
      <c r="J244" s="30">
        <v>1</v>
      </c>
      <c r="K244" s="31">
        <f>2049</f>
        <v>2049</v>
      </c>
      <c r="L244" s="32" t="s">
        <v>785</v>
      </c>
      <c r="M244" s="31">
        <f>2124</f>
        <v>2124</v>
      </c>
      <c r="N244" s="32" t="s">
        <v>786</v>
      </c>
      <c r="O244" s="31">
        <f>1984</f>
        <v>1984</v>
      </c>
      <c r="P244" s="32" t="s">
        <v>784</v>
      </c>
      <c r="Q244" s="31">
        <f>2110</f>
        <v>2110</v>
      </c>
      <c r="R244" s="32" t="s">
        <v>791</v>
      </c>
      <c r="S244" s="33">
        <f>2064.42</f>
        <v>2064.42</v>
      </c>
      <c r="T244" s="30">
        <f>2500704</f>
        <v>2500704</v>
      </c>
      <c r="U244" s="30" t="str">
        <f>"－"</f>
        <v>－</v>
      </c>
      <c r="V244" s="30">
        <f>5114906694</f>
        <v>5114906694</v>
      </c>
      <c r="W244" s="30" t="str">
        <f>"－"</f>
        <v>－</v>
      </c>
      <c r="X244" s="34">
        <f>19</f>
        <v>19</v>
      </c>
    </row>
    <row r="245" spans="1:24" ht="13.5" customHeight="1" x14ac:dyDescent="0.15">
      <c r="A245" s="25" t="s">
        <v>989</v>
      </c>
      <c r="B245" s="25" t="s">
        <v>743</v>
      </c>
      <c r="C245" s="25" t="s">
        <v>744</v>
      </c>
      <c r="D245" s="25" t="s">
        <v>745</v>
      </c>
      <c r="E245" s="26" t="s">
        <v>45</v>
      </c>
      <c r="F245" s="27" t="s">
        <v>45</v>
      </c>
      <c r="G245" s="28" t="s">
        <v>45</v>
      </c>
      <c r="H245" s="29"/>
      <c r="I245" s="29" t="s">
        <v>46</v>
      </c>
      <c r="J245" s="30">
        <v>1</v>
      </c>
      <c r="K245" s="31">
        <f>1016</f>
        <v>1016</v>
      </c>
      <c r="L245" s="32" t="s">
        <v>785</v>
      </c>
      <c r="M245" s="31">
        <f>1016</f>
        <v>1016</v>
      </c>
      <c r="N245" s="32" t="s">
        <v>785</v>
      </c>
      <c r="O245" s="31">
        <f>950</f>
        <v>950</v>
      </c>
      <c r="P245" s="32" t="s">
        <v>80</v>
      </c>
      <c r="Q245" s="31">
        <f>978</f>
        <v>978</v>
      </c>
      <c r="R245" s="32" t="s">
        <v>791</v>
      </c>
      <c r="S245" s="33">
        <f>976.05</f>
        <v>976.05</v>
      </c>
      <c r="T245" s="30">
        <f>312479</f>
        <v>312479</v>
      </c>
      <c r="U245" s="30">
        <f>142225</f>
        <v>142225</v>
      </c>
      <c r="V245" s="30">
        <f>304176602</f>
        <v>304176602</v>
      </c>
      <c r="W245" s="30">
        <f>138128938</f>
        <v>138128938</v>
      </c>
      <c r="X245" s="34">
        <f>19</f>
        <v>19</v>
      </c>
    </row>
    <row r="246" spans="1:24" ht="13.5" customHeight="1" x14ac:dyDescent="0.15">
      <c r="A246" s="25" t="s">
        <v>989</v>
      </c>
      <c r="B246" s="25" t="s">
        <v>746</v>
      </c>
      <c r="C246" s="25" t="s">
        <v>747</v>
      </c>
      <c r="D246" s="25" t="s">
        <v>748</v>
      </c>
      <c r="E246" s="26" t="s">
        <v>45</v>
      </c>
      <c r="F246" s="27" t="s">
        <v>45</v>
      </c>
      <c r="G246" s="28" t="s">
        <v>45</v>
      </c>
      <c r="H246" s="29"/>
      <c r="I246" s="29" t="s">
        <v>46</v>
      </c>
      <c r="J246" s="30">
        <v>10</v>
      </c>
      <c r="K246" s="31">
        <f>1070.5</f>
        <v>1070.5</v>
      </c>
      <c r="L246" s="32" t="s">
        <v>785</v>
      </c>
      <c r="M246" s="31">
        <f>1070.5</f>
        <v>1070.5</v>
      </c>
      <c r="N246" s="32" t="s">
        <v>785</v>
      </c>
      <c r="O246" s="31">
        <f>1001</f>
        <v>1001</v>
      </c>
      <c r="P246" s="32" t="s">
        <v>80</v>
      </c>
      <c r="Q246" s="31">
        <f>1029.5</f>
        <v>1029.5</v>
      </c>
      <c r="R246" s="32" t="s">
        <v>791</v>
      </c>
      <c r="S246" s="33">
        <f>1032.58</f>
        <v>1032.58</v>
      </c>
      <c r="T246" s="30">
        <f>168060</f>
        <v>168060</v>
      </c>
      <c r="U246" s="30">
        <f>140790</f>
        <v>140790</v>
      </c>
      <c r="V246" s="30">
        <f>178419304</f>
        <v>178419304</v>
      </c>
      <c r="W246" s="30">
        <f>149894224</f>
        <v>149894224</v>
      </c>
      <c r="X246" s="34">
        <f>19</f>
        <v>19</v>
      </c>
    </row>
    <row r="247" spans="1:24" ht="13.5" customHeight="1" x14ac:dyDescent="0.15">
      <c r="A247" s="25" t="s">
        <v>989</v>
      </c>
      <c r="B247" s="25" t="s">
        <v>749</v>
      </c>
      <c r="C247" s="25" t="s">
        <v>750</v>
      </c>
      <c r="D247" s="25" t="s">
        <v>751</v>
      </c>
      <c r="E247" s="26" t="s">
        <v>45</v>
      </c>
      <c r="F247" s="27" t="s">
        <v>45</v>
      </c>
      <c r="G247" s="28" t="s">
        <v>45</v>
      </c>
      <c r="H247" s="29"/>
      <c r="I247" s="29" t="s">
        <v>46</v>
      </c>
      <c r="J247" s="30">
        <v>10</v>
      </c>
      <c r="K247" s="31">
        <f>249.7</f>
        <v>249.7</v>
      </c>
      <c r="L247" s="32" t="s">
        <v>785</v>
      </c>
      <c r="M247" s="31">
        <f>252</f>
        <v>252</v>
      </c>
      <c r="N247" s="32" t="s">
        <v>793</v>
      </c>
      <c r="O247" s="31">
        <f>240</f>
        <v>240</v>
      </c>
      <c r="P247" s="32" t="s">
        <v>78</v>
      </c>
      <c r="Q247" s="31">
        <f>250.1</f>
        <v>250.1</v>
      </c>
      <c r="R247" s="32" t="s">
        <v>791</v>
      </c>
      <c r="S247" s="33">
        <f>247.02</f>
        <v>247.02</v>
      </c>
      <c r="T247" s="30">
        <f>2800</f>
        <v>2800</v>
      </c>
      <c r="U247" s="30" t="str">
        <f>"－"</f>
        <v>－</v>
      </c>
      <c r="V247" s="30">
        <f>690939</f>
        <v>690939</v>
      </c>
      <c r="W247" s="30" t="str">
        <f>"－"</f>
        <v>－</v>
      </c>
      <c r="X247" s="34">
        <f>17</f>
        <v>17</v>
      </c>
    </row>
    <row r="248" spans="1:24" ht="13.5" customHeight="1" x14ac:dyDescent="0.15">
      <c r="A248" s="25" t="s">
        <v>989</v>
      </c>
      <c r="B248" s="25" t="s">
        <v>752</v>
      </c>
      <c r="C248" s="25" t="s">
        <v>753</v>
      </c>
      <c r="D248" s="25" t="s">
        <v>754</v>
      </c>
      <c r="E248" s="26" t="s">
        <v>45</v>
      </c>
      <c r="F248" s="27" t="s">
        <v>45</v>
      </c>
      <c r="G248" s="28" t="s">
        <v>45</v>
      </c>
      <c r="H248" s="29"/>
      <c r="I248" s="29" t="s">
        <v>46</v>
      </c>
      <c r="J248" s="30">
        <v>10</v>
      </c>
      <c r="K248" s="31">
        <f>2461</f>
        <v>2461</v>
      </c>
      <c r="L248" s="32" t="s">
        <v>785</v>
      </c>
      <c r="M248" s="31">
        <f>2718</f>
        <v>2718</v>
      </c>
      <c r="N248" s="32" t="s">
        <v>893</v>
      </c>
      <c r="O248" s="31">
        <f>2450</f>
        <v>2450</v>
      </c>
      <c r="P248" s="32" t="s">
        <v>785</v>
      </c>
      <c r="Q248" s="31">
        <f>2654.5</f>
        <v>2654.5</v>
      </c>
      <c r="R248" s="32" t="s">
        <v>791</v>
      </c>
      <c r="S248" s="33">
        <f>2570.16</f>
        <v>2570.16</v>
      </c>
      <c r="T248" s="30">
        <f>2054350</f>
        <v>2054350</v>
      </c>
      <c r="U248" s="30">
        <f>10</f>
        <v>10</v>
      </c>
      <c r="V248" s="30">
        <f>5270139880</f>
        <v>5270139880</v>
      </c>
      <c r="W248" s="30">
        <f>24825</f>
        <v>24825</v>
      </c>
      <c r="X248" s="34">
        <f>19</f>
        <v>19</v>
      </c>
    </row>
    <row r="249" spans="1:24" ht="13.5" customHeight="1" x14ac:dyDescent="0.15">
      <c r="A249" s="25" t="s">
        <v>989</v>
      </c>
      <c r="B249" s="25" t="s">
        <v>755</v>
      </c>
      <c r="C249" s="25" t="s">
        <v>756</v>
      </c>
      <c r="D249" s="25" t="s">
        <v>757</v>
      </c>
      <c r="E249" s="26" t="s">
        <v>45</v>
      </c>
      <c r="F249" s="27" t="s">
        <v>45</v>
      </c>
      <c r="G249" s="28" t="s">
        <v>45</v>
      </c>
      <c r="H249" s="29"/>
      <c r="I249" s="29" t="s">
        <v>46</v>
      </c>
      <c r="J249" s="30">
        <v>10</v>
      </c>
      <c r="K249" s="31">
        <f>1881.5</f>
        <v>1881.5</v>
      </c>
      <c r="L249" s="32" t="s">
        <v>785</v>
      </c>
      <c r="M249" s="31">
        <f>2092.5</f>
        <v>2092.5</v>
      </c>
      <c r="N249" s="32" t="s">
        <v>893</v>
      </c>
      <c r="O249" s="31">
        <f>1858</f>
        <v>1858</v>
      </c>
      <c r="P249" s="32" t="s">
        <v>78</v>
      </c>
      <c r="Q249" s="31">
        <f>2043</f>
        <v>2043</v>
      </c>
      <c r="R249" s="32" t="s">
        <v>791</v>
      </c>
      <c r="S249" s="33">
        <f>1977.84</f>
        <v>1977.84</v>
      </c>
      <c r="T249" s="30">
        <f>4699690</f>
        <v>4699690</v>
      </c>
      <c r="U249" s="30">
        <f>691040</f>
        <v>691040</v>
      </c>
      <c r="V249" s="30">
        <f>9342471253</f>
        <v>9342471253</v>
      </c>
      <c r="W249" s="30">
        <f>1387656293</f>
        <v>1387656293</v>
      </c>
      <c r="X249" s="34">
        <f>19</f>
        <v>19</v>
      </c>
    </row>
    <row r="250" spans="1:24" ht="13.5" customHeight="1" x14ac:dyDescent="0.15">
      <c r="A250" s="25" t="s">
        <v>989</v>
      </c>
      <c r="B250" s="25" t="s">
        <v>758</v>
      </c>
      <c r="C250" s="25" t="s">
        <v>759</v>
      </c>
      <c r="D250" s="25" t="s">
        <v>760</v>
      </c>
      <c r="E250" s="26" t="s">
        <v>45</v>
      </c>
      <c r="F250" s="27" t="s">
        <v>45</v>
      </c>
      <c r="G250" s="28" t="s">
        <v>45</v>
      </c>
      <c r="H250" s="29"/>
      <c r="I250" s="29" t="s">
        <v>46</v>
      </c>
      <c r="J250" s="30">
        <v>10</v>
      </c>
      <c r="K250" s="31">
        <f>293.5</f>
        <v>293.5</v>
      </c>
      <c r="L250" s="32" t="s">
        <v>785</v>
      </c>
      <c r="M250" s="31">
        <f>298.1</f>
        <v>298.10000000000002</v>
      </c>
      <c r="N250" s="32" t="s">
        <v>78</v>
      </c>
      <c r="O250" s="31">
        <f>283.4</f>
        <v>283.39999999999998</v>
      </c>
      <c r="P250" s="32" t="s">
        <v>876</v>
      </c>
      <c r="Q250" s="31">
        <f>289.6</f>
        <v>289.60000000000002</v>
      </c>
      <c r="R250" s="32" t="s">
        <v>791</v>
      </c>
      <c r="S250" s="33">
        <f>290.21</f>
        <v>290.20999999999998</v>
      </c>
      <c r="T250" s="30">
        <f>21478250</f>
        <v>21478250</v>
      </c>
      <c r="U250" s="30">
        <f>18957380</f>
        <v>18957380</v>
      </c>
      <c r="V250" s="30">
        <f>6264647650</f>
        <v>6264647650</v>
      </c>
      <c r="W250" s="30">
        <f>5534103876</f>
        <v>5534103876</v>
      </c>
      <c r="X250" s="34">
        <f>19</f>
        <v>19</v>
      </c>
    </row>
    <row r="251" spans="1:24" ht="13.5" customHeight="1" x14ac:dyDescent="0.15">
      <c r="A251" s="25" t="s">
        <v>989</v>
      </c>
      <c r="B251" s="25" t="s">
        <v>761</v>
      </c>
      <c r="C251" s="25" t="s">
        <v>762</v>
      </c>
      <c r="D251" s="25" t="s">
        <v>763</v>
      </c>
      <c r="E251" s="26" t="s">
        <v>45</v>
      </c>
      <c r="F251" s="27" t="s">
        <v>45</v>
      </c>
      <c r="G251" s="28" t="s">
        <v>45</v>
      </c>
      <c r="H251" s="29"/>
      <c r="I251" s="29" t="s">
        <v>46</v>
      </c>
      <c r="J251" s="30">
        <v>1</v>
      </c>
      <c r="K251" s="31">
        <f>1510</f>
        <v>1510</v>
      </c>
      <c r="L251" s="32" t="s">
        <v>785</v>
      </c>
      <c r="M251" s="31">
        <f>1580</f>
        <v>1580</v>
      </c>
      <c r="N251" s="32" t="s">
        <v>790</v>
      </c>
      <c r="O251" s="31">
        <f>1483</f>
        <v>1483</v>
      </c>
      <c r="P251" s="32" t="s">
        <v>785</v>
      </c>
      <c r="Q251" s="31">
        <f>1535</f>
        <v>1535</v>
      </c>
      <c r="R251" s="32" t="s">
        <v>791</v>
      </c>
      <c r="S251" s="33">
        <f>1532.47</f>
        <v>1532.47</v>
      </c>
      <c r="T251" s="30">
        <f>9225674</f>
        <v>9225674</v>
      </c>
      <c r="U251" s="30">
        <f>38002</f>
        <v>38002</v>
      </c>
      <c r="V251" s="30">
        <f>14126012710</f>
        <v>14126012710</v>
      </c>
      <c r="W251" s="30">
        <f>57443856</f>
        <v>57443856</v>
      </c>
      <c r="X251" s="34">
        <f>19</f>
        <v>19</v>
      </c>
    </row>
    <row r="252" spans="1:24" ht="13.5" customHeight="1" x14ac:dyDescent="0.15">
      <c r="A252" s="25" t="s">
        <v>989</v>
      </c>
      <c r="B252" s="25" t="s">
        <v>764</v>
      </c>
      <c r="C252" s="25" t="s">
        <v>765</v>
      </c>
      <c r="D252" s="25" t="s">
        <v>766</v>
      </c>
      <c r="E252" s="26" t="s">
        <v>45</v>
      </c>
      <c r="F252" s="27" t="s">
        <v>45</v>
      </c>
      <c r="G252" s="28" t="s">
        <v>45</v>
      </c>
      <c r="H252" s="29"/>
      <c r="I252" s="29" t="s">
        <v>46</v>
      </c>
      <c r="J252" s="30">
        <v>1</v>
      </c>
      <c r="K252" s="31">
        <f>1842</f>
        <v>1842</v>
      </c>
      <c r="L252" s="32" t="s">
        <v>785</v>
      </c>
      <c r="M252" s="31">
        <f>1943</f>
        <v>1943</v>
      </c>
      <c r="N252" s="32" t="s">
        <v>894</v>
      </c>
      <c r="O252" s="31">
        <f>1842</f>
        <v>1842</v>
      </c>
      <c r="P252" s="32" t="s">
        <v>785</v>
      </c>
      <c r="Q252" s="31">
        <f>1873</f>
        <v>1873</v>
      </c>
      <c r="R252" s="32" t="s">
        <v>791</v>
      </c>
      <c r="S252" s="33">
        <f>1882.26</f>
        <v>1882.26</v>
      </c>
      <c r="T252" s="30">
        <f>44599</f>
        <v>44599</v>
      </c>
      <c r="U252" s="30">
        <f>3</f>
        <v>3</v>
      </c>
      <c r="V252" s="30">
        <f>83929509</f>
        <v>83929509</v>
      </c>
      <c r="W252" s="30">
        <f>5607</f>
        <v>5607</v>
      </c>
      <c r="X252" s="34">
        <f>19</f>
        <v>19</v>
      </c>
    </row>
    <row r="253" spans="1:24" ht="13.5" customHeight="1" x14ac:dyDescent="0.15">
      <c r="A253" s="25" t="s">
        <v>989</v>
      </c>
      <c r="B253" s="25" t="s">
        <v>767</v>
      </c>
      <c r="C253" s="25" t="s">
        <v>768</v>
      </c>
      <c r="D253" s="25" t="s">
        <v>769</v>
      </c>
      <c r="E253" s="26" t="s">
        <v>45</v>
      </c>
      <c r="F253" s="27" t="s">
        <v>45</v>
      </c>
      <c r="G253" s="28" t="s">
        <v>45</v>
      </c>
      <c r="H253" s="29"/>
      <c r="I253" s="29" t="s">
        <v>46</v>
      </c>
      <c r="J253" s="30">
        <v>1</v>
      </c>
      <c r="K253" s="31">
        <f>2183</f>
        <v>2183</v>
      </c>
      <c r="L253" s="32" t="s">
        <v>785</v>
      </c>
      <c r="M253" s="31">
        <f>2220</f>
        <v>2220</v>
      </c>
      <c r="N253" s="32" t="s">
        <v>893</v>
      </c>
      <c r="O253" s="31">
        <f>2133</f>
        <v>2133</v>
      </c>
      <c r="P253" s="32" t="s">
        <v>785</v>
      </c>
      <c r="Q253" s="31">
        <f>2158</f>
        <v>2158</v>
      </c>
      <c r="R253" s="32" t="s">
        <v>791</v>
      </c>
      <c r="S253" s="33">
        <f>2159.33</f>
        <v>2159.33</v>
      </c>
      <c r="T253" s="30">
        <f>1619</f>
        <v>1619</v>
      </c>
      <c r="U253" s="30" t="str">
        <f>"－"</f>
        <v>－</v>
      </c>
      <c r="V253" s="30">
        <f>3501067</f>
        <v>3501067</v>
      </c>
      <c r="W253" s="30" t="str">
        <f>"－"</f>
        <v>－</v>
      </c>
      <c r="X253" s="34">
        <f>18</f>
        <v>18</v>
      </c>
    </row>
    <row r="254" spans="1:24" ht="13.5" customHeight="1" x14ac:dyDescent="0.15">
      <c r="A254" s="25" t="s">
        <v>989</v>
      </c>
      <c r="B254" s="25" t="s">
        <v>770</v>
      </c>
      <c r="C254" s="25" t="s">
        <v>771</v>
      </c>
      <c r="D254" s="25" t="s">
        <v>772</v>
      </c>
      <c r="E254" s="26" t="s">
        <v>45</v>
      </c>
      <c r="F254" s="27" t="s">
        <v>45</v>
      </c>
      <c r="G254" s="28" t="s">
        <v>45</v>
      </c>
      <c r="H254" s="29"/>
      <c r="I254" s="29" t="s">
        <v>46</v>
      </c>
      <c r="J254" s="30">
        <v>1</v>
      </c>
      <c r="K254" s="31">
        <f>2604</f>
        <v>2604</v>
      </c>
      <c r="L254" s="32" t="s">
        <v>785</v>
      </c>
      <c r="M254" s="31">
        <f>2761</f>
        <v>2761</v>
      </c>
      <c r="N254" s="32" t="s">
        <v>786</v>
      </c>
      <c r="O254" s="31">
        <f>2581</f>
        <v>2581</v>
      </c>
      <c r="P254" s="32" t="s">
        <v>785</v>
      </c>
      <c r="Q254" s="31">
        <f>2743</f>
        <v>2743</v>
      </c>
      <c r="R254" s="32" t="s">
        <v>791</v>
      </c>
      <c r="S254" s="33">
        <f>2672.63</f>
        <v>2672.63</v>
      </c>
      <c r="T254" s="30">
        <f>523355</f>
        <v>523355</v>
      </c>
      <c r="U254" s="30">
        <f>380000</f>
        <v>380000</v>
      </c>
      <c r="V254" s="30">
        <f>1385606770</f>
        <v>1385606770</v>
      </c>
      <c r="W254" s="30">
        <f>1009216000</f>
        <v>1009216000</v>
      </c>
      <c r="X254" s="34">
        <f>19</f>
        <v>19</v>
      </c>
    </row>
    <row r="255" spans="1:24" ht="13.5" customHeight="1" x14ac:dyDescent="0.15">
      <c r="A255" s="25" t="s">
        <v>989</v>
      </c>
      <c r="B255" s="25" t="s">
        <v>773</v>
      </c>
      <c r="C255" s="25" t="s">
        <v>774</v>
      </c>
      <c r="D255" s="25" t="s">
        <v>775</v>
      </c>
      <c r="E255" s="26" t="s">
        <v>45</v>
      </c>
      <c r="F255" s="27" t="s">
        <v>45</v>
      </c>
      <c r="G255" s="28" t="s">
        <v>45</v>
      </c>
      <c r="H255" s="29"/>
      <c r="I255" s="29" t="s">
        <v>46</v>
      </c>
      <c r="J255" s="30">
        <v>1</v>
      </c>
      <c r="K255" s="31">
        <f>1887</f>
        <v>1887</v>
      </c>
      <c r="L255" s="32" t="s">
        <v>785</v>
      </c>
      <c r="M255" s="31">
        <f>1994</f>
        <v>1994</v>
      </c>
      <c r="N255" s="32" t="s">
        <v>791</v>
      </c>
      <c r="O255" s="31">
        <f>1866</f>
        <v>1866</v>
      </c>
      <c r="P255" s="32" t="s">
        <v>78</v>
      </c>
      <c r="Q255" s="31">
        <f>1978</f>
        <v>1978</v>
      </c>
      <c r="R255" s="32" t="s">
        <v>791</v>
      </c>
      <c r="S255" s="33">
        <f>1929.47</f>
        <v>1929.47</v>
      </c>
      <c r="T255" s="30">
        <f>209142</f>
        <v>209142</v>
      </c>
      <c r="U255" s="30">
        <f>1</f>
        <v>1</v>
      </c>
      <c r="V255" s="30">
        <f>404849125</f>
        <v>404849125</v>
      </c>
      <c r="W255" s="30">
        <f>1906</f>
        <v>1906</v>
      </c>
      <c r="X255" s="34">
        <f>19</f>
        <v>19</v>
      </c>
    </row>
    <row r="256" spans="1:24" ht="13.5" customHeight="1" x14ac:dyDescent="0.15">
      <c r="A256" s="25" t="s">
        <v>989</v>
      </c>
      <c r="B256" s="25" t="s">
        <v>776</v>
      </c>
      <c r="C256" s="25" t="s">
        <v>777</v>
      </c>
      <c r="D256" s="25" t="s">
        <v>778</v>
      </c>
      <c r="E256" s="26" t="s">
        <v>45</v>
      </c>
      <c r="F256" s="27" t="s">
        <v>45</v>
      </c>
      <c r="G256" s="28" t="s">
        <v>45</v>
      </c>
      <c r="H256" s="29"/>
      <c r="I256" s="29" t="s">
        <v>46</v>
      </c>
      <c r="J256" s="30">
        <v>1</v>
      </c>
      <c r="K256" s="31">
        <f>1791</f>
        <v>1791</v>
      </c>
      <c r="L256" s="32" t="s">
        <v>785</v>
      </c>
      <c r="M256" s="31">
        <f>1874</f>
        <v>1874</v>
      </c>
      <c r="N256" s="32" t="s">
        <v>255</v>
      </c>
      <c r="O256" s="31">
        <f>1772</f>
        <v>1772</v>
      </c>
      <c r="P256" s="32" t="s">
        <v>78</v>
      </c>
      <c r="Q256" s="31">
        <f>1860</f>
        <v>1860</v>
      </c>
      <c r="R256" s="32" t="s">
        <v>791</v>
      </c>
      <c r="S256" s="33">
        <f>1819.95</f>
        <v>1819.95</v>
      </c>
      <c r="T256" s="30">
        <f>24104</f>
        <v>24104</v>
      </c>
      <c r="U256" s="30" t="str">
        <f>"－"</f>
        <v>－</v>
      </c>
      <c r="V256" s="30">
        <f>43857708</f>
        <v>43857708</v>
      </c>
      <c r="W256" s="30" t="str">
        <f>"－"</f>
        <v>－</v>
      </c>
      <c r="X256" s="34">
        <f>19</f>
        <v>19</v>
      </c>
    </row>
    <row r="257" spans="1:24" ht="13.5" customHeight="1" x14ac:dyDescent="0.15">
      <c r="A257" s="25" t="s">
        <v>989</v>
      </c>
      <c r="B257" s="25" t="s">
        <v>779</v>
      </c>
      <c r="C257" s="25" t="s">
        <v>780</v>
      </c>
      <c r="D257" s="25" t="s">
        <v>781</v>
      </c>
      <c r="E257" s="26" t="s">
        <v>45</v>
      </c>
      <c r="F257" s="27" t="s">
        <v>45</v>
      </c>
      <c r="G257" s="28" t="s">
        <v>45</v>
      </c>
      <c r="H257" s="29"/>
      <c r="I257" s="29" t="s">
        <v>46</v>
      </c>
      <c r="J257" s="30">
        <v>1</v>
      </c>
      <c r="K257" s="31">
        <f>1402</f>
        <v>1402</v>
      </c>
      <c r="L257" s="32" t="s">
        <v>785</v>
      </c>
      <c r="M257" s="31">
        <f>1485</f>
        <v>1485</v>
      </c>
      <c r="N257" s="32" t="s">
        <v>893</v>
      </c>
      <c r="O257" s="31">
        <f>1380</f>
        <v>1380</v>
      </c>
      <c r="P257" s="32" t="s">
        <v>785</v>
      </c>
      <c r="Q257" s="31">
        <f>1454</f>
        <v>1454</v>
      </c>
      <c r="R257" s="32" t="s">
        <v>791</v>
      </c>
      <c r="S257" s="33">
        <f>1435.58</f>
        <v>1435.58</v>
      </c>
      <c r="T257" s="30">
        <f>59644</f>
        <v>59644</v>
      </c>
      <c r="U257" s="30" t="str">
        <f>"－"</f>
        <v>－</v>
      </c>
      <c r="V257" s="30">
        <f>82615148</f>
        <v>82615148</v>
      </c>
      <c r="W257" s="30" t="str">
        <f>"－"</f>
        <v>－</v>
      </c>
      <c r="X257" s="34">
        <f>19</f>
        <v>19</v>
      </c>
    </row>
    <row r="258" spans="1:24" ht="13.5" customHeight="1" x14ac:dyDescent="0.15">
      <c r="A258" s="25" t="s">
        <v>989</v>
      </c>
      <c r="B258" s="25" t="s">
        <v>797</v>
      </c>
      <c r="C258" s="25" t="s">
        <v>798</v>
      </c>
      <c r="D258" s="25" t="s">
        <v>799</v>
      </c>
      <c r="E258" s="26" t="s">
        <v>45</v>
      </c>
      <c r="F258" s="27" t="s">
        <v>45</v>
      </c>
      <c r="G258" s="28" t="s">
        <v>45</v>
      </c>
      <c r="H258" s="29"/>
      <c r="I258" s="29" t="s">
        <v>46</v>
      </c>
      <c r="J258" s="30">
        <v>1</v>
      </c>
      <c r="K258" s="31">
        <f>1912</f>
        <v>1912</v>
      </c>
      <c r="L258" s="32" t="s">
        <v>785</v>
      </c>
      <c r="M258" s="31">
        <f>2098</f>
        <v>2098</v>
      </c>
      <c r="N258" s="32" t="s">
        <v>893</v>
      </c>
      <c r="O258" s="31">
        <f>1881</f>
        <v>1881</v>
      </c>
      <c r="P258" s="32" t="s">
        <v>785</v>
      </c>
      <c r="Q258" s="31">
        <f>2000</f>
        <v>2000</v>
      </c>
      <c r="R258" s="32" t="s">
        <v>791</v>
      </c>
      <c r="S258" s="33">
        <f>1987.11</f>
        <v>1987.11</v>
      </c>
      <c r="T258" s="30">
        <f>43052</f>
        <v>43052</v>
      </c>
      <c r="U258" s="30" t="str">
        <f>"－"</f>
        <v>－</v>
      </c>
      <c r="V258" s="30">
        <f>85112635</f>
        <v>85112635</v>
      </c>
      <c r="W258" s="30" t="str">
        <f>"－"</f>
        <v>－</v>
      </c>
      <c r="X258" s="34">
        <f>19</f>
        <v>19</v>
      </c>
    </row>
    <row r="259" spans="1:24" ht="13.5" customHeight="1" x14ac:dyDescent="0.15">
      <c r="A259" s="25" t="s">
        <v>989</v>
      </c>
      <c r="B259" s="25" t="s">
        <v>800</v>
      </c>
      <c r="C259" s="25" t="s">
        <v>801</v>
      </c>
      <c r="D259" s="25" t="s">
        <v>802</v>
      </c>
      <c r="E259" s="26" t="s">
        <v>45</v>
      </c>
      <c r="F259" s="27" t="s">
        <v>45</v>
      </c>
      <c r="G259" s="28" t="s">
        <v>45</v>
      </c>
      <c r="H259" s="29"/>
      <c r="I259" s="29" t="s">
        <v>46</v>
      </c>
      <c r="J259" s="30">
        <v>1</v>
      </c>
      <c r="K259" s="31">
        <f>2460</f>
        <v>2460</v>
      </c>
      <c r="L259" s="32" t="s">
        <v>785</v>
      </c>
      <c r="M259" s="31">
        <f>2661</f>
        <v>2661</v>
      </c>
      <c r="N259" s="32" t="s">
        <v>255</v>
      </c>
      <c r="O259" s="31">
        <f>2385</f>
        <v>2385</v>
      </c>
      <c r="P259" s="32" t="s">
        <v>785</v>
      </c>
      <c r="Q259" s="31">
        <f>2553</f>
        <v>2553</v>
      </c>
      <c r="R259" s="32" t="s">
        <v>791</v>
      </c>
      <c r="S259" s="33">
        <f>2550</f>
        <v>2550</v>
      </c>
      <c r="T259" s="30">
        <f>3414</f>
        <v>3414</v>
      </c>
      <c r="U259" s="30" t="str">
        <f>"－"</f>
        <v>－</v>
      </c>
      <c r="V259" s="30">
        <f>8740657</f>
        <v>8740657</v>
      </c>
      <c r="W259" s="30" t="str">
        <f>"－"</f>
        <v>－</v>
      </c>
      <c r="X259" s="34">
        <f>19</f>
        <v>19</v>
      </c>
    </row>
    <row r="260" spans="1:24" ht="13.5" customHeight="1" x14ac:dyDescent="0.15">
      <c r="A260" s="25" t="s">
        <v>989</v>
      </c>
      <c r="B260" s="25" t="s">
        <v>803</v>
      </c>
      <c r="C260" s="25" t="s">
        <v>804</v>
      </c>
      <c r="D260" s="25" t="s">
        <v>805</v>
      </c>
      <c r="E260" s="26" t="s">
        <v>45</v>
      </c>
      <c r="F260" s="27" t="s">
        <v>45</v>
      </c>
      <c r="G260" s="28" t="s">
        <v>45</v>
      </c>
      <c r="H260" s="29"/>
      <c r="I260" s="29" t="s">
        <v>46</v>
      </c>
      <c r="J260" s="30">
        <v>1</v>
      </c>
      <c r="K260" s="31">
        <f>9531</f>
        <v>9531</v>
      </c>
      <c r="L260" s="32" t="s">
        <v>785</v>
      </c>
      <c r="M260" s="31">
        <f>10090</f>
        <v>10090</v>
      </c>
      <c r="N260" s="32" t="s">
        <v>893</v>
      </c>
      <c r="O260" s="31">
        <f>9488</f>
        <v>9488</v>
      </c>
      <c r="P260" s="32" t="s">
        <v>78</v>
      </c>
      <c r="Q260" s="31">
        <f>9952</f>
        <v>9952</v>
      </c>
      <c r="R260" s="32" t="s">
        <v>791</v>
      </c>
      <c r="S260" s="33">
        <f>9833.42</f>
        <v>9833.42</v>
      </c>
      <c r="T260" s="30">
        <f>255556</f>
        <v>255556</v>
      </c>
      <c r="U260" s="30" t="str">
        <f>"－"</f>
        <v>－</v>
      </c>
      <c r="V260" s="30">
        <f>2513133520</f>
        <v>2513133520</v>
      </c>
      <c r="W260" s="30" t="str">
        <f>"－"</f>
        <v>－</v>
      </c>
      <c r="X260" s="34">
        <f>19</f>
        <v>19</v>
      </c>
    </row>
    <row r="261" spans="1:24" ht="13.5" customHeight="1" x14ac:dyDescent="0.15">
      <c r="A261" s="25" t="s">
        <v>989</v>
      </c>
      <c r="B261" s="25" t="s">
        <v>806</v>
      </c>
      <c r="C261" s="25" t="s">
        <v>807</v>
      </c>
      <c r="D261" s="25" t="s">
        <v>808</v>
      </c>
      <c r="E261" s="26" t="s">
        <v>45</v>
      </c>
      <c r="F261" s="27" t="s">
        <v>45</v>
      </c>
      <c r="G261" s="28" t="s">
        <v>45</v>
      </c>
      <c r="H261" s="29"/>
      <c r="I261" s="29" t="s">
        <v>46</v>
      </c>
      <c r="J261" s="30">
        <v>1</v>
      </c>
      <c r="K261" s="31">
        <f>10260</f>
        <v>10260</v>
      </c>
      <c r="L261" s="32" t="s">
        <v>785</v>
      </c>
      <c r="M261" s="31">
        <f>11370</f>
        <v>11370</v>
      </c>
      <c r="N261" s="32" t="s">
        <v>893</v>
      </c>
      <c r="O261" s="31">
        <f>10205</f>
        <v>10205</v>
      </c>
      <c r="P261" s="32" t="s">
        <v>785</v>
      </c>
      <c r="Q261" s="31">
        <f>11105</f>
        <v>11105</v>
      </c>
      <c r="R261" s="32" t="s">
        <v>791</v>
      </c>
      <c r="S261" s="33">
        <f>10747.37</f>
        <v>10747.37</v>
      </c>
      <c r="T261" s="30">
        <f>669069</f>
        <v>669069</v>
      </c>
      <c r="U261" s="30">
        <f>4</f>
        <v>4</v>
      </c>
      <c r="V261" s="30">
        <f>7223675755</f>
        <v>7223675755</v>
      </c>
      <c r="W261" s="30">
        <f>44760</f>
        <v>44760</v>
      </c>
      <c r="X261" s="34">
        <f>19</f>
        <v>19</v>
      </c>
    </row>
    <row r="262" spans="1:24" ht="13.5" customHeight="1" x14ac:dyDescent="0.15">
      <c r="A262" s="25" t="s">
        <v>989</v>
      </c>
      <c r="B262" s="25" t="s">
        <v>809</v>
      </c>
      <c r="C262" s="25" t="s">
        <v>810</v>
      </c>
      <c r="D262" s="25" t="s">
        <v>811</v>
      </c>
      <c r="E262" s="26" t="s">
        <v>45</v>
      </c>
      <c r="F262" s="27" t="s">
        <v>45</v>
      </c>
      <c r="G262" s="28" t="s">
        <v>45</v>
      </c>
      <c r="H262" s="29"/>
      <c r="I262" s="29" t="s">
        <v>46</v>
      </c>
      <c r="J262" s="30">
        <v>1</v>
      </c>
      <c r="K262" s="31">
        <f>7857</f>
        <v>7857</v>
      </c>
      <c r="L262" s="32" t="s">
        <v>785</v>
      </c>
      <c r="M262" s="31">
        <f>8751</f>
        <v>8751</v>
      </c>
      <c r="N262" s="32" t="s">
        <v>893</v>
      </c>
      <c r="O262" s="31">
        <f>7776</f>
        <v>7776</v>
      </c>
      <c r="P262" s="32" t="s">
        <v>78</v>
      </c>
      <c r="Q262" s="31">
        <f>8542</f>
        <v>8542</v>
      </c>
      <c r="R262" s="32" t="s">
        <v>791</v>
      </c>
      <c r="S262" s="33">
        <f>8277.89</f>
        <v>8277.89</v>
      </c>
      <c r="T262" s="30">
        <f>722698</f>
        <v>722698</v>
      </c>
      <c r="U262" s="30">
        <f>188309</f>
        <v>188309</v>
      </c>
      <c r="V262" s="30">
        <f>5967131745</f>
        <v>5967131745</v>
      </c>
      <c r="W262" s="30">
        <f>1510438999</f>
        <v>1510438999</v>
      </c>
      <c r="X262" s="34">
        <f>19</f>
        <v>19</v>
      </c>
    </row>
    <row r="263" spans="1:24" ht="13.5" customHeight="1" x14ac:dyDescent="0.15">
      <c r="A263" s="25" t="s">
        <v>989</v>
      </c>
      <c r="B263" s="25" t="s">
        <v>812</v>
      </c>
      <c r="C263" s="25" t="s">
        <v>813</v>
      </c>
      <c r="D263" s="25" t="s">
        <v>814</v>
      </c>
      <c r="E263" s="26" t="s">
        <v>45</v>
      </c>
      <c r="F263" s="27" t="s">
        <v>45</v>
      </c>
      <c r="G263" s="28" t="s">
        <v>45</v>
      </c>
      <c r="H263" s="29"/>
      <c r="I263" s="29" t="s">
        <v>46</v>
      </c>
      <c r="J263" s="30">
        <v>10</v>
      </c>
      <c r="K263" s="31">
        <f>2322.5</f>
        <v>2322.5</v>
      </c>
      <c r="L263" s="32" t="s">
        <v>785</v>
      </c>
      <c r="M263" s="31">
        <f>2450</f>
        <v>2450</v>
      </c>
      <c r="N263" s="32" t="s">
        <v>893</v>
      </c>
      <c r="O263" s="31">
        <f>2310</f>
        <v>2310</v>
      </c>
      <c r="P263" s="32" t="s">
        <v>785</v>
      </c>
      <c r="Q263" s="31">
        <f>2418.5</f>
        <v>2418.5</v>
      </c>
      <c r="R263" s="32" t="s">
        <v>791</v>
      </c>
      <c r="S263" s="33">
        <f>2387.32</f>
        <v>2387.3200000000002</v>
      </c>
      <c r="T263" s="30">
        <f>1716710</f>
        <v>1716710</v>
      </c>
      <c r="U263" s="30" t="str">
        <f>"－"</f>
        <v>－</v>
      </c>
      <c r="V263" s="30">
        <f>4091777875</f>
        <v>4091777875</v>
      </c>
      <c r="W263" s="30" t="str">
        <f>"－"</f>
        <v>－</v>
      </c>
      <c r="X263" s="34">
        <f>19</f>
        <v>19</v>
      </c>
    </row>
    <row r="264" spans="1:24" ht="13.5" customHeight="1" x14ac:dyDescent="0.15">
      <c r="A264" s="25" t="s">
        <v>989</v>
      </c>
      <c r="B264" s="25" t="s">
        <v>815</v>
      </c>
      <c r="C264" s="25" t="s">
        <v>816</v>
      </c>
      <c r="D264" s="25" t="s">
        <v>817</v>
      </c>
      <c r="E264" s="26" t="s">
        <v>45</v>
      </c>
      <c r="F264" s="27" t="s">
        <v>45</v>
      </c>
      <c r="G264" s="28" t="s">
        <v>45</v>
      </c>
      <c r="H264" s="29"/>
      <c r="I264" s="29" t="s">
        <v>46</v>
      </c>
      <c r="J264" s="30">
        <v>10</v>
      </c>
      <c r="K264" s="31">
        <f>1879</f>
        <v>1879</v>
      </c>
      <c r="L264" s="32" t="s">
        <v>785</v>
      </c>
      <c r="M264" s="31">
        <f>1989</f>
        <v>1989</v>
      </c>
      <c r="N264" s="32" t="s">
        <v>893</v>
      </c>
      <c r="O264" s="31">
        <f>1869</f>
        <v>1869</v>
      </c>
      <c r="P264" s="32" t="s">
        <v>78</v>
      </c>
      <c r="Q264" s="31">
        <f>1963</f>
        <v>1963</v>
      </c>
      <c r="R264" s="32" t="s">
        <v>791</v>
      </c>
      <c r="S264" s="33">
        <f>1937.68</f>
        <v>1937.68</v>
      </c>
      <c r="T264" s="30">
        <f>2088360</f>
        <v>2088360</v>
      </c>
      <c r="U264" s="30">
        <f>60000</f>
        <v>60000</v>
      </c>
      <c r="V264" s="30">
        <f>4063031010</f>
        <v>4063031010</v>
      </c>
      <c r="W264" s="30">
        <f>117084000</f>
        <v>117084000</v>
      </c>
      <c r="X264" s="34">
        <f>19</f>
        <v>19</v>
      </c>
    </row>
    <row r="265" spans="1:24" ht="13.5" customHeight="1" x14ac:dyDescent="0.15">
      <c r="A265" s="25" t="s">
        <v>989</v>
      </c>
      <c r="B265" s="25" t="s">
        <v>818</v>
      </c>
      <c r="C265" s="25" t="s">
        <v>819</v>
      </c>
      <c r="D265" s="25" t="s">
        <v>820</v>
      </c>
      <c r="E265" s="26" t="s">
        <v>45</v>
      </c>
      <c r="F265" s="27" t="s">
        <v>45</v>
      </c>
      <c r="G265" s="28" t="s">
        <v>45</v>
      </c>
      <c r="H265" s="29"/>
      <c r="I265" s="29" t="s">
        <v>46</v>
      </c>
      <c r="J265" s="30">
        <v>10</v>
      </c>
      <c r="K265" s="31">
        <f>2410</f>
        <v>2410</v>
      </c>
      <c r="L265" s="32" t="s">
        <v>785</v>
      </c>
      <c r="M265" s="31">
        <f>2534</f>
        <v>2534</v>
      </c>
      <c r="N265" s="32" t="s">
        <v>791</v>
      </c>
      <c r="O265" s="31">
        <f>2385</f>
        <v>2385</v>
      </c>
      <c r="P265" s="32" t="s">
        <v>785</v>
      </c>
      <c r="Q265" s="31">
        <f>2503</f>
        <v>2503</v>
      </c>
      <c r="R265" s="32" t="s">
        <v>791</v>
      </c>
      <c r="S265" s="33">
        <f>2464.32</f>
        <v>2464.3200000000002</v>
      </c>
      <c r="T265" s="30">
        <f>18490</f>
        <v>18490</v>
      </c>
      <c r="U265" s="30">
        <f>40</f>
        <v>40</v>
      </c>
      <c r="V265" s="30">
        <f>45297190</f>
        <v>45297190</v>
      </c>
      <c r="W265" s="30">
        <f>97885</f>
        <v>97885</v>
      </c>
      <c r="X265" s="34">
        <f>19</f>
        <v>19</v>
      </c>
    </row>
    <row r="266" spans="1:24" ht="13.5" customHeight="1" x14ac:dyDescent="0.15">
      <c r="A266" s="25" t="s">
        <v>989</v>
      </c>
      <c r="B266" s="25" t="s">
        <v>821</v>
      </c>
      <c r="C266" s="25" t="s">
        <v>822</v>
      </c>
      <c r="D266" s="25" t="s">
        <v>823</v>
      </c>
      <c r="E266" s="26" t="s">
        <v>45</v>
      </c>
      <c r="F266" s="27" t="s">
        <v>45</v>
      </c>
      <c r="G266" s="28" t="s">
        <v>45</v>
      </c>
      <c r="H266" s="29"/>
      <c r="I266" s="29" t="s">
        <v>46</v>
      </c>
      <c r="J266" s="30">
        <v>1</v>
      </c>
      <c r="K266" s="31">
        <f>2393</f>
        <v>2393</v>
      </c>
      <c r="L266" s="32" t="s">
        <v>785</v>
      </c>
      <c r="M266" s="31">
        <f>2553</f>
        <v>2553</v>
      </c>
      <c r="N266" s="32" t="s">
        <v>789</v>
      </c>
      <c r="O266" s="31">
        <f>2367</f>
        <v>2367</v>
      </c>
      <c r="P266" s="32" t="s">
        <v>785</v>
      </c>
      <c r="Q266" s="31">
        <f>2534</f>
        <v>2534</v>
      </c>
      <c r="R266" s="32" t="s">
        <v>791</v>
      </c>
      <c r="S266" s="33">
        <f>2469.68</f>
        <v>2469.6799999999998</v>
      </c>
      <c r="T266" s="30">
        <f>3371</f>
        <v>3371</v>
      </c>
      <c r="U266" s="30" t="str">
        <f>"－"</f>
        <v>－</v>
      </c>
      <c r="V266" s="30">
        <f>8344148</f>
        <v>8344148</v>
      </c>
      <c r="W266" s="30" t="str">
        <f>"－"</f>
        <v>－</v>
      </c>
      <c r="X266" s="34">
        <f>19</f>
        <v>19</v>
      </c>
    </row>
    <row r="267" spans="1:24" ht="13.5" customHeight="1" x14ac:dyDescent="0.15">
      <c r="A267" s="25" t="s">
        <v>989</v>
      </c>
      <c r="B267" s="25" t="s">
        <v>824</v>
      </c>
      <c r="C267" s="25" t="s">
        <v>825</v>
      </c>
      <c r="D267" s="25" t="s">
        <v>826</v>
      </c>
      <c r="E267" s="26" t="s">
        <v>45</v>
      </c>
      <c r="F267" s="27" t="s">
        <v>45</v>
      </c>
      <c r="G267" s="28" t="s">
        <v>45</v>
      </c>
      <c r="H267" s="29"/>
      <c r="I267" s="29" t="s">
        <v>46</v>
      </c>
      <c r="J267" s="30">
        <v>1</v>
      </c>
      <c r="K267" s="31">
        <f>1454</f>
        <v>1454</v>
      </c>
      <c r="L267" s="32" t="s">
        <v>785</v>
      </c>
      <c r="M267" s="31">
        <f>1596</f>
        <v>1596</v>
      </c>
      <c r="N267" s="32" t="s">
        <v>789</v>
      </c>
      <c r="O267" s="31">
        <f>1435</f>
        <v>1435</v>
      </c>
      <c r="P267" s="32" t="s">
        <v>785</v>
      </c>
      <c r="Q267" s="31">
        <f>1585</f>
        <v>1585</v>
      </c>
      <c r="R267" s="32" t="s">
        <v>791</v>
      </c>
      <c r="S267" s="33">
        <f>1532.47</f>
        <v>1532.47</v>
      </c>
      <c r="T267" s="30">
        <f>34793</f>
        <v>34793</v>
      </c>
      <c r="U267" s="30">
        <f>2</f>
        <v>2</v>
      </c>
      <c r="V267" s="30">
        <f>53287815</f>
        <v>53287815</v>
      </c>
      <c r="W267" s="30">
        <f>3087</f>
        <v>3087</v>
      </c>
      <c r="X267" s="34">
        <f>19</f>
        <v>19</v>
      </c>
    </row>
    <row r="268" spans="1:24" ht="13.5" customHeight="1" x14ac:dyDescent="0.15">
      <c r="A268" s="25" t="s">
        <v>989</v>
      </c>
      <c r="B268" s="25" t="s">
        <v>827</v>
      </c>
      <c r="C268" s="25" t="s">
        <v>828</v>
      </c>
      <c r="D268" s="25" t="s">
        <v>829</v>
      </c>
      <c r="E268" s="26" t="s">
        <v>45</v>
      </c>
      <c r="F268" s="27" t="s">
        <v>45</v>
      </c>
      <c r="G268" s="28" t="s">
        <v>45</v>
      </c>
      <c r="H268" s="29"/>
      <c r="I268" s="29" t="s">
        <v>46</v>
      </c>
      <c r="J268" s="30">
        <v>1</v>
      </c>
      <c r="K268" s="31">
        <f>1753</f>
        <v>1753</v>
      </c>
      <c r="L268" s="32" t="s">
        <v>785</v>
      </c>
      <c r="M268" s="31">
        <f>1985</f>
        <v>1985</v>
      </c>
      <c r="N268" s="32" t="s">
        <v>893</v>
      </c>
      <c r="O268" s="31">
        <f>1726</f>
        <v>1726</v>
      </c>
      <c r="P268" s="32" t="s">
        <v>78</v>
      </c>
      <c r="Q268" s="31">
        <f>1972</f>
        <v>1972</v>
      </c>
      <c r="R268" s="32" t="s">
        <v>791</v>
      </c>
      <c r="S268" s="33">
        <f>1865.42</f>
        <v>1865.42</v>
      </c>
      <c r="T268" s="30">
        <f>49672</f>
        <v>49672</v>
      </c>
      <c r="U268" s="30" t="str">
        <f>"－"</f>
        <v>－</v>
      </c>
      <c r="V268" s="30">
        <f>92869829</f>
        <v>92869829</v>
      </c>
      <c r="W268" s="30" t="str">
        <f>"－"</f>
        <v>－</v>
      </c>
      <c r="X268" s="34">
        <f>19</f>
        <v>19</v>
      </c>
    </row>
    <row r="269" spans="1:24" ht="13.5" customHeight="1" x14ac:dyDescent="0.15">
      <c r="A269" s="25" t="s">
        <v>989</v>
      </c>
      <c r="B269" s="25" t="s">
        <v>830</v>
      </c>
      <c r="C269" s="25" t="s">
        <v>831</v>
      </c>
      <c r="D269" s="25" t="s">
        <v>832</v>
      </c>
      <c r="E269" s="26" t="s">
        <v>45</v>
      </c>
      <c r="F269" s="27" t="s">
        <v>45</v>
      </c>
      <c r="G269" s="28" t="s">
        <v>45</v>
      </c>
      <c r="H269" s="29"/>
      <c r="I269" s="29" t="s">
        <v>46</v>
      </c>
      <c r="J269" s="30">
        <v>1</v>
      </c>
      <c r="K269" s="31">
        <f>1514</f>
        <v>1514</v>
      </c>
      <c r="L269" s="32" t="s">
        <v>785</v>
      </c>
      <c r="M269" s="31">
        <f>1557</f>
        <v>1557</v>
      </c>
      <c r="N269" s="32" t="s">
        <v>786</v>
      </c>
      <c r="O269" s="31">
        <f>1453</f>
        <v>1453</v>
      </c>
      <c r="P269" s="32" t="s">
        <v>78</v>
      </c>
      <c r="Q269" s="31">
        <f>1520</f>
        <v>1520</v>
      </c>
      <c r="R269" s="32" t="s">
        <v>791</v>
      </c>
      <c r="S269" s="33">
        <f>1502.63</f>
        <v>1502.63</v>
      </c>
      <c r="T269" s="30">
        <f>79976</f>
        <v>79976</v>
      </c>
      <c r="U269" s="30" t="str">
        <f>"－"</f>
        <v>－</v>
      </c>
      <c r="V269" s="30">
        <f>119134396</f>
        <v>119134396</v>
      </c>
      <c r="W269" s="30" t="str">
        <f>"－"</f>
        <v>－</v>
      </c>
      <c r="X269" s="34">
        <f>19</f>
        <v>19</v>
      </c>
    </row>
    <row r="270" spans="1:24" ht="13.5" customHeight="1" x14ac:dyDescent="0.15">
      <c r="A270" s="25" t="s">
        <v>989</v>
      </c>
      <c r="B270" s="25" t="s">
        <v>833</v>
      </c>
      <c r="C270" s="25" t="s">
        <v>834</v>
      </c>
      <c r="D270" s="25" t="s">
        <v>835</v>
      </c>
      <c r="E270" s="26" t="s">
        <v>45</v>
      </c>
      <c r="F270" s="27" t="s">
        <v>45</v>
      </c>
      <c r="G270" s="28" t="s">
        <v>45</v>
      </c>
      <c r="H270" s="29"/>
      <c r="I270" s="29" t="s">
        <v>46</v>
      </c>
      <c r="J270" s="30">
        <v>1</v>
      </c>
      <c r="K270" s="31">
        <f>2507</f>
        <v>2507</v>
      </c>
      <c r="L270" s="32" t="s">
        <v>785</v>
      </c>
      <c r="M270" s="31">
        <f>2602</f>
        <v>2602</v>
      </c>
      <c r="N270" s="32" t="s">
        <v>255</v>
      </c>
      <c r="O270" s="31">
        <f>2422</f>
        <v>2422</v>
      </c>
      <c r="P270" s="32" t="s">
        <v>876</v>
      </c>
      <c r="Q270" s="31">
        <f>2574</f>
        <v>2574</v>
      </c>
      <c r="R270" s="32" t="s">
        <v>791</v>
      </c>
      <c r="S270" s="33">
        <f>2516.63</f>
        <v>2516.63</v>
      </c>
      <c r="T270" s="30">
        <f>17331</f>
        <v>17331</v>
      </c>
      <c r="U270" s="30" t="str">
        <f>"－"</f>
        <v>－</v>
      </c>
      <c r="V270" s="30">
        <f>43534929</f>
        <v>43534929</v>
      </c>
      <c r="W270" s="30" t="str">
        <f>"－"</f>
        <v>－</v>
      </c>
      <c r="X270" s="34">
        <f>19</f>
        <v>19</v>
      </c>
    </row>
    <row r="271" spans="1:24" ht="13.5" customHeight="1" x14ac:dyDescent="0.15">
      <c r="A271" s="25" t="s">
        <v>989</v>
      </c>
      <c r="B271" s="25" t="s">
        <v>836</v>
      </c>
      <c r="C271" s="25" t="s">
        <v>837</v>
      </c>
      <c r="D271" s="25" t="s">
        <v>838</v>
      </c>
      <c r="E271" s="26" t="s">
        <v>45</v>
      </c>
      <c r="F271" s="27" t="s">
        <v>45</v>
      </c>
      <c r="G271" s="28" t="s">
        <v>45</v>
      </c>
      <c r="H271" s="29"/>
      <c r="I271" s="29" t="s">
        <v>46</v>
      </c>
      <c r="J271" s="30">
        <v>1</v>
      </c>
      <c r="K271" s="31">
        <f>1927</f>
        <v>1927</v>
      </c>
      <c r="L271" s="32" t="s">
        <v>785</v>
      </c>
      <c r="M271" s="31">
        <f>2043</f>
        <v>2043</v>
      </c>
      <c r="N271" s="32" t="s">
        <v>786</v>
      </c>
      <c r="O271" s="31">
        <f>1914</f>
        <v>1914</v>
      </c>
      <c r="P271" s="32" t="s">
        <v>785</v>
      </c>
      <c r="Q271" s="31">
        <f>2014</f>
        <v>2014</v>
      </c>
      <c r="R271" s="32" t="s">
        <v>791</v>
      </c>
      <c r="S271" s="33">
        <f>1982.37</f>
        <v>1982.37</v>
      </c>
      <c r="T271" s="30">
        <f>48604</f>
        <v>48604</v>
      </c>
      <c r="U271" s="30">
        <f>4</f>
        <v>4</v>
      </c>
      <c r="V271" s="30">
        <f>94694425</f>
        <v>94694425</v>
      </c>
      <c r="W271" s="30">
        <f>7826</f>
        <v>7826</v>
      </c>
      <c r="X271" s="34">
        <f>19</f>
        <v>19</v>
      </c>
    </row>
    <row r="272" spans="1:24" ht="13.5" customHeight="1" x14ac:dyDescent="0.15">
      <c r="A272" s="25" t="s">
        <v>989</v>
      </c>
      <c r="B272" s="25" t="s">
        <v>839</v>
      </c>
      <c r="C272" s="25" t="s">
        <v>840</v>
      </c>
      <c r="D272" s="25" t="s">
        <v>841</v>
      </c>
      <c r="E272" s="26" t="s">
        <v>45</v>
      </c>
      <c r="F272" s="27" t="s">
        <v>45</v>
      </c>
      <c r="G272" s="28" t="s">
        <v>45</v>
      </c>
      <c r="H272" s="29"/>
      <c r="I272" s="29" t="s">
        <v>46</v>
      </c>
      <c r="J272" s="30">
        <v>1</v>
      </c>
      <c r="K272" s="31">
        <f>24970</f>
        <v>24970</v>
      </c>
      <c r="L272" s="32" t="s">
        <v>785</v>
      </c>
      <c r="M272" s="31">
        <f>26080</f>
        <v>26080</v>
      </c>
      <c r="N272" s="32" t="s">
        <v>789</v>
      </c>
      <c r="O272" s="31">
        <f>24880</f>
        <v>24880</v>
      </c>
      <c r="P272" s="32" t="s">
        <v>875</v>
      </c>
      <c r="Q272" s="31">
        <f>26080</f>
        <v>26080</v>
      </c>
      <c r="R272" s="32" t="s">
        <v>789</v>
      </c>
      <c r="S272" s="33">
        <f>25305.71</f>
        <v>25305.71</v>
      </c>
      <c r="T272" s="30">
        <f>26</f>
        <v>26</v>
      </c>
      <c r="U272" s="30" t="str">
        <f t="shared" ref="U272:U277" si="10">"－"</f>
        <v>－</v>
      </c>
      <c r="V272" s="30">
        <f>668045</f>
        <v>668045</v>
      </c>
      <c r="W272" s="30" t="str">
        <f t="shared" ref="W272:W277" si="11">"－"</f>
        <v>－</v>
      </c>
      <c r="X272" s="34">
        <f>7</f>
        <v>7</v>
      </c>
    </row>
    <row r="273" spans="1:24" ht="13.5" customHeight="1" x14ac:dyDescent="0.15">
      <c r="A273" s="25" t="s">
        <v>989</v>
      </c>
      <c r="B273" s="25" t="s">
        <v>842</v>
      </c>
      <c r="C273" s="25" t="s">
        <v>843</v>
      </c>
      <c r="D273" s="25" t="s">
        <v>844</v>
      </c>
      <c r="E273" s="26" t="s">
        <v>45</v>
      </c>
      <c r="F273" s="27" t="s">
        <v>45</v>
      </c>
      <c r="G273" s="28" t="s">
        <v>45</v>
      </c>
      <c r="H273" s="29"/>
      <c r="I273" s="29" t="s">
        <v>46</v>
      </c>
      <c r="J273" s="30">
        <v>1</v>
      </c>
      <c r="K273" s="31">
        <f>1936</f>
        <v>1936</v>
      </c>
      <c r="L273" s="32" t="s">
        <v>785</v>
      </c>
      <c r="M273" s="31">
        <f>2050</f>
        <v>2050</v>
      </c>
      <c r="N273" s="32" t="s">
        <v>786</v>
      </c>
      <c r="O273" s="31">
        <f>1920</f>
        <v>1920</v>
      </c>
      <c r="P273" s="32" t="s">
        <v>78</v>
      </c>
      <c r="Q273" s="31">
        <f>2033</f>
        <v>2033</v>
      </c>
      <c r="R273" s="32" t="s">
        <v>791</v>
      </c>
      <c r="S273" s="33">
        <f>1987.78</f>
        <v>1987.78</v>
      </c>
      <c r="T273" s="30">
        <f>1136</f>
        <v>1136</v>
      </c>
      <c r="U273" s="30" t="str">
        <f t="shared" si="10"/>
        <v>－</v>
      </c>
      <c r="V273" s="30">
        <f>2268641</f>
        <v>2268641</v>
      </c>
      <c r="W273" s="30" t="str">
        <f t="shared" si="11"/>
        <v>－</v>
      </c>
      <c r="X273" s="34">
        <f>18</f>
        <v>18</v>
      </c>
    </row>
    <row r="274" spans="1:24" ht="13.5" customHeight="1" x14ac:dyDescent="0.15">
      <c r="A274" s="25" t="s">
        <v>989</v>
      </c>
      <c r="B274" s="25" t="s">
        <v>845</v>
      </c>
      <c r="C274" s="25" t="s">
        <v>846</v>
      </c>
      <c r="D274" s="25" t="s">
        <v>847</v>
      </c>
      <c r="E274" s="26" t="s">
        <v>45</v>
      </c>
      <c r="F274" s="27" t="s">
        <v>45</v>
      </c>
      <c r="G274" s="28" t="s">
        <v>45</v>
      </c>
      <c r="H274" s="29"/>
      <c r="I274" s="29" t="s">
        <v>46</v>
      </c>
      <c r="J274" s="30">
        <v>1</v>
      </c>
      <c r="K274" s="31">
        <f>2037</f>
        <v>2037</v>
      </c>
      <c r="L274" s="32" t="s">
        <v>785</v>
      </c>
      <c r="M274" s="31">
        <f>2316</f>
        <v>2316</v>
      </c>
      <c r="N274" s="32" t="s">
        <v>793</v>
      </c>
      <c r="O274" s="31">
        <f>1995</f>
        <v>1995</v>
      </c>
      <c r="P274" s="32" t="s">
        <v>785</v>
      </c>
      <c r="Q274" s="31">
        <f>2268</f>
        <v>2268</v>
      </c>
      <c r="R274" s="32" t="s">
        <v>791</v>
      </c>
      <c r="S274" s="33">
        <f>2188.89</f>
        <v>2188.89</v>
      </c>
      <c r="T274" s="30">
        <f>261476</f>
        <v>261476</v>
      </c>
      <c r="U274" s="30" t="str">
        <f t="shared" si="10"/>
        <v>－</v>
      </c>
      <c r="V274" s="30">
        <f>573121961</f>
        <v>573121961</v>
      </c>
      <c r="W274" s="30" t="str">
        <f t="shared" si="11"/>
        <v>－</v>
      </c>
      <c r="X274" s="34">
        <f>19</f>
        <v>19</v>
      </c>
    </row>
    <row r="275" spans="1:24" ht="13.5" customHeight="1" x14ac:dyDescent="0.15">
      <c r="A275" s="25" t="s">
        <v>989</v>
      </c>
      <c r="B275" s="25" t="s">
        <v>848</v>
      </c>
      <c r="C275" s="25" t="s">
        <v>849</v>
      </c>
      <c r="D275" s="25" t="s">
        <v>850</v>
      </c>
      <c r="E275" s="26" t="s">
        <v>45</v>
      </c>
      <c r="F275" s="27" t="s">
        <v>45</v>
      </c>
      <c r="G275" s="28" t="s">
        <v>45</v>
      </c>
      <c r="H275" s="29"/>
      <c r="I275" s="29" t="s">
        <v>46</v>
      </c>
      <c r="J275" s="30">
        <v>1</v>
      </c>
      <c r="K275" s="31">
        <f>1729</f>
        <v>1729</v>
      </c>
      <c r="L275" s="32" t="s">
        <v>785</v>
      </c>
      <c r="M275" s="31">
        <f>1806</f>
        <v>1806</v>
      </c>
      <c r="N275" s="32" t="s">
        <v>786</v>
      </c>
      <c r="O275" s="31">
        <f>1695</f>
        <v>1695</v>
      </c>
      <c r="P275" s="32" t="s">
        <v>876</v>
      </c>
      <c r="Q275" s="31">
        <f>1793</f>
        <v>1793</v>
      </c>
      <c r="R275" s="32" t="s">
        <v>791</v>
      </c>
      <c r="S275" s="33">
        <f>1748.16</f>
        <v>1748.16</v>
      </c>
      <c r="T275" s="30">
        <f>6017</f>
        <v>6017</v>
      </c>
      <c r="U275" s="30" t="str">
        <f t="shared" si="10"/>
        <v>－</v>
      </c>
      <c r="V275" s="30">
        <f>10706359</f>
        <v>10706359</v>
      </c>
      <c r="W275" s="30" t="str">
        <f t="shared" si="11"/>
        <v>－</v>
      </c>
      <c r="X275" s="34">
        <f>19</f>
        <v>19</v>
      </c>
    </row>
    <row r="276" spans="1:24" ht="13.5" customHeight="1" x14ac:dyDescent="0.15">
      <c r="A276" s="25" t="s">
        <v>989</v>
      </c>
      <c r="B276" s="25" t="s">
        <v>851</v>
      </c>
      <c r="C276" s="25" t="s">
        <v>852</v>
      </c>
      <c r="D276" s="25" t="s">
        <v>853</v>
      </c>
      <c r="E276" s="26" t="s">
        <v>45</v>
      </c>
      <c r="F276" s="27" t="s">
        <v>45</v>
      </c>
      <c r="G276" s="28" t="s">
        <v>45</v>
      </c>
      <c r="H276" s="29"/>
      <c r="I276" s="29" t="s">
        <v>46</v>
      </c>
      <c r="J276" s="30">
        <v>1</v>
      </c>
      <c r="K276" s="31">
        <f>1353</f>
        <v>1353</v>
      </c>
      <c r="L276" s="32" t="s">
        <v>785</v>
      </c>
      <c r="M276" s="31">
        <f>1473</f>
        <v>1473</v>
      </c>
      <c r="N276" s="32" t="s">
        <v>255</v>
      </c>
      <c r="O276" s="31">
        <f>1325</f>
        <v>1325</v>
      </c>
      <c r="P276" s="32" t="s">
        <v>78</v>
      </c>
      <c r="Q276" s="31">
        <f>1461</f>
        <v>1461</v>
      </c>
      <c r="R276" s="32" t="s">
        <v>791</v>
      </c>
      <c r="S276" s="33">
        <f>1413.58</f>
        <v>1413.58</v>
      </c>
      <c r="T276" s="30">
        <f>4840</f>
        <v>4840</v>
      </c>
      <c r="U276" s="30" t="str">
        <f t="shared" si="10"/>
        <v>－</v>
      </c>
      <c r="V276" s="30">
        <f>6851929</f>
        <v>6851929</v>
      </c>
      <c r="W276" s="30" t="str">
        <f t="shared" si="11"/>
        <v>－</v>
      </c>
      <c r="X276" s="34">
        <f>19</f>
        <v>19</v>
      </c>
    </row>
    <row r="277" spans="1:24" ht="13.5" customHeight="1" x14ac:dyDescent="0.15">
      <c r="A277" s="25" t="s">
        <v>989</v>
      </c>
      <c r="B277" s="25" t="s">
        <v>854</v>
      </c>
      <c r="C277" s="25" t="s">
        <v>855</v>
      </c>
      <c r="D277" s="25" t="s">
        <v>856</v>
      </c>
      <c r="E277" s="26" t="s">
        <v>45</v>
      </c>
      <c r="F277" s="27" t="s">
        <v>45</v>
      </c>
      <c r="G277" s="28" t="s">
        <v>45</v>
      </c>
      <c r="H277" s="29"/>
      <c r="I277" s="29" t="s">
        <v>46</v>
      </c>
      <c r="J277" s="30">
        <v>10</v>
      </c>
      <c r="K277" s="31">
        <f>5119</f>
        <v>5119</v>
      </c>
      <c r="L277" s="32" t="s">
        <v>785</v>
      </c>
      <c r="M277" s="31">
        <f>5119</f>
        <v>5119</v>
      </c>
      <c r="N277" s="32" t="s">
        <v>785</v>
      </c>
      <c r="O277" s="31">
        <f>4897</f>
        <v>4897</v>
      </c>
      <c r="P277" s="32" t="s">
        <v>876</v>
      </c>
      <c r="Q277" s="31">
        <f>5001</f>
        <v>5001</v>
      </c>
      <c r="R277" s="32" t="s">
        <v>791</v>
      </c>
      <c r="S277" s="33">
        <f>4993.64</f>
        <v>4993.6400000000003</v>
      </c>
      <c r="T277" s="30">
        <f>121930</f>
        <v>121930</v>
      </c>
      <c r="U277" s="30" t="str">
        <f t="shared" si="10"/>
        <v>－</v>
      </c>
      <c r="V277" s="30">
        <f>609676070</f>
        <v>609676070</v>
      </c>
      <c r="W277" s="30" t="str">
        <f t="shared" si="11"/>
        <v>－</v>
      </c>
      <c r="X277" s="34">
        <f>14</f>
        <v>14</v>
      </c>
    </row>
    <row r="278" spans="1:24" ht="13.5" customHeight="1" x14ac:dyDescent="0.15">
      <c r="A278" s="25" t="s">
        <v>989</v>
      </c>
      <c r="B278" s="25" t="s">
        <v>857</v>
      </c>
      <c r="C278" s="25" t="s">
        <v>858</v>
      </c>
      <c r="D278" s="25" t="s">
        <v>859</v>
      </c>
      <c r="E278" s="26" t="s">
        <v>45</v>
      </c>
      <c r="F278" s="27" t="s">
        <v>45</v>
      </c>
      <c r="G278" s="28" t="s">
        <v>45</v>
      </c>
      <c r="H278" s="29"/>
      <c r="I278" s="29" t="s">
        <v>46</v>
      </c>
      <c r="J278" s="30">
        <v>10</v>
      </c>
      <c r="K278" s="31">
        <f>4240</f>
        <v>4240</v>
      </c>
      <c r="L278" s="32" t="s">
        <v>785</v>
      </c>
      <c r="M278" s="31">
        <f>4271</f>
        <v>4271</v>
      </c>
      <c r="N278" s="32" t="s">
        <v>794</v>
      </c>
      <c r="O278" s="31">
        <f>4124</f>
        <v>4124</v>
      </c>
      <c r="P278" s="32" t="s">
        <v>785</v>
      </c>
      <c r="Q278" s="31">
        <f>4200</f>
        <v>4200</v>
      </c>
      <c r="R278" s="32" t="s">
        <v>791</v>
      </c>
      <c r="S278" s="33">
        <f>4198.44</f>
        <v>4198.4399999999996</v>
      </c>
      <c r="T278" s="30">
        <f>79290</f>
        <v>79290</v>
      </c>
      <c r="U278" s="30">
        <f>25000</f>
        <v>25000</v>
      </c>
      <c r="V278" s="30">
        <f>336812800</f>
        <v>336812800</v>
      </c>
      <c r="W278" s="30">
        <f>105477500</f>
        <v>105477500</v>
      </c>
      <c r="X278" s="34">
        <f>18</f>
        <v>18</v>
      </c>
    </row>
    <row r="279" spans="1:24" ht="13.5" customHeight="1" x14ac:dyDescent="0.15">
      <c r="A279" s="25" t="s">
        <v>989</v>
      </c>
      <c r="B279" s="25" t="s">
        <v>860</v>
      </c>
      <c r="C279" s="25" t="s">
        <v>861</v>
      </c>
      <c r="D279" s="25" t="s">
        <v>862</v>
      </c>
      <c r="E279" s="26" t="s">
        <v>45</v>
      </c>
      <c r="F279" s="27" t="s">
        <v>45</v>
      </c>
      <c r="G279" s="28" t="s">
        <v>45</v>
      </c>
      <c r="H279" s="29"/>
      <c r="I279" s="29" t="s">
        <v>46</v>
      </c>
      <c r="J279" s="30">
        <v>10</v>
      </c>
      <c r="K279" s="31">
        <f>718</f>
        <v>718</v>
      </c>
      <c r="L279" s="32" t="s">
        <v>785</v>
      </c>
      <c r="M279" s="31">
        <f>718</f>
        <v>718</v>
      </c>
      <c r="N279" s="32" t="s">
        <v>785</v>
      </c>
      <c r="O279" s="31">
        <f>686.6</f>
        <v>686.6</v>
      </c>
      <c r="P279" s="32" t="s">
        <v>784</v>
      </c>
      <c r="Q279" s="31">
        <f>705</f>
        <v>705</v>
      </c>
      <c r="R279" s="32" t="s">
        <v>791</v>
      </c>
      <c r="S279" s="33">
        <f>705.6</f>
        <v>705.6</v>
      </c>
      <c r="T279" s="30">
        <f>1090</f>
        <v>1090</v>
      </c>
      <c r="U279" s="30" t="str">
        <f>"－"</f>
        <v>－</v>
      </c>
      <c r="V279" s="30">
        <f>772463</f>
        <v>772463</v>
      </c>
      <c r="W279" s="30" t="str">
        <f>"－"</f>
        <v>－</v>
      </c>
      <c r="X279" s="34">
        <f>14</f>
        <v>14</v>
      </c>
    </row>
    <row r="280" spans="1:24" ht="13.5" customHeight="1" x14ac:dyDescent="0.15">
      <c r="A280" s="25" t="s">
        <v>989</v>
      </c>
      <c r="B280" s="25" t="s">
        <v>863</v>
      </c>
      <c r="C280" s="25" t="s">
        <v>864</v>
      </c>
      <c r="D280" s="25" t="s">
        <v>865</v>
      </c>
      <c r="E280" s="26" t="s">
        <v>45</v>
      </c>
      <c r="F280" s="27" t="s">
        <v>45</v>
      </c>
      <c r="G280" s="28" t="s">
        <v>45</v>
      </c>
      <c r="H280" s="29"/>
      <c r="I280" s="29" t="s">
        <v>46</v>
      </c>
      <c r="J280" s="30">
        <v>1</v>
      </c>
      <c r="K280" s="31">
        <f>2051</f>
        <v>2051</v>
      </c>
      <c r="L280" s="32" t="s">
        <v>785</v>
      </c>
      <c r="M280" s="31">
        <f>2200</f>
        <v>2200</v>
      </c>
      <c r="N280" s="32" t="s">
        <v>255</v>
      </c>
      <c r="O280" s="31">
        <f>2018</f>
        <v>2018</v>
      </c>
      <c r="P280" s="32" t="s">
        <v>785</v>
      </c>
      <c r="Q280" s="31">
        <f>2194</f>
        <v>2194</v>
      </c>
      <c r="R280" s="32" t="s">
        <v>893</v>
      </c>
      <c r="S280" s="33">
        <f>2112.65</f>
        <v>2112.65</v>
      </c>
      <c r="T280" s="30">
        <f>10763</f>
        <v>10763</v>
      </c>
      <c r="U280" s="30" t="str">
        <f>"－"</f>
        <v>－</v>
      </c>
      <c r="V280" s="30">
        <f>22818608</f>
        <v>22818608</v>
      </c>
      <c r="W280" s="30" t="str">
        <f>"－"</f>
        <v>－</v>
      </c>
      <c r="X280" s="34">
        <f>17</f>
        <v>17</v>
      </c>
    </row>
    <row r="281" spans="1:24" ht="13.5" customHeight="1" x14ac:dyDescent="0.15">
      <c r="A281" s="25" t="s">
        <v>989</v>
      </c>
      <c r="B281" s="25" t="s">
        <v>866</v>
      </c>
      <c r="C281" s="25" t="s">
        <v>867</v>
      </c>
      <c r="D281" s="25" t="s">
        <v>868</v>
      </c>
      <c r="E281" s="26" t="s">
        <v>45</v>
      </c>
      <c r="F281" s="27" t="s">
        <v>45</v>
      </c>
      <c r="G281" s="28" t="s">
        <v>45</v>
      </c>
      <c r="H281" s="29"/>
      <c r="I281" s="29" t="s">
        <v>46</v>
      </c>
      <c r="J281" s="30">
        <v>1</v>
      </c>
      <c r="K281" s="31">
        <f>1829</f>
        <v>1829</v>
      </c>
      <c r="L281" s="32" t="s">
        <v>785</v>
      </c>
      <c r="M281" s="31">
        <f>1973</f>
        <v>1973</v>
      </c>
      <c r="N281" s="32" t="s">
        <v>786</v>
      </c>
      <c r="O281" s="31">
        <f>1803</f>
        <v>1803</v>
      </c>
      <c r="P281" s="32" t="s">
        <v>785</v>
      </c>
      <c r="Q281" s="31">
        <f>1925</f>
        <v>1925</v>
      </c>
      <c r="R281" s="32" t="s">
        <v>893</v>
      </c>
      <c r="S281" s="33">
        <f>1890</f>
        <v>1890</v>
      </c>
      <c r="T281" s="30">
        <f>23887</f>
        <v>23887</v>
      </c>
      <c r="U281" s="30" t="str">
        <f>"－"</f>
        <v>－</v>
      </c>
      <c r="V281" s="30">
        <f>45779847</f>
        <v>45779847</v>
      </c>
      <c r="W281" s="30" t="str">
        <f>"－"</f>
        <v>－</v>
      </c>
      <c r="X281" s="34">
        <f>17</f>
        <v>17</v>
      </c>
    </row>
    <row r="282" spans="1:24" ht="13.5" customHeight="1" x14ac:dyDescent="0.15">
      <c r="A282" s="25" t="s">
        <v>989</v>
      </c>
      <c r="B282" s="25" t="s">
        <v>869</v>
      </c>
      <c r="C282" s="25" t="s">
        <v>870</v>
      </c>
      <c r="D282" s="25" t="s">
        <v>871</v>
      </c>
      <c r="E282" s="26" t="s">
        <v>45</v>
      </c>
      <c r="F282" s="27" t="s">
        <v>45</v>
      </c>
      <c r="G282" s="28" t="s">
        <v>45</v>
      </c>
      <c r="H282" s="29"/>
      <c r="I282" s="29" t="s">
        <v>46</v>
      </c>
      <c r="J282" s="30">
        <v>1</v>
      </c>
      <c r="K282" s="31">
        <f>7473</f>
        <v>7473</v>
      </c>
      <c r="L282" s="32" t="s">
        <v>785</v>
      </c>
      <c r="M282" s="31">
        <f>7663</f>
        <v>7663</v>
      </c>
      <c r="N282" s="32" t="s">
        <v>794</v>
      </c>
      <c r="O282" s="31">
        <f>7306</f>
        <v>7306</v>
      </c>
      <c r="P282" s="32" t="s">
        <v>788</v>
      </c>
      <c r="Q282" s="31">
        <f>7464</f>
        <v>7464</v>
      </c>
      <c r="R282" s="32" t="s">
        <v>791</v>
      </c>
      <c r="S282" s="33">
        <f>7458.47</f>
        <v>7458.47</v>
      </c>
      <c r="T282" s="30">
        <f>70667</f>
        <v>70667</v>
      </c>
      <c r="U282" s="30" t="str">
        <f>"－"</f>
        <v>－</v>
      </c>
      <c r="V282" s="30">
        <f>526277409</f>
        <v>526277409</v>
      </c>
      <c r="W282" s="30" t="str">
        <f>"－"</f>
        <v>－</v>
      </c>
      <c r="X282" s="34">
        <f>19</f>
        <v>19</v>
      </c>
    </row>
    <row r="283" spans="1:24" ht="13.5" customHeight="1" x14ac:dyDescent="0.15">
      <c r="A283" s="25" t="s">
        <v>989</v>
      </c>
      <c r="B283" s="25" t="s">
        <v>872</v>
      </c>
      <c r="C283" s="25" t="s">
        <v>873</v>
      </c>
      <c r="D283" s="25" t="s">
        <v>874</v>
      </c>
      <c r="E283" s="26" t="s">
        <v>45</v>
      </c>
      <c r="F283" s="27" t="s">
        <v>45</v>
      </c>
      <c r="G283" s="28" t="s">
        <v>45</v>
      </c>
      <c r="H283" s="29"/>
      <c r="I283" s="29" t="s">
        <v>46</v>
      </c>
      <c r="J283" s="30">
        <v>1</v>
      </c>
      <c r="K283" s="31">
        <f>6119</f>
        <v>6119</v>
      </c>
      <c r="L283" s="32" t="s">
        <v>785</v>
      </c>
      <c r="M283" s="31">
        <f>6355</f>
        <v>6355</v>
      </c>
      <c r="N283" s="32" t="s">
        <v>893</v>
      </c>
      <c r="O283" s="31">
        <f>6119</f>
        <v>6119</v>
      </c>
      <c r="P283" s="32" t="s">
        <v>785</v>
      </c>
      <c r="Q283" s="31">
        <f>6247</f>
        <v>6247</v>
      </c>
      <c r="R283" s="32" t="s">
        <v>791</v>
      </c>
      <c r="S283" s="33">
        <f>6253.78</f>
        <v>6253.78</v>
      </c>
      <c r="T283" s="30">
        <f>113508</f>
        <v>113508</v>
      </c>
      <c r="U283" s="30">
        <f>80000</f>
        <v>80000</v>
      </c>
      <c r="V283" s="30">
        <f>711288489</f>
        <v>711288489</v>
      </c>
      <c r="W283" s="30">
        <f>498648784</f>
        <v>498648784</v>
      </c>
      <c r="X283" s="34">
        <f>18</f>
        <v>18</v>
      </c>
    </row>
    <row r="284" spans="1:24" ht="13.5" customHeight="1" x14ac:dyDescent="0.15">
      <c r="A284" s="25" t="s">
        <v>989</v>
      </c>
      <c r="B284" s="25" t="s">
        <v>878</v>
      </c>
      <c r="C284" s="25" t="s">
        <v>879</v>
      </c>
      <c r="D284" s="25" t="s">
        <v>880</v>
      </c>
      <c r="E284" s="26" t="s">
        <v>45</v>
      </c>
      <c r="F284" s="27" t="s">
        <v>45</v>
      </c>
      <c r="G284" s="28" t="s">
        <v>45</v>
      </c>
      <c r="H284" s="29"/>
      <c r="I284" s="29" t="s">
        <v>46</v>
      </c>
      <c r="J284" s="30">
        <v>1</v>
      </c>
      <c r="K284" s="31">
        <f>13460</f>
        <v>13460</v>
      </c>
      <c r="L284" s="32" t="s">
        <v>785</v>
      </c>
      <c r="M284" s="31">
        <f>14910</f>
        <v>14910</v>
      </c>
      <c r="N284" s="32" t="s">
        <v>893</v>
      </c>
      <c r="O284" s="31">
        <f>13400</f>
        <v>13400</v>
      </c>
      <c r="P284" s="32" t="s">
        <v>785</v>
      </c>
      <c r="Q284" s="31">
        <f>14575</f>
        <v>14575</v>
      </c>
      <c r="R284" s="32" t="s">
        <v>791</v>
      </c>
      <c r="S284" s="33">
        <f>14100.53</f>
        <v>14100.53</v>
      </c>
      <c r="T284" s="30">
        <f>867363</f>
        <v>867363</v>
      </c>
      <c r="U284" s="30">
        <f>1</f>
        <v>1</v>
      </c>
      <c r="V284" s="30">
        <f>12139528765</f>
        <v>12139528765</v>
      </c>
      <c r="W284" s="30">
        <f>13915</f>
        <v>13915</v>
      </c>
      <c r="X284" s="34">
        <f>19</f>
        <v>19</v>
      </c>
    </row>
    <row r="285" spans="1:24" ht="13.5" customHeight="1" x14ac:dyDescent="0.15">
      <c r="A285" s="25" t="s">
        <v>989</v>
      </c>
      <c r="B285" s="25" t="s">
        <v>881</v>
      </c>
      <c r="C285" s="25" t="s">
        <v>882</v>
      </c>
      <c r="D285" s="25" t="s">
        <v>883</v>
      </c>
      <c r="E285" s="26" t="s">
        <v>45</v>
      </c>
      <c r="F285" s="27" t="s">
        <v>45</v>
      </c>
      <c r="G285" s="28" t="s">
        <v>45</v>
      </c>
      <c r="H285" s="29"/>
      <c r="I285" s="29" t="s">
        <v>46</v>
      </c>
      <c r="J285" s="30">
        <v>1</v>
      </c>
      <c r="K285" s="31">
        <f>7420</f>
        <v>7420</v>
      </c>
      <c r="L285" s="32" t="s">
        <v>785</v>
      </c>
      <c r="M285" s="31">
        <f>8258</f>
        <v>8258</v>
      </c>
      <c r="N285" s="32" t="s">
        <v>893</v>
      </c>
      <c r="O285" s="31">
        <f>7336</f>
        <v>7336</v>
      </c>
      <c r="P285" s="32" t="s">
        <v>78</v>
      </c>
      <c r="Q285" s="31">
        <f>8063</f>
        <v>8063</v>
      </c>
      <c r="R285" s="32" t="s">
        <v>791</v>
      </c>
      <c r="S285" s="33">
        <f>7809.79</f>
        <v>7809.79</v>
      </c>
      <c r="T285" s="30">
        <f>1154262</f>
        <v>1154262</v>
      </c>
      <c r="U285" s="30" t="str">
        <f>"－"</f>
        <v>－</v>
      </c>
      <c r="V285" s="30">
        <f>9005735954</f>
        <v>9005735954</v>
      </c>
      <c r="W285" s="30" t="str">
        <f>"－"</f>
        <v>－</v>
      </c>
      <c r="X285" s="34">
        <f>19</f>
        <v>19</v>
      </c>
    </row>
    <row r="286" spans="1:24" ht="13.5" customHeight="1" x14ac:dyDescent="0.15">
      <c r="A286" s="25" t="s">
        <v>989</v>
      </c>
      <c r="B286" s="25" t="s">
        <v>884</v>
      </c>
      <c r="C286" s="25" t="s">
        <v>885</v>
      </c>
      <c r="D286" s="25" t="s">
        <v>886</v>
      </c>
      <c r="E286" s="26" t="s">
        <v>45</v>
      </c>
      <c r="F286" s="27" t="s">
        <v>45</v>
      </c>
      <c r="G286" s="28" t="s">
        <v>45</v>
      </c>
      <c r="H286" s="29"/>
      <c r="I286" s="29" t="s">
        <v>46</v>
      </c>
      <c r="J286" s="30">
        <v>1</v>
      </c>
      <c r="K286" s="31">
        <f>33660</f>
        <v>33660</v>
      </c>
      <c r="L286" s="32" t="s">
        <v>785</v>
      </c>
      <c r="M286" s="31">
        <f>33960</f>
        <v>33960</v>
      </c>
      <c r="N286" s="32" t="s">
        <v>78</v>
      </c>
      <c r="O286" s="31">
        <f>30010</f>
        <v>30010</v>
      </c>
      <c r="P286" s="32" t="s">
        <v>893</v>
      </c>
      <c r="Q286" s="31">
        <f>30750</f>
        <v>30750</v>
      </c>
      <c r="R286" s="32" t="s">
        <v>791</v>
      </c>
      <c r="S286" s="33">
        <f>31880.53</f>
        <v>31880.53</v>
      </c>
      <c r="T286" s="30">
        <f>322080</f>
        <v>322080</v>
      </c>
      <c r="U286" s="30">
        <f>46374</f>
        <v>46374</v>
      </c>
      <c r="V286" s="30">
        <f>10354571304</f>
        <v>10354571304</v>
      </c>
      <c r="W286" s="30">
        <f>1541043564</f>
        <v>1541043564</v>
      </c>
      <c r="X286" s="34">
        <f>19</f>
        <v>19</v>
      </c>
    </row>
    <row r="287" spans="1:24" ht="13.5" customHeight="1" x14ac:dyDescent="0.15">
      <c r="A287" s="25" t="s">
        <v>989</v>
      </c>
      <c r="B287" s="25" t="s">
        <v>887</v>
      </c>
      <c r="C287" s="25" t="s">
        <v>888</v>
      </c>
      <c r="D287" s="25" t="s">
        <v>889</v>
      </c>
      <c r="E287" s="26" t="s">
        <v>45</v>
      </c>
      <c r="F287" s="27" t="s">
        <v>45</v>
      </c>
      <c r="G287" s="28" t="s">
        <v>45</v>
      </c>
      <c r="H287" s="29"/>
      <c r="I287" s="29" t="s">
        <v>46</v>
      </c>
      <c r="J287" s="30">
        <v>10</v>
      </c>
      <c r="K287" s="31">
        <f>4404</f>
        <v>4404</v>
      </c>
      <c r="L287" s="32" t="s">
        <v>794</v>
      </c>
      <c r="M287" s="31">
        <f>4533</f>
        <v>4533</v>
      </c>
      <c r="N287" s="32" t="s">
        <v>789</v>
      </c>
      <c r="O287" s="31">
        <f>4404</f>
        <v>4404</v>
      </c>
      <c r="P287" s="32" t="s">
        <v>794</v>
      </c>
      <c r="Q287" s="31">
        <f>4473</f>
        <v>4473</v>
      </c>
      <c r="R287" s="32" t="s">
        <v>255</v>
      </c>
      <c r="S287" s="33">
        <f>4495</f>
        <v>4495</v>
      </c>
      <c r="T287" s="30">
        <f>150</f>
        <v>150</v>
      </c>
      <c r="U287" s="30" t="str">
        <f>"－"</f>
        <v>－</v>
      </c>
      <c r="V287" s="30">
        <f>673390</f>
        <v>673390</v>
      </c>
      <c r="W287" s="30" t="str">
        <f>"－"</f>
        <v>－</v>
      </c>
      <c r="X287" s="34">
        <f>7</f>
        <v>7</v>
      </c>
    </row>
    <row r="288" spans="1:24" ht="13.5" customHeight="1" x14ac:dyDescent="0.15">
      <c r="A288" s="25" t="s">
        <v>989</v>
      </c>
      <c r="B288" s="25" t="s">
        <v>890</v>
      </c>
      <c r="C288" s="25" t="s">
        <v>891</v>
      </c>
      <c r="D288" s="25" t="s">
        <v>892</v>
      </c>
      <c r="E288" s="26" t="s">
        <v>45</v>
      </c>
      <c r="F288" s="27" t="s">
        <v>45</v>
      </c>
      <c r="G288" s="28" t="s">
        <v>45</v>
      </c>
      <c r="H288" s="29"/>
      <c r="I288" s="29" t="s">
        <v>46</v>
      </c>
      <c r="J288" s="30">
        <v>10</v>
      </c>
      <c r="K288" s="31">
        <f>4734</f>
        <v>4734</v>
      </c>
      <c r="L288" s="32" t="s">
        <v>785</v>
      </c>
      <c r="M288" s="31">
        <f>5135</f>
        <v>5135</v>
      </c>
      <c r="N288" s="32" t="s">
        <v>789</v>
      </c>
      <c r="O288" s="31">
        <f>4708</f>
        <v>4708</v>
      </c>
      <c r="P288" s="32" t="s">
        <v>785</v>
      </c>
      <c r="Q288" s="31">
        <f>5077</f>
        <v>5077</v>
      </c>
      <c r="R288" s="32" t="s">
        <v>791</v>
      </c>
      <c r="S288" s="33">
        <f>4991.6</f>
        <v>4991.6000000000004</v>
      </c>
      <c r="T288" s="30">
        <f>19840</f>
        <v>19840</v>
      </c>
      <c r="U288" s="30" t="str">
        <f>"－"</f>
        <v>－</v>
      </c>
      <c r="V288" s="30">
        <f>98766500</f>
        <v>98766500</v>
      </c>
      <c r="W288" s="30" t="str">
        <f>"－"</f>
        <v>－</v>
      </c>
      <c r="X288" s="34">
        <f>15</f>
        <v>15</v>
      </c>
    </row>
    <row r="289" spans="1:24" ht="13.5" customHeight="1" x14ac:dyDescent="0.15">
      <c r="A289" s="25" t="s">
        <v>989</v>
      </c>
      <c r="B289" s="25" t="s">
        <v>902</v>
      </c>
      <c r="C289" s="25" t="s">
        <v>903</v>
      </c>
      <c r="D289" s="25" t="s">
        <v>904</v>
      </c>
      <c r="E289" s="26" t="s">
        <v>45</v>
      </c>
      <c r="F289" s="27" t="s">
        <v>45</v>
      </c>
      <c r="G289" s="28" t="s">
        <v>45</v>
      </c>
      <c r="H289" s="29"/>
      <c r="I289" s="29" t="s">
        <v>46</v>
      </c>
      <c r="J289" s="30">
        <v>10</v>
      </c>
      <c r="K289" s="31">
        <f>1544.5</f>
        <v>1544.5</v>
      </c>
      <c r="L289" s="32" t="s">
        <v>785</v>
      </c>
      <c r="M289" s="31">
        <f>1724</f>
        <v>1724</v>
      </c>
      <c r="N289" s="32" t="s">
        <v>893</v>
      </c>
      <c r="O289" s="31">
        <f>1525</f>
        <v>1525</v>
      </c>
      <c r="P289" s="32" t="s">
        <v>785</v>
      </c>
      <c r="Q289" s="31">
        <f>1682.5</f>
        <v>1682.5</v>
      </c>
      <c r="R289" s="32" t="s">
        <v>791</v>
      </c>
      <c r="S289" s="33">
        <f>1630.5</f>
        <v>1630.5</v>
      </c>
      <c r="T289" s="30">
        <f>2073020</f>
        <v>2073020</v>
      </c>
      <c r="U289" s="30">
        <f>121700</f>
        <v>121700</v>
      </c>
      <c r="V289" s="30">
        <f>3397222265</f>
        <v>3397222265</v>
      </c>
      <c r="W289" s="30">
        <f>204942800</f>
        <v>204942800</v>
      </c>
      <c r="X289" s="34">
        <f>19</f>
        <v>19</v>
      </c>
    </row>
    <row r="290" spans="1:24" ht="13.5" customHeight="1" x14ac:dyDescent="0.15">
      <c r="A290" s="25" t="s">
        <v>989</v>
      </c>
      <c r="B290" s="25" t="s">
        <v>905</v>
      </c>
      <c r="C290" s="25" t="s">
        <v>906</v>
      </c>
      <c r="D290" s="25" t="s">
        <v>907</v>
      </c>
      <c r="E290" s="26" t="s">
        <v>45</v>
      </c>
      <c r="F290" s="27" t="s">
        <v>45</v>
      </c>
      <c r="G290" s="28" t="s">
        <v>45</v>
      </c>
      <c r="H290" s="29"/>
      <c r="I290" s="29" t="s">
        <v>46</v>
      </c>
      <c r="J290" s="30">
        <v>10</v>
      </c>
      <c r="K290" s="31">
        <f>1923</f>
        <v>1923</v>
      </c>
      <c r="L290" s="32" t="s">
        <v>785</v>
      </c>
      <c r="M290" s="31">
        <f>1982.5</f>
        <v>1982.5</v>
      </c>
      <c r="N290" s="32" t="s">
        <v>876</v>
      </c>
      <c r="O290" s="31">
        <f>1906</f>
        <v>1906</v>
      </c>
      <c r="P290" s="32" t="s">
        <v>78</v>
      </c>
      <c r="Q290" s="31">
        <f>1941</f>
        <v>1941</v>
      </c>
      <c r="R290" s="32" t="s">
        <v>791</v>
      </c>
      <c r="S290" s="33">
        <f>1942.11</f>
        <v>1942.11</v>
      </c>
      <c r="T290" s="30">
        <f>759290</f>
        <v>759290</v>
      </c>
      <c r="U290" s="30">
        <f>10</f>
        <v>10</v>
      </c>
      <c r="V290" s="30">
        <f>1470335265</f>
        <v>1470335265</v>
      </c>
      <c r="W290" s="30">
        <f>19340</f>
        <v>19340</v>
      </c>
      <c r="X290" s="34">
        <f>19</f>
        <v>19</v>
      </c>
    </row>
    <row r="291" spans="1:24" ht="13.5" customHeight="1" x14ac:dyDescent="0.15">
      <c r="A291" s="25" t="s">
        <v>989</v>
      </c>
      <c r="B291" s="25" t="s">
        <v>908</v>
      </c>
      <c r="C291" s="25" t="s">
        <v>909</v>
      </c>
      <c r="D291" s="25" t="s">
        <v>910</v>
      </c>
      <c r="E291" s="26" t="s">
        <v>45</v>
      </c>
      <c r="F291" s="27" t="s">
        <v>45</v>
      </c>
      <c r="G291" s="28" t="s">
        <v>45</v>
      </c>
      <c r="H291" s="29"/>
      <c r="I291" s="29" t="s">
        <v>46</v>
      </c>
      <c r="J291" s="30">
        <v>1</v>
      </c>
      <c r="K291" s="31">
        <f>1483</f>
        <v>1483</v>
      </c>
      <c r="L291" s="32" t="s">
        <v>785</v>
      </c>
      <c r="M291" s="31">
        <f>1553</f>
        <v>1553</v>
      </c>
      <c r="N291" s="32" t="s">
        <v>893</v>
      </c>
      <c r="O291" s="31">
        <f>1472</f>
        <v>1472</v>
      </c>
      <c r="P291" s="32" t="s">
        <v>78</v>
      </c>
      <c r="Q291" s="31">
        <f>1553</f>
        <v>1553</v>
      </c>
      <c r="R291" s="32" t="s">
        <v>893</v>
      </c>
      <c r="S291" s="33">
        <f>1509.89</f>
        <v>1509.89</v>
      </c>
      <c r="T291" s="30">
        <f>1697</f>
        <v>1697</v>
      </c>
      <c r="U291" s="30" t="str">
        <f>"－"</f>
        <v>－</v>
      </c>
      <c r="V291" s="30">
        <f>2528571</f>
        <v>2528571</v>
      </c>
      <c r="W291" s="30" t="str">
        <f>"－"</f>
        <v>－</v>
      </c>
      <c r="X291" s="34">
        <f>18</f>
        <v>18</v>
      </c>
    </row>
    <row r="292" spans="1:24" ht="13.5" customHeight="1" x14ac:dyDescent="0.15">
      <c r="A292" s="25" t="s">
        <v>989</v>
      </c>
      <c r="B292" s="25" t="s">
        <v>911</v>
      </c>
      <c r="C292" s="25" t="s">
        <v>912</v>
      </c>
      <c r="D292" s="25" t="s">
        <v>913</v>
      </c>
      <c r="E292" s="26" t="s">
        <v>45</v>
      </c>
      <c r="F292" s="27" t="s">
        <v>45</v>
      </c>
      <c r="G292" s="28" t="s">
        <v>45</v>
      </c>
      <c r="H292" s="29"/>
      <c r="I292" s="29" t="s">
        <v>46</v>
      </c>
      <c r="J292" s="30">
        <v>1</v>
      </c>
      <c r="K292" s="31">
        <f>1481</f>
        <v>1481</v>
      </c>
      <c r="L292" s="32" t="s">
        <v>785</v>
      </c>
      <c r="M292" s="31">
        <f>1565</f>
        <v>1565</v>
      </c>
      <c r="N292" s="32" t="s">
        <v>893</v>
      </c>
      <c r="O292" s="31">
        <f>1469</f>
        <v>1469</v>
      </c>
      <c r="P292" s="32" t="s">
        <v>78</v>
      </c>
      <c r="Q292" s="31">
        <f>1561</f>
        <v>1561</v>
      </c>
      <c r="R292" s="32" t="s">
        <v>893</v>
      </c>
      <c r="S292" s="33">
        <f>1516.82</f>
        <v>1516.82</v>
      </c>
      <c r="T292" s="30">
        <f>43337</f>
        <v>43337</v>
      </c>
      <c r="U292" s="30" t="str">
        <f>"－"</f>
        <v>－</v>
      </c>
      <c r="V292" s="30">
        <f>65390756</f>
        <v>65390756</v>
      </c>
      <c r="W292" s="30" t="str">
        <f>"－"</f>
        <v>－</v>
      </c>
      <c r="X292" s="34">
        <f>17</f>
        <v>17</v>
      </c>
    </row>
    <row r="293" spans="1:24" ht="13.5" customHeight="1" x14ac:dyDescent="0.15">
      <c r="A293" s="25" t="s">
        <v>989</v>
      </c>
      <c r="B293" s="25" t="s">
        <v>914</v>
      </c>
      <c r="C293" s="25" t="s">
        <v>915</v>
      </c>
      <c r="D293" s="25" t="s">
        <v>916</v>
      </c>
      <c r="E293" s="26" t="s">
        <v>45</v>
      </c>
      <c r="F293" s="27" t="s">
        <v>45</v>
      </c>
      <c r="G293" s="28" t="s">
        <v>45</v>
      </c>
      <c r="H293" s="29"/>
      <c r="I293" s="29" t="s">
        <v>46</v>
      </c>
      <c r="J293" s="30">
        <v>1</v>
      </c>
      <c r="K293" s="31">
        <f>3075</f>
        <v>3075</v>
      </c>
      <c r="L293" s="32" t="s">
        <v>785</v>
      </c>
      <c r="M293" s="31">
        <f>3215</f>
        <v>3215</v>
      </c>
      <c r="N293" s="32" t="s">
        <v>789</v>
      </c>
      <c r="O293" s="31">
        <f>3050</f>
        <v>3050</v>
      </c>
      <c r="P293" s="32" t="s">
        <v>785</v>
      </c>
      <c r="Q293" s="31">
        <f>3190</f>
        <v>3190</v>
      </c>
      <c r="R293" s="32" t="s">
        <v>791</v>
      </c>
      <c r="S293" s="33">
        <f>3130</f>
        <v>3130</v>
      </c>
      <c r="T293" s="30">
        <f>6746</f>
        <v>6746</v>
      </c>
      <c r="U293" s="30" t="str">
        <f>"－"</f>
        <v>－</v>
      </c>
      <c r="V293" s="30">
        <f>21048740</f>
        <v>21048740</v>
      </c>
      <c r="W293" s="30" t="str">
        <f>"－"</f>
        <v>－</v>
      </c>
      <c r="X293" s="34">
        <f>19</f>
        <v>19</v>
      </c>
    </row>
    <row r="294" spans="1:24" ht="13.5" customHeight="1" x14ac:dyDescent="0.15">
      <c r="A294" s="25" t="s">
        <v>989</v>
      </c>
      <c r="B294" s="25" t="s">
        <v>917</v>
      </c>
      <c r="C294" s="25" t="s">
        <v>918</v>
      </c>
      <c r="D294" s="25" t="s">
        <v>919</v>
      </c>
      <c r="E294" s="26" t="s">
        <v>45</v>
      </c>
      <c r="F294" s="27" t="s">
        <v>45</v>
      </c>
      <c r="G294" s="28" t="s">
        <v>45</v>
      </c>
      <c r="H294" s="29"/>
      <c r="I294" s="29" t="s">
        <v>46</v>
      </c>
      <c r="J294" s="30">
        <v>10</v>
      </c>
      <c r="K294" s="31">
        <f>1909.5</f>
        <v>1909.5</v>
      </c>
      <c r="L294" s="32" t="s">
        <v>56</v>
      </c>
      <c r="M294" s="31">
        <f>1991.5</f>
        <v>1991.5</v>
      </c>
      <c r="N294" s="32" t="s">
        <v>255</v>
      </c>
      <c r="O294" s="31">
        <f>1909.5</f>
        <v>1909.5</v>
      </c>
      <c r="P294" s="32" t="s">
        <v>56</v>
      </c>
      <c r="Q294" s="31">
        <f>1990.5</f>
        <v>1990.5</v>
      </c>
      <c r="R294" s="32" t="s">
        <v>255</v>
      </c>
      <c r="S294" s="33">
        <f>1945.67</f>
        <v>1945.67</v>
      </c>
      <c r="T294" s="30">
        <f>340</f>
        <v>340</v>
      </c>
      <c r="U294" s="30" t="str">
        <f>"－"</f>
        <v>－</v>
      </c>
      <c r="V294" s="30">
        <f>665805</f>
        <v>665805</v>
      </c>
      <c r="W294" s="30" t="str">
        <f>"－"</f>
        <v>－</v>
      </c>
      <c r="X294" s="34">
        <f>3</f>
        <v>3</v>
      </c>
    </row>
    <row r="295" spans="1:24" ht="13.5" customHeight="1" x14ac:dyDescent="0.15">
      <c r="A295" s="25" t="s">
        <v>989</v>
      </c>
      <c r="B295" s="25" t="s">
        <v>928</v>
      </c>
      <c r="C295" s="25" t="s">
        <v>929</v>
      </c>
      <c r="D295" s="25" t="s">
        <v>930</v>
      </c>
      <c r="E295" s="26" t="s">
        <v>45</v>
      </c>
      <c r="F295" s="27" t="s">
        <v>45</v>
      </c>
      <c r="G295" s="28" t="s">
        <v>45</v>
      </c>
      <c r="H295" s="29"/>
      <c r="I295" s="29" t="s">
        <v>46</v>
      </c>
      <c r="J295" s="30">
        <v>10</v>
      </c>
      <c r="K295" s="31">
        <f>197</f>
        <v>197</v>
      </c>
      <c r="L295" s="32" t="s">
        <v>785</v>
      </c>
      <c r="M295" s="31">
        <f>205</f>
        <v>205</v>
      </c>
      <c r="N295" s="32" t="s">
        <v>789</v>
      </c>
      <c r="O295" s="31">
        <f>188.3</f>
        <v>188.3</v>
      </c>
      <c r="P295" s="32" t="s">
        <v>876</v>
      </c>
      <c r="Q295" s="31">
        <f>204.1</f>
        <v>204.1</v>
      </c>
      <c r="R295" s="32" t="s">
        <v>791</v>
      </c>
      <c r="S295" s="33">
        <f>199.48</f>
        <v>199.48</v>
      </c>
      <c r="T295" s="30">
        <f>2030</f>
        <v>2030</v>
      </c>
      <c r="U295" s="30" t="str">
        <f>"－"</f>
        <v>－</v>
      </c>
      <c r="V295" s="30">
        <f>397643</f>
        <v>397643</v>
      </c>
      <c r="W295" s="30" t="str">
        <f>"－"</f>
        <v>－</v>
      </c>
      <c r="X295" s="34">
        <f>19</f>
        <v>19</v>
      </c>
    </row>
    <row r="296" spans="1:24" ht="13.5" customHeight="1" x14ac:dyDescent="0.15">
      <c r="A296" s="25" t="s">
        <v>989</v>
      </c>
      <c r="B296" s="25" t="s">
        <v>920</v>
      </c>
      <c r="C296" s="25" t="s">
        <v>921</v>
      </c>
      <c r="D296" s="25" t="s">
        <v>922</v>
      </c>
      <c r="E296" s="26" t="s">
        <v>45</v>
      </c>
      <c r="F296" s="27" t="s">
        <v>45</v>
      </c>
      <c r="G296" s="28" t="s">
        <v>45</v>
      </c>
      <c r="H296" s="29"/>
      <c r="I296" s="29" t="s">
        <v>46</v>
      </c>
      <c r="J296" s="30">
        <v>10</v>
      </c>
      <c r="K296" s="31">
        <f>195</f>
        <v>195</v>
      </c>
      <c r="L296" s="32" t="s">
        <v>785</v>
      </c>
      <c r="M296" s="31">
        <f>195</f>
        <v>195</v>
      </c>
      <c r="N296" s="32" t="s">
        <v>785</v>
      </c>
      <c r="O296" s="31">
        <f>183.4</f>
        <v>183.4</v>
      </c>
      <c r="P296" s="32" t="s">
        <v>786</v>
      </c>
      <c r="Q296" s="31">
        <f>184.9</f>
        <v>184.9</v>
      </c>
      <c r="R296" s="32" t="s">
        <v>791</v>
      </c>
      <c r="S296" s="33">
        <f>189.06</f>
        <v>189.06</v>
      </c>
      <c r="T296" s="30">
        <f>1092070</f>
        <v>1092070</v>
      </c>
      <c r="U296" s="30">
        <f>1071910</f>
        <v>1071910</v>
      </c>
      <c r="V296" s="30">
        <f>203895961</f>
        <v>203895961</v>
      </c>
      <c r="W296" s="30">
        <f>200125597</f>
        <v>200125597</v>
      </c>
      <c r="X296" s="34">
        <f>19</f>
        <v>19</v>
      </c>
    </row>
    <row r="297" spans="1:24" ht="13.5" customHeight="1" x14ac:dyDescent="0.15">
      <c r="A297" s="25" t="s">
        <v>989</v>
      </c>
      <c r="B297" s="25" t="s">
        <v>923</v>
      </c>
      <c r="C297" s="25" t="s">
        <v>924</v>
      </c>
      <c r="D297" s="25" t="s">
        <v>925</v>
      </c>
      <c r="E297" s="26" t="s">
        <v>45</v>
      </c>
      <c r="F297" s="27" t="s">
        <v>45</v>
      </c>
      <c r="G297" s="28" t="s">
        <v>45</v>
      </c>
      <c r="H297" s="29"/>
      <c r="I297" s="29" t="s">
        <v>46</v>
      </c>
      <c r="J297" s="30">
        <v>10</v>
      </c>
      <c r="K297" s="31">
        <f>713.5</f>
        <v>713.5</v>
      </c>
      <c r="L297" s="32" t="s">
        <v>785</v>
      </c>
      <c r="M297" s="31">
        <f>731.3</f>
        <v>731.3</v>
      </c>
      <c r="N297" s="32" t="s">
        <v>790</v>
      </c>
      <c r="O297" s="31">
        <f>712.3</f>
        <v>712.3</v>
      </c>
      <c r="P297" s="32" t="s">
        <v>787</v>
      </c>
      <c r="Q297" s="31">
        <f>721.6</f>
        <v>721.6</v>
      </c>
      <c r="R297" s="32" t="s">
        <v>791</v>
      </c>
      <c r="S297" s="33">
        <f>723.7</f>
        <v>723.7</v>
      </c>
      <c r="T297" s="30">
        <f>1560</f>
        <v>1560</v>
      </c>
      <c r="U297" s="30" t="str">
        <f>"－"</f>
        <v>－</v>
      </c>
      <c r="V297" s="30">
        <f>1126883</f>
        <v>1126883</v>
      </c>
      <c r="W297" s="30" t="str">
        <f>"－"</f>
        <v>－</v>
      </c>
      <c r="X297" s="34">
        <f>12</f>
        <v>12</v>
      </c>
    </row>
    <row r="298" spans="1:24" ht="13.5" customHeight="1" x14ac:dyDescent="0.15">
      <c r="A298" s="25" t="s">
        <v>989</v>
      </c>
      <c r="B298" s="25" t="s">
        <v>931</v>
      </c>
      <c r="C298" s="25" t="s">
        <v>932</v>
      </c>
      <c r="D298" s="25" t="s">
        <v>933</v>
      </c>
      <c r="E298" s="26" t="s">
        <v>45</v>
      </c>
      <c r="F298" s="27" t="s">
        <v>45</v>
      </c>
      <c r="G298" s="28" t="s">
        <v>45</v>
      </c>
      <c r="H298" s="29"/>
      <c r="I298" s="29" t="s">
        <v>46</v>
      </c>
      <c r="J298" s="30">
        <v>1</v>
      </c>
      <c r="K298" s="31">
        <f>967</f>
        <v>967</v>
      </c>
      <c r="L298" s="32" t="s">
        <v>785</v>
      </c>
      <c r="M298" s="31">
        <f>1070</f>
        <v>1070</v>
      </c>
      <c r="N298" s="32" t="s">
        <v>893</v>
      </c>
      <c r="O298" s="31">
        <f>962</f>
        <v>962</v>
      </c>
      <c r="P298" s="32" t="s">
        <v>785</v>
      </c>
      <c r="Q298" s="31">
        <f>1057</f>
        <v>1057</v>
      </c>
      <c r="R298" s="32" t="s">
        <v>791</v>
      </c>
      <c r="S298" s="33">
        <f>1028.47</f>
        <v>1028.47</v>
      </c>
      <c r="T298" s="30">
        <f>265847</f>
        <v>265847</v>
      </c>
      <c r="U298" s="30">
        <f>200000</f>
        <v>200000</v>
      </c>
      <c r="V298" s="30">
        <f>281025049</f>
        <v>281025049</v>
      </c>
      <c r="W298" s="30">
        <f>212900000</f>
        <v>212900000</v>
      </c>
      <c r="X298" s="34">
        <f>19</f>
        <v>19</v>
      </c>
    </row>
    <row r="299" spans="1:24" ht="13.5" customHeight="1" x14ac:dyDescent="0.15">
      <c r="A299" s="25" t="s">
        <v>989</v>
      </c>
      <c r="B299" s="25" t="s">
        <v>934</v>
      </c>
      <c r="C299" s="25" t="s">
        <v>935</v>
      </c>
      <c r="D299" s="25" t="s">
        <v>936</v>
      </c>
      <c r="E299" s="26" t="s">
        <v>45</v>
      </c>
      <c r="F299" s="27" t="s">
        <v>45</v>
      </c>
      <c r="G299" s="28" t="s">
        <v>45</v>
      </c>
      <c r="H299" s="29"/>
      <c r="I299" s="29" t="s">
        <v>46</v>
      </c>
      <c r="J299" s="30">
        <v>1</v>
      </c>
      <c r="K299" s="31">
        <f>983</f>
        <v>983</v>
      </c>
      <c r="L299" s="32" t="s">
        <v>785</v>
      </c>
      <c r="M299" s="31">
        <f>985</f>
        <v>985</v>
      </c>
      <c r="N299" s="32" t="s">
        <v>785</v>
      </c>
      <c r="O299" s="31">
        <f>925</f>
        <v>925</v>
      </c>
      <c r="P299" s="32" t="s">
        <v>80</v>
      </c>
      <c r="Q299" s="31">
        <f>950</f>
        <v>950</v>
      </c>
      <c r="R299" s="32" t="s">
        <v>791</v>
      </c>
      <c r="S299" s="33">
        <f>952.42</f>
        <v>952.42</v>
      </c>
      <c r="T299" s="30">
        <f>162409</f>
        <v>162409</v>
      </c>
      <c r="U299" s="30">
        <f>60000</f>
        <v>60000</v>
      </c>
      <c r="V299" s="30">
        <f>155359214</f>
        <v>155359214</v>
      </c>
      <c r="W299" s="30">
        <f>57658000</f>
        <v>57658000</v>
      </c>
      <c r="X299" s="34">
        <f>19</f>
        <v>19</v>
      </c>
    </row>
    <row r="300" spans="1:24" ht="13.5" customHeight="1" x14ac:dyDescent="0.15">
      <c r="A300" s="25" t="s">
        <v>989</v>
      </c>
      <c r="B300" s="25" t="s">
        <v>937</v>
      </c>
      <c r="C300" s="25" t="s">
        <v>938</v>
      </c>
      <c r="D300" s="25" t="s">
        <v>939</v>
      </c>
      <c r="E300" s="26" t="s">
        <v>45</v>
      </c>
      <c r="F300" s="27" t="s">
        <v>45</v>
      </c>
      <c r="G300" s="28" t="s">
        <v>45</v>
      </c>
      <c r="H300" s="29"/>
      <c r="I300" s="29" t="s">
        <v>46</v>
      </c>
      <c r="J300" s="30">
        <v>10</v>
      </c>
      <c r="K300" s="31">
        <f>781</f>
        <v>781</v>
      </c>
      <c r="L300" s="32" t="s">
        <v>785</v>
      </c>
      <c r="M300" s="31">
        <f>781</f>
        <v>781</v>
      </c>
      <c r="N300" s="32" t="s">
        <v>785</v>
      </c>
      <c r="O300" s="31">
        <f>757</f>
        <v>757</v>
      </c>
      <c r="P300" s="32" t="s">
        <v>78</v>
      </c>
      <c r="Q300" s="31">
        <f>760</f>
        <v>760</v>
      </c>
      <c r="R300" s="32" t="s">
        <v>791</v>
      </c>
      <c r="S300" s="33">
        <f>762.84</f>
        <v>762.84</v>
      </c>
      <c r="T300" s="30">
        <f>4009120</f>
        <v>4009120</v>
      </c>
      <c r="U300" s="30">
        <f>3935680</f>
        <v>3935680</v>
      </c>
      <c r="V300" s="30">
        <f>3055812837</f>
        <v>3055812837</v>
      </c>
      <c r="W300" s="30">
        <f>2999775296</f>
        <v>2999775296</v>
      </c>
      <c r="X300" s="34">
        <f>19</f>
        <v>19</v>
      </c>
    </row>
    <row r="301" spans="1:24" ht="13.5" customHeight="1" x14ac:dyDescent="0.15">
      <c r="A301" s="25" t="s">
        <v>989</v>
      </c>
      <c r="B301" s="25" t="s">
        <v>940</v>
      </c>
      <c r="C301" s="25" t="s">
        <v>941</v>
      </c>
      <c r="D301" s="25" t="s">
        <v>942</v>
      </c>
      <c r="E301" s="26" t="s">
        <v>45</v>
      </c>
      <c r="F301" s="27" t="s">
        <v>45</v>
      </c>
      <c r="G301" s="28" t="s">
        <v>45</v>
      </c>
      <c r="H301" s="29"/>
      <c r="I301" s="29" t="s">
        <v>46</v>
      </c>
      <c r="J301" s="30">
        <v>10</v>
      </c>
      <c r="K301" s="31">
        <f>714</f>
        <v>714</v>
      </c>
      <c r="L301" s="32" t="s">
        <v>785</v>
      </c>
      <c r="M301" s="31">
        <f>743.3</f>
        <v>743.3</v>
      </c>
      <c r="N301" s="32" t="s">
        <v>790</v>
      </c>
      <c r="O301" s="31">
        <f>714</f>
        <v>714</v>
      </c>
      <c r="P301" s="32" t="s">
        <v>785</v>
      </c>
      <c r="Q301" s="31">
        <f>728.8</f>
        <v>728.8</v>
      </c>
      <c r="R301" s="32" t="s">
        <v>791</v>
      </c>
      <c r="S301" s="33">
        <f>731.77</f>
        <v>731.77</v>
      </c>
      <c r="T301" s="30">
        <f>302010</f>
        <v>302010</v>
      </c>
      <c r="U301" s="30">
        <f>150000</f>
        <v>150000</v>
      </c>
      <c r="V301" s="30">
        <f>220423501</f>
        <v>220423501</v>
      </c>
      <c r="W301" s="30">
        <f>109500000</f>
        <v>109500000</v>
      </c>
      <c r="X301" s="34">
        <f>11</f>
        <v>11</v>
      </c>
    </row>
    <row r="302" spans="1:24" ht="13.5" customHeight="1" x14ac:dyDescent="0.15">
      <c r="A302" s="25" t="s">
        <v>989</v>
      </c>
      <c r="B302" s="25" t="s">
        <v>943</v>
      </c>
      <c r="C302" s="25" t="s">
        <v>944</v>
      </c>
      <c r="D302" s="25" t="s">
        <v>945</v>
      </c>
      <c r="E302" s="26" t="s">
        <v>45</v>
      </c>
      <c r="F302" s="27" t="s">
        <v>45</v>
      </c>
      <c r="G302" s="28" t="s">
        <v>45</v>
      </c>
      <c r="H302" s="29"/>
      <c r="I302" s="29" t="s">
        <v>46</v>
      </c>
      <c r="J302" s="30">
        <v>1</v>
      </c>
      <c r="K302" s="31">
        <f>991</f>
        <v>991</v>
      </c>
      <c r="L302" s="32" t="s">
        <v>785</v>
      </c>
      <c r="M302" s="31">
        <f>1023</f>
        <v>1023</v>
      </c>
      <c r="N302" s="32" t="s">
        <v>793</v>
      </c>
      <c r="O302" s="31">
        <f>975</f>
        <v>975</v>
      </c>
      <c r="P302" s="32" t="s">
        <v>785</v>
      </c>
      <c r="Q302" s="31">
        <f>1020</f>
        <v>1020</v>
      </c>
      <c r="R302" s="32" t="s">
        <v>791</v>
      </c>
      <c r="S302" s="33">
        <f>1005.11</f>
        <v>1005.11</v>
      </c>
      <c r="T302" s="30">
        <f>45926</f>
        <v>45926</v>
      </c>
      <c r="U302" s="30" t="str">
        <f>"－"</f>
        <v>－</v>
      </c>
      <c r="V302" s="30">
        <f>45819688</f>
        <v>45819688</v>
      </c>
      <c r="W302" s="30" t="str">
        <f>"－"</f>
        <v>－</v>
      </c>
      <c r="X302" s="34">
        <f>19</f>
        <v>19</v>
      </c>
    </row>
    <row r="303" spans="1:24" ht="13.5" customHeight="1" x14ac:dyDescent="0.15">
      <c r="A303" s="25" t="s">
        <v>989</v>
      </c>
      <c r="B303" s="25" t="s">
        <v>952</v>
      </c>
      <c r="C303" s="25" t="s">
        <v>953</v>
      </c>
      <c r="D303" s="25" t="s">
        <v>954</v>
      </c>
      <c r="E303" s="26" t="s">
        <v>45</v>
      </c>
      <c r="F303" s="27" t="s">
        <v>45</v>
      </c>
      <c r="G303" s="28" t="s">
        <v>45</v>
      </c>
      <c r="H303" s="29"/>
      <c r="I303" s="29" t="s">
        <v>46</v>
      </c>
      <c r="J303" s="30">
        <v>10</v>
      </c>
      <c r="K303" s="31">
        <f>2161.5</f>
        <v>2161.5</v>
      </c>
      <c r="L303" s="32" t="s">
        <v>785</v>
      </c>
      <c r="M303" s="31">
        <f>2364</f>
        <v>2364</v>
      </c>
      <c r="N303" s="32" t="s">
        <v>893</v>
      </c>
      <c r="O303" s="31">
        <f>2161</f>
        <v>2161</v>
      </c>
      <c r="P303" s="32" t="s">
        <v>785</v>
      </c>
      <c r="Q303" s="31">
        <f>2300</f>
        <v>2300</v>
      </c>
      <c r="R303" s="32" t="s">
        <v>791</v>
      </c>
      <c r="S303" s="33">
        <f>2282.66</f>
        <v>2282.66</v>
      </c>
      <c r="T303" s="30">
        <f>11480</f>
        <v>11480</v>
      </c>
      <c r="U303" s="30" t="str">
        <f>"－"</f>
        <v>－</v>
      </c>
      <c r="V303" s="30">
        <f>26196060</f>
        <v>26196060</v>
      </c>
      <c r="W303" s="30" t="str">
        <f>"－"</f>
        <v>－</v>
      </c>
      <c r="X303" s="34">
        <f>19</f>
        <v>19</v>
      </c>
    </row>
    <row r="304" spans="1:24" ht="13.5" customHeight="1" x14ac:dyDescent="0.15">
      <c r="A304" s="25" t="s">
        <v>989</v>
      </c>
      <c r="B304" s="25" t="s">
        <v>955</v>
      </c>
      <c r="C304" s="25" t="s">
        <v>956</v>
      </c>
      <c r="D304" s="25" t="s">
        <v>957</v>
      </c>
      <c r="E304" s="26" t="s">
        <v>45</v>
      </c>
      <c r="F304" s="27" t="s">
        <v>45</v>
      </c>
      <c r="G304" s="28" t="s">
        <v>45</v>
      </c>
      <c r="H304" s="29"/>
      <c r="I304" s="29" t="s">
        <v>46</v>
      </c>
      <c r="J304" s="30">
        <v>10</v>
      </c>
      <c r="K304" s="31">
        <f>2167</f>
        <v>2167</v>
      </c>
      <c r="L304" s="32" t="s">
        <v>785</v>
      </c>
      <c r="M304" s="31">
        <f>2349.5</f>
        <v>2349.5</v>
      </c>
      <c r="N304" s="32" t="s">
        <v>255</v>
      </c>
      <c r="O304" s="31">
        <f>2163</f>
        <v>2163</v>
      </c>
      <c r="P304" s="32" t="s">
        <v>785</v>
      </c>
      <c r="Q304" s="31">
        <f>2290</f>
        <v>2290</v>
      </c>
      <c r="R304" s="32" t="s">
        <v>791</v>
      </c>
      <c r="S304" s="33">
        <f>2278.61</f>
        <v>2278.61</v>
      </c>
      <c r="T304" s="30">
        <f>244680</f>
        <v>244680</v>
      </c>
      <c r="U304" s="30">
        <f>229000</f>
        <v>229000</v>
      </c>
      <c r="V304" s="30">
        <f>561257640</f>
        <v>561257640</v>
      </c>
      <c r="W304" s="30">
        <f>525234400</f>
        <v>525234400</v>
      </c>
      <c r="X304" s="34">
        <f>18</f>
        <v>18</v>
      </c>
    </row>
    <row r="305" spans="1:24" ht="13.5" customHeight="1" x14ac:dyDescent="0.15">
      <c r="A305" s="25" t="s">
        <v>989</v>
      </c>
      <c r="B305" s="25" t="s">
        <v>946</v>
      </c>
      <c r="C305" s="25" t="s">
        <v>947</v>
      </c>
      <c r="D305" s="25" t="s">
        <v>948</v>
      </c>
      <c r="E305" s="26" t="s">
        <v>45</v>
      </c>
      <c r="F305" s="27" t="s">
        <v>45</v>
      </c>
      <c r="G305" s="28" t="s">
        <v>45</v>
      </c>
      <c r="H305" s="29"/>
      <c r="I305" s="29" t="s">
        <v>46</v>
      </c>
      <c r="J305" s="30">
        <v>10</v>
      </c>
      <c r="K305" s="31">
        <f>4598</f>
        <v>4598</v>
      </c>
      <c r="L305" s="32" t="s">
        <v>785</v>
      </c>
      <c r="M305" s="31">
        <f>4786</f>
        <v>4786</v>
      </c>
      <c r="N305" s="32" t="s">
        <v>794</v>
      </c>
      <c r="O305" s="31">
        <f>4598</f>
        <v>4598</v>
      </c>
      <c r="P305" s="32" t="s">
        <v>785</v>
      </c>
      <c r="Q305" s="31">
        <f>4699</f>
        <v>4699</v>
      </c>
      <c r="R305" s="32" t="s">
        <v>788</v>
      </c>
      <c r="S305" s="33">
        <f>4697.8</f>
        <v>4697.8</v>
      </c>
      <c r="T305" s="30">
        <f>330</f>
        <v>330</v>
      </c>
      <c r="U305" s="30" t="str">
        <f>"－"</f>
        <v>－</v>
      </c>
      <c r="V305" s="30">
        <f>1551230</f>
        <v>1551230</v>
      </c>
      <c r="W305" s="30" t="str">
        <f>"－"</f>
        <v>－</v>
      </c>
      <c r="X305" s="34">
        <f>5</f>
        <v>5</v>
      </c>
    </row>
    <row r="306" spans="1:24" ht="13.5" customHeight="1" x14ac:dyDescent="0.15">
      <c r="A306" s="25" t="s">
        <v>989</v>
      </c>
      <c r="B306" s="25" t="s">
        <v>949</v>
      </c>
      <c r="C306" s="25" t="s">
        <v>950</v>
      </c>
      <c r="D306" s="25" t="s">
        <v>951</v>
      </c>
      <c r="E306" s="26" t="s">
        <v>45</v>
      </c>
      <c r="F306" s="27" t="s">
        <v>45</v>
      </c>
      <c r="G306" s="28" t="s">
        <v>45</v>
      </c>
      <c r="H306" s="29"/>
      <c r="I306" s="29" t="s">
        <v>46</v>
      </c>
      <c r="J306" s="30">
        <v>10</v>
      </c>
      <c r="K306" s="31">
        <f>4486</f>
        <v>4486</v>
      </c>
      <c r="L306" s="32" t="s">
        <v>78</v>
      </c>
      <c r="M306" s="31">
        <f>4613</f>
        <v>4613</v>
      </c>
      <c r="N306" s="32" t="s">
        <v>788</v>
      </c>
      <c r="O306" s="31">
        <f>4471</f>
        <v>4471</v>
      </c>
      <c r="P306" s="32" t="s">
        <v>78</v>
      </c>
      <c r="Q306" s="31">
        <f>4495</f>
        <v>4495</v>
      </c>
      <c r="R306" s="32" t="s">
        <v>791</v>
      </c>
      <c r="S306" s="33">
        <f>4541.75</f>
        <v>4541.75</v>
      </c>
      <c r="T306" s="30">
        <f>1030</f>
        <v>1030</v>
      </c>
      <c r="U306" s="30" t="str">
        <f>"－"</f>
        <v>－</v>
      </c>
      <c r="V306" s="30">
        <f>4615460</f>
        <v>4615460</v>
      </c>
      <c r="W306" s="30" t="str">
        <f>"－"</f>
        <v>－</v>
      </c>
      <c r="X306" s="34">
        <f>4</f>
        <v>4</v>
      </c>
    </row>
    <row r="307" spans="1:24" ht="13.5" customHeight="1" x14ac:dyDescent="0.15">
      <c r="A307" s="25" t="s">
        <v>989</v>
      </c>
      <c r="B307" s="25" t="s">
        <v>958</v>
      </c>
      <c r="C307" s="25" t="s">
        <v>959</v>
      </c>
      <c r="D307" s="25" t="s">
        <v>960</v>
      </c>
      <c r="E307" s="26" t="s">
        <v>45</v>
      </c>
      <c r="F307" s="27" t="s">
        <v>45</v>
      </c>
      <c r="G307" s="28" t="s">
        <v>45</v>
      </c>
      <c r="H307" s="29"/>
      <c r="I307" s="29" t="s">
        <v>46</v>
      </c>
      <c r="J307" s="30">
        <v>10</v>
      </c>
      <c r="K307" s="31">
        <f>1970</f>
        <v>1970</v>
      </c>
      <c r="L307" s="32" t="s">
        <v>785</v>
      </c>
      <c r="M307" s="31">
        <f>1998</f>
        <v>1998</v>
      </c>
      <c r="N307" s="32" t="s">
        <v>56</v>
      </c>
      <c r="O307" s="31">
        <f>1960</f>
        <v>1960</v>
      </c>
      <c r="P307" s="32" t="s">
        <v>794</v>
      </c>
      <c r="Q307" s="31">
        <f>1988</f>
        <v>1988</v>
      </c>
      <c r="R307" s="32" t="s">
        <v>255</v>
      </c>
      <c r="S307" s="33">
        <f>1980.38</f>
        <v>1980.38</v>
      </c>
      <c r="T307" s="30">
        <f>1470</f>
        <v>1470</v>
      </c>
      <c r="U307" s="30" t="str">
        <f>"－"</f>
        <v>－</v>
      </c>
      <c r="V307" s="30">
        <f>2920690</f>
        <v>2920690</v>
      </c>
      <c r="W307" s="30" t="str">
        <f>"－"</f>
        <v>－</v>
      </c>
      <c r="X307" s="34">
        <f>8</f>
        <v>8</v>
      </c>
    </row>
    <row r="308" spans="1:24" ht="13.5" customHeight="1" x14ac:dyDescent="0.15">
      <c r="A308" s="25" t="s">
        <v>989</v>
      </c>
      <c r="B308" s="25" t="s">
        <v>961</v>
      </c>
      <c r="C308" s="25" t="s">
        <v>962</v>
      </c>
      <c r="D308" s="25" t="s">
        <v>963</v>
      </c>
      <c r="E308" s="26" t="s">
        <v>45</v>
      </c>
      <c r="F308" s="27" t="s">
        <v>45</v>
      </c>
      <c r="G308" s="28" t="s">
        <v>45</v>
      </c>
      <c r="H308" s="29"/>
      <c r="I308" s="29" t="s">
        <v>46</v>
      </c>
      <c r="J308" s="30">
        <v>1</v>
      </c>
      <c r="K308" s="31">
        <f>1002</f>
        <v>1002</v>
      </c>
      <c r="L308" s="32" t="s">
        <v>785</v>
      </c>
      <c r="M308" s="31">
        <f>1138</f>
        <v>1138</v>
      </c>
      <c r="N308" s="32" t="s">
        <v>893</v>
      </c>
      <c r="O308" s="31">
        <f>992</f>
        <v>992</v>
      </c>
      <c r="P308" s="32" t="s">
        <v>785</v>
      </c>
      <c r="Q308" s="31">
        <f>1120</f>
        <v>1120</v>
      </c>
      <c r="R308" s="32" t="s">
        <v>791</v>
      </c>
      <c r="S308" s="33">
        <f>1068.63</f>
        <v>1068.6300000000001</v>
      </c>
      <c r="T308" s="30">
        <f>4598</f>
        <v>4598</v>
      </c>
      <c r="U308" s="30" t="str">
        <f>"－"</f>
        <v>－</v>
      </c>
      <c r="V308" s="30">
        <f>4952923</f>
        <v>4952923</v>
      </c>
      <c r="W308" s="30" t="str">
        <f>"－"</f>
        <v>－</v>
      </c>
      <c r="X308" s="34">
        <f>19</f>
        <v>19</v>
      </c>
    </row>
    <row r="309" spans="1:24" ht="13.5" customHeight="1" x14ac:dyDescent="0.15">
      <c r="A309" s="25" t="s">
        <v>989</v>
      </c>
      <c r="B309" s="25" t="s">
        <v>964</v>
      </c>
      <c r="C309" s="25" t="s">
        <v>965</v>
      </c>
      <c r="D309" s="25" t="s">
        <v>966</v>
      </c>
      <c r="E309" s="26" t="s">
        <v>45</v>
      </c>
      <c r="F309" s="27" t="s">
        <v>45</v>
      </c>
      <c r="G309" s="28" t="s">
        <v>45</v>
      </c>
      <c r="H309" s="29"/>
      <c r="I309" s="29" t="s">
        <v>46</v>
      </c>
      <c r="J309" s="30">
        <v>1</v>
      </c>
      <c r="K309" s="31">
        <f>905</f>
        <v>905</v>
      </c>
      <c r="L309" s="32" t="s">
        <v>785</v>
      </c>
      <c r="M309" s="31">
        <f>953</f>
        <v>953</v>
      </c>
      <c r="N309" s="32" t="s">
        <v>893</v>
      </c>
      <c r="O309" s="31">
        <f>899</f>
        <v>899</v>
      </c>
      <c r="P309" s="32" t="s">
        <v>785</v>
      </c>
      <c r="Q309" s="31">
        <f>949</f>
        <v>949</v>
      </c>
      <c r="R309" s="32" t="s">
        <v>791</v>
      </c>
      <c r="S309" s="33">
        <f>927.53</f>
        <v>927.53</v>
      </c>
      <c r="T309" s="30">
        <f>1176070</f>
        <v>1176070</v>
      </c>
      <c r="U309" s="30" t="str">
        <f>"－"</f>
        <v>－</v>
      </c>
      <c r="V309" s="30">
        <f>1089503330</f>
        <v>1089503330</v>
      </c>
      <c r="W309" s="30" t="str">
        <f>"－"</f>
        <v>－</v>
      </c>
      <c r="X309" s="34">
        <f>19</f>
        <v>19</v>
      </c>
    </row>
    <row r="310" spans="1:24" ht="13.5" customHeight="1" x14ac:dyDescent="0.15">
      <c r="A310" s="25" t="s">
        <v>989</v>
      </c>
      <c r="B310" s="25" t="s">
        <v>967</v>
      </c>
      <c r="C310" s="25" t="s">
        <v>968</v>
      </c>
      <c r="D310" s="25" t="s">
        <v>969</v>
      </c>
      <c r="E310" s="26" t="s">
        <v>45</v>
      </c>
      <c r="F310" s="27" t="s">
        <v>45</v>
      </c>
      <c r="G310" s="28" t="s">
        <v>45</v>
      </c>
      <c r="H310" s="29"/>
      <c r="I310" s="29" t="s">
        <v>46</v>
      </c>
      <c r="J310" s="30">
        <v>1</v>
      </c>
      <c r="K310" s="31">
        <f>875</f>
        <v>875</v>
      </c>
      <c r="L310" s="32" t="s">
        <v>785</v>
      </c>
      <c r="M310" s="31">
        <f>944</f>
        <v>944</v>
      </c>
      <c r="N310" s="32" t="s">
        <v>791</v>
      </c>
      <c r="O310" s="31">
        <f>865</f>
        <v>865</v>
      </c>
      <c r="P310" s="32" t="s">
        <v>785</v>
      </c>
      <c r="Q310" s="31">
        <f>938</f>
        <v>938</v>
      </c>
      <c r="R310" s="32" t="s">
        <v>791</v>
      </c>
      <c r="S310" s="33">
        <f>919</f>
        <v>919</v>
      </c>
      <c r="T310" s="30">
        <f>439117</f>
        <v>439117</v>
      </c>
      <c r="U310" s="30">
        <f>16</f>
        <v>16</v>
      </c>
      <c r="V310" s="30">
        <f>400134484</f>
        <v>400134484</v>
      </c>
      <c r="W310" s="30">
        <f>15476</f>
        <v>15476</v>
      </c>
      <c r="X310" s="34">
        <f>19</f>
        <v>19</v>
      </c>
    </row>
    <row r="311" spans="1:24" ht="13.5" customHeight="1" x14ac:dyDescent="0.15">
      <c r="A311" s="25" t="s">
        <v>989</v>
      </c>
      <c r="B311" s="25" t="s">
        <v>974</v>
      </c>
      <c r="C311" s="25" t="s">
        <v>975</v>
      </c>
      <c r="D311" s="25" t="s">
        <v>976</v>
      </c>
      <c r="E311" s="26" t="s">
        <v>45</v>
      </c>
      <c r="F311" s="27" t="s">
        <v>45</v>
      </c>
      <c r="G311" s="28" t="s">
        <v>45</v>
      </c>
      <c r="H311" s="29"/>
      <c r="I311" s="29" t="s">
        <v>46</v>
      </c>
      <c r="J311" s="30">
        <v>1</v>
      </c>
      <c r="K311" s="31">
        <f>834</f>
        <v>834</v>
      </c>
      <c r="L311" s="32" t="s">
        <v>785</v>
      </c>
      <c r="M311" s="31">
        <f>988</f>
        <v>988</v>
      </c>
      <c r="N311" s="32" t="s">
        <v>893</v>
      </c>
      <c r="O311" s="31">
        <f>832</f>
        <v>832</v>
      </c>
      <c r="P311" s="32" t="s">
        <v>785</v>
      </c>
      <c r="Q311" s="31">
        <f>961</f>
        <v>961</v>
      </c>
      <c r="R311" s="32" t="s">
        <v>791</v>
      </c>
      <c r="S311" s="33">
        <f>919.11</f>
        <v>919.11</v>
      </c>
      <c r="T311" s="30">
        <f>243380</f>
        <v>243380</v>
      </c>
      <c r="U311" s="30" t="str">
        <f>"－"</f>
        <v>－</v>
      </c>
      <c r="V311" s="30">
        <f>228207685</f>
        <v>228207685</v>
      </c>
      <c r="W311" s="30" t="str">
        <f>"－"</f>
        <v>－</v>
      </c>
      <c r="X311" s="34">
        <f>19</f>
        <v>19</v>
      </c>
    </row>
    <row r="312" spans="1:24" ht="13.5" customHeight="1" x14ac:dyDescent="0.15">
      <c r="A312" s="25" t="s">
        <v>989</v>
      </c>
      <c r="B312" s="25" t="s">
        <v>977</v>
      </c>
      <c r="C312" s="25" t="s">
        <v>978</v>
      </c>
      <c r="D312" s="25" t="s">
        <v>979</v>
      </c>
      <c r="E312" s="26" t="s">
        <v>45</v>
      </c>
      <c r="F312" s="27" t="s">
        <v>45</v>
      </c>
      <c r="G312" s="28" t="s">
        <v>45</v>
      </c>
      <c r="H312" s="29"/>
      <c r="I312" s="29" t="s">
        <v>46</v>
      </c>
      <c r="J312" s="30">
        <v>1</v>
      </c>
      <c r="K312" s="31">
        <f>902</f>
        <v>902</v>
      </c>
      <c r="L312" s="32" t="s">
        <v>785</v>
      </c>
      <c r="M312" s="31">
        <f>928</f>
        <v>928</v>
      </c>
      <c r="N312" s="32" t="s">
        <v>785</v>
      </c>
      <c r="O312" s="31">
        <f>875</f>
        <v>875</v>
      </c>
      <c r="P312" s="32" t="s">
        <v>876</v>
      </c>
      <c r="Q312" s="31">
        <f>907</f>
        <v>907</v>
      </c>
      <c r="R312" s="32" t="s">
        <v>791</v>
      </c>
      <c r="S312" s="33">
        <f>898.58</f>
        <v>898.58</v>
      </c>
      <c r="T312" s="30">
        <f>443608</f>
        <v>443608</v>
      </c>
      <c r="U312" s="30">
        <f>1</f>
        <v>1</v>
      </c>
      <c r="V312" s="30">
        <f>398064194</f>
        <v>398064194</v>
      </c>
      <c r="W312" s="30">
        <f>909</f>
        <v>909</v>
      </c>
      <c r="X312" s="34">
        <f>19</f>
        <v>19</v>
      </c>
    </row>
    <row r="313" spans="1:24" ht="13.5" customHeight="1" x14ac:dyDescent="0.15">
      <c r="A313" s="25" t="s">
        <v>989</v>
      </c>
      <c r="B313" s="25" t="s">
        <v>980</v>
      </c>
      <c r="C313" s="25" t="s">
        <v>981</v>
      </c>
      <c r="D313" s="25" t="s">
        <v>982</v>
      </c>
      <c r="E313" s="26" t="s">
        <v>45</v>
      </c>
      <c r="F313" s="27" t="s">
        <v>45</v>
      </c>
      <c r="G313" s="28" t="s">
        <v>45</v>
      </c>
      <c r="H313" s="29"/>
      <c r="I313" s="29" t="s">
        <v>46</v>
      </c>
      <c r="J313" s="30">
        <v>1</v>
      </c>
      <c r="K313" s="31">
        <f>16550</f>
        <v>16550</v>
      </c>
      <c r="L313" s="32" t="s">
        <v>785</v>
      </c>
      <c r="M313" s="31">
        <f>20705</f>
        <v>20705</v>
      </c>
      <c r="N313" s="32" t="s">
        <v>893</v>
      </c>
      <c r="O313" s="31">
        <f>16375</f>
        <v>16375</v>
      </c>
      <c r="P313" s="32" t="s">
        <v>78</v>
      </c>
      <c r="Q313" s="31">
        <f>19705</f>
        <v>19705</v>
      </c>
      <c r="R313" s="32" t="s">
        <v>791</v>
      </c>
      <c r="S313" s="33">
        <f>18544.74</f>
        <v>18544.740000000002</v>
      </c>
      <c r="T313" s="30">
        <f>226808</f>
        <v>226808</v>
      </c>
      <c r="U313" s="30">
        <f>1</f>
        <v>1</v>
      </c>
      <c r="V313" s="30">
        <f>4254394895</f>
        <v>4254394895</v>
      </c>
      <c r="W313" s="30">
        <f>19415</f>
        <v>19415</v>
      </c>
      <c r="X313" s="34">
        <f>19</f>
        <v>19</v>
      </c>
    </row>
    <row r="314" spans="1:24" ht="13.5" customHeight="1" x14ac:dyDescent="0.15">
      <c r="A314" s="25" t="s">
        <v>989</v>
      </c>
      <c r="B314" s="25" t="s">
        <v>983</v>
      </c>
      <c r="C314" s="25" t="s">
        <v>984</v>
      </c>
      <c r="D314" s="25" t="s">
        <v>985</v>
      </c>
      <c r="E314" s="26" t="s">
        <v>45</v>
      </c>
      <c r="F314" s="27" t="s">
        <v>45</v>
      </c>
      <c r="G314" s="28" t="s">
        <v>45</v>
      </c>
      <c r="H314" s="29"/>
      <c r="I314" s="29" t="s">
        <v>46</v>
      </c>
      <c r="J314" s="30">
        <v>1</v>
      </c>
      <c r="K314" s="31">
        <f>67810</f>
        <v>67810</v>
      </c>
      <c r="L314" s="32" t="s">
        <v>785</v>
      </c>
      <c r="M314" s="31">
        <f>69320</f>
        <v>69320</v>
      </c>
      <c r="N314" s="32" t="s">
        <v>78</v>
      </c>
      <c r="O314" s="31">
        <f>53950</f>
        <v>53950</v>
      </c>
      <c r="P314" s="32" t="s">
        <v>893</v>
      </c>
      <c r="Q314" s="31">
        <f>56580</f>
        <v>56580</v>
      </c>
      <c r="R314" s="32" t="s">
        <v>791</v>
      </c>
      <c r="S314" s="33">
        <f>61032.11</f>
        <v>61032.11</v>
      </c>
      <c r="T314" s="30">
        <f>84936</f>
        <v>84936</v>
      </c>
      <c r="U314" s="30" t="str">
        <f>"－"</f>
        <v>－</v>
      </c>
      <c r="V314" s="30">
        <f>5213308080</f>
        <v>5213308080</v>
      </c>
      <c r="W314" s="30" t="str">
        <f>"－"</f>
        <v>－</v>
      </c>
      <c r="X314" s="34">
        <f>19</f>
        <v>19</v>
      </c>
    </row>
  </sheetData>
  <mergeCells count="3">
    <mergeCell ref="N1:X3"/>
    <mergeCell ref="A2:M2"/>
    <mergeCell ref="A3:M3"/>
  </mergeCells>
  <phoneticPr fontId="3"/>
  <printOptions horizontalCentered="1"/>
  <pageMargins left="0.39370078740157483" right="0.39370078740157483" top="0.39370078740157483" bottom="0.59055118110236227" header="0.27559055118110237" footer="0.27559055118110237"/>
  <pageSetup paperSize="9" scale="34" fitToHeight="0" orientation="landscape" r:id="rId1"/>
  <headerFooter>
    <oddFooter>&amp;C&amp;P/&amp;N&amp;RCopyright (c) Tokyo Stock Exchange, Inc. All Rights Reserved.</oddFooter>
  </headerFooter>
  <customProperties>
    <customPr name="layoutContexts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871738-DC15-4322-B3FC-6520E852567B}">
  <sheetPr>
    <pageSetUpPr fitToPage="1"/>
  </sheetPr>
  <dimension ref="A1:X345"/>
  <sheetViews>
    <sheetView showGridLines="0" view="pageBreakPreview" zoomScaleNormal="70" zoomScaleSheetLayoutView="100" workbookViewId="0">
      <pane ySplit="6" topLeftCell="A7" activePane="bottomLeft" state="frozen"/>
      <selection pane="bottomLeft"/>
    </sheetView>
  </sheetViews>
  <sheetFormatPr defaultRowHeight="18.75" x14ac:dyDescent="0.4"/>
  <cols>
    <col min="1" max="1" width="13.125" style="3" bestFit="1" customWidth="1"/>
    <col min="2" max="2" width="10.75" style="3" bestFit="1" customWidth="1"/>
    <col min="3" max="4" width="27.625" style="3" customWidth="1"/>
    <col min="5" max="5" width="13.75" style="3" bestFit="1" customWidth="1"/>
    <col min="6" max="6" width="20.75" style="3" bestFit="1" customWidth="1"/>
    <col min="7" max="7" width="11.25" style="3" customWidth="1"/>
    <col min="8" max="8" width="8.75" style="3" bestFit="1" customWidth="1"/>
    <col min="9" max="9" width="11.75" style="3" bestFit="1" customWidth="1"/>
    <col min="10" max="10" width="12.625" style="3" bestFit="1" customWidth="1"/>
    <col min="11" max="11" width="16.25" style="3" customWidth="1"/>
    <col min="12" max="12" width="5.625" style="3" bestFit="1" customWidth="1"/>
    <col min="13" max="13" width="16.25" style="3" customWidth="1"/>
    <col min="14" max="14" width="5.625" style="3" bestFit="1" customWidth="1"/>
    <col min="15" max="15" width="16.25" style="3" customWidth="1"/>
    <col min="16" max="16" width="5.625" style="3" bestFit="1" customWidth="1"/>
    <col min="17" max="17" width="16.25" style="3" customWidth="1"/>
    <col min="18" max="18" width="5.625" style="3" bestFit="1" customWidth="1"/>
    <col min="19" max="19" width="23.875" style="3" bestFit="1" customWidth="1"/>
    <col min="20" max="20" width="16.25" style="3" customWidth="1"/>
    <col min="21" max="21" width="24.125" style="3" customWidth="1"/>
    <col min="22" max="22" width="19.875" style="3" bestFit="1" customWidth="1"/>
    <col min="23" max="23" width="25" style="3" bestFit="1" customWidth="1"/>
    <col min="24" max="24" width="13.125" style="3" bestFit="1" customWidth="1"/>
    <col min="25" max="16384" width="9" style="3"/>
  </cols>
  <sheetData>
    <row r="1" spans="1:24" ht="13.5" customHeight="1" x14ac:dyDescent="0.4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6" t="s">
        <v>0</v>
      </c>
      <c r="O1" s="36"/>
      <c r="P1" s="36"/>
      <c r="Q1" s="36"/>
      <c r="R1" s="36"/>
      <c r="S1" s="36"/>
      <c r="T1" s="36"/>
      <c r="U1" s="36"/>
      <c r="V1" s="36"/>
      <c r="W1" s="36"/>
      <c r="X1" s="37"/>
    </row>
    <row r="2" spans="1:24" ht="99" customHeight="1" x14ac:dyDescent="0.4">
      <c r="A2" s="42" t="s">
        <v>1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38"/>
      <c r="O2" s="38"/>
      <c r="P2" s="38"/>
      <c r="Q2" s="38"/>
      <c r="R2" s="38"/>
      <c r="S2" s="38"/>
      <c r="T2" s="38"/>
      <c r="U2" s="38"/>
      <c r="V2" s="38"/>
      <c r="W2" s="38"/>
      <c r="X2" s="39"/>
    </row>
    <row r="3" spans="1:24" ht="39" customHeight="1" x14ac:dyDescent="0.4">
      <c r="A3" s="44" t="s">
        <v>2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0"/>
      <c r="O3" s="40"/>
      <c r="P3" s="40"/>
      <c r="Q3" s="40"/>
      <c r="R3" s="40"/>
      <c r="S3" s="40"/>
      <c r="T3" s="40"/>
      <c r="U3" s="40"/>
      <c r="V3" s="40"/>
      <c r="W3" s="40"/>
      <c r="X3" s="41"/>
    </row>
    <row r="4" spans="1:24" s="10" customFormat="1" ht="13.5" customHeight="1" x14ac:dyDescent="0.4">
      <c r="A4" s="4" t="s">
        <v>3</v>
      </c>
      <c r="B4" s="4" t="s">
        <v>4</v>
      </c>
      <c r="C4" s="4"/>
      <c r="D4" s="4"/>
      <c r="E4" s="5"/>
      <c r="F4" s="6"/>
      <c r="G4" s="7" t="s">
        <v>5</v>
      </c>
      <c r="H4" s="4" t="s">
        <v>6</v>
      </c>
      <c r="I4" s="4" t="s">
        <v>7</v>
      </c>
      <c r="J4" s="4" t="s">
        <v>8</v>
      </c>
      <c r="K4" s="8" t="s">
        <v>9</v>
      </c>
      <c r="L4" s="7" t="s">
        <v>5</v>
      </c>
      <c r="M4" s="8" t="s">
        <v>10</v>
      </c>
      <c r="N4" s="7" t="s">
        <v>5</v>
      </c>
      <c r="O4" s="8" t="s">
        <v>11</v>
      </c>
      <c r="P4" s="7" t="s">
        <v>5</v>
      </c>
      <c r="Q4" s="8" t="s">
        <v>12</v>
      </c>
      <c r="R4" s="7" t="s">
        <v>5</v>
      </c>
      <c r="S4" s="4" t="s">
        <v>13</v>
      </c>
      <c r="T4" s="4" t="s">
        <v>14</v>
      </c>
      <c r="U4" s="9" t="s">
        <v>15</v>
      </c>
      <c r="V4" s="4" t="s">
        <v>16</v>
      </c>
      <c r="W4" s="4" t="s">
        <v>17</v>
      </c>
      <c r="X4" s="4" t="s">
        <v>18</v>
      </c>
    </row>
    <row r="5" spans="1:24" x14ac:dyDescent="0.4">
      <c r="A5" s="11" t="s">
        <v>19</v>
      </c>
      <c r="B5" s="11" t="s">
        <v>20</v>
      </c>
      <c r="C5" s="11" t="s">
        <v>21</v>
      </c>
      <c r="D5" s="11" t="s">
        <v>22</v>
      </c>
      <c r="E5" s="12" t="s">
        <v>23</v>
      </c>
      <c r="F5" s="13" t="s">
        <v>24</v>
      </c>
      <c r="G5" s="14" t="s">
        <v>25</v>
      </c>
      <c r="H5" s="15" t="s">
        <v>26</v>
      </c>
      <c r="I5" s="15" t="s">
        <v>27</v>
      </c>
      <c r="J5" s="15" t="s">
        <v>28</v>
      </c>
      <c r="K5" s="16" t="s">
        <v>29</v>
      </c>
      <c r="L5" s="14" t="s">
        <v>25</v>
      </c>
      <c r="M5" s="16" t="s">
        <v>30</v>
      </c>
      <c r="N5" s="14" t="s">
        <v>25</v>
      </c>
      <c r="O5" s="16" t="s">
        <v>31</v>
      </c>
      <c r="P5" s="14" t="s">
        <v>25</v>
      </c>
      <c r="Q5" s="16" t="s">
        <v>32</v>
      </c>
      <c r="R5" s="14" t="s">
        <v>25</v>
      </c>
      <c r="S5" s="17" t="s">
        <v>33</v>
      </c>
      <c r="T5" s="17" t="s">
        <v>34</v>
      </c>
      <c r="U5" s="11" t="s">
        <v>35</v>
      </c>
      <c r="V5" s="17" t="s">
        <v>36</v>
      </c>
      <c r="W5" s="17" t="s">
        <v>37</v>
      </c>
      <c r="X5" s="17" t="s">
        <v>38</v>
      </c>
    </row>
    <row r="6" spans="1:24" x14ac:dyDescent="0.15">
      <c r="A6" s="18"/>
      <c r="B6" s="18"/>
      <c r="C6" s="18"/>
      <c r="D6" s="18"/>
      <c r="E6" s="19"/>
      <c r="F6" s="20"/>
      <c r="G6" s="21"/>
      <c r="H6" s="22"/>
      <c r="I6" s="22"/>
      <c r="J6" s="22" t="s">
        <v>39</v>
      </c>
      <c r="K6" s="23" t="s">
        <v>40</v>
      </c>
      <c r="L6" s="24"/>
      <c r="M6" s="23" t="s">
        <v>40</v>
      </c>
      <c r="N6" s="24"/>
      <c r="O6" s="23" t="s">
        <v>40</v>
      </c>
      <c r="P6" s="24"/>
      <c r="Q6" s="23" t="s">
        <v>40</v>
      </c>
      <c r="R6" s="24"/>
      <c r="S6" s="23" t="s">
        <v>40</v>
      </c>
      <c r="T6" s="22" t="s">
        <v>41</v>
      </c>
      <c r="U6" s="22" t="s">
        <v>41</v>
      </c>
      <c r="V6" s="23" t="s">
        <v>40</v>
      </c>
      <c r="W6" s="23" t="s">
        <v>40</v>
      </c>
      <c r="X6" s="22"/>
    </row>
    <row r="7" spans="1:24" s="35" customFormat="1" ht="13.5" customHeight="1" x14ac:dyDescent="0.15">
      <c r="A7" s="25" t="s">
        <v>1210</v>
      </c>
      <c r="B7" s="25" t="s">
        <v>42</v>
      </c>
      <c r="C7" s="25" t="s">
        <v>1033</v>
      </c>
      <c r="D7" s="25" t="s">
        <v>1034</v>
      </c>
      <c r="E7" s="26" t="s">
        <v>45</v>
      </c>
      <c r="F7" s="27" t="s">
        <v>45</v>
      </c>
      <c r="G7" s="28" t="s">
        <v>45</v>
      </c>
      <c r="H7" s="29"/>
      <c r="I7" s="29" t="s">
        <v>46</v>
      </c>
      <c r="J7" s="30">
        <v>10</v>
      </c>
      <c r="K7" s="31">
        <f>2430</f>
        <v>2430</v>
      </c>
      <c r="L7" s="32" t="s">
        <v>995</v>
      </c>
      <c r="M7" s="31">
        <f>2540</f>
        <v>2540</v>
      </c>
      <c r="N7" s="32" t="s">
        <v>80</v>
      </c>
      <c r="O7" s="31">
        <f>2424.5</f>
        <v>2424.5</v>
      </c>
      <c r="P7" s="32" t="s">
        <v>1000</v>
      </c>
      <c r="Q7" s="31">
        <f>2506.5</f>
        <v>2506.5</v>
      </c>
      <c r="R7" s="32" t="s">
        <v>893</v>
      </c>
      <c r="S7" s="33">
        <f>2488.38</f>
        <v>2488.38</v>
      </c>
      <c r="T7" s="30">
        <f>2692520</f>
        <v>2692520</v>
      </c>
      <c r="U7" s="30">
        <f>1006510</f>
        <v>1006510</v>
      </c>
      <c r="V7" s="30">
        <f>6696158539</f>
        <v>6696158539</v>
      </c>
      <c r="W7" s="30">
        <f>2508298824</f>
        <v>2508298824</v>
      </c>
      <c r="X7" s="34">
        <f>20</f>
        <v>20</v>
      </c>
    </row>
    <row r="8" spans="1:24" x14ac:dyDescent="0.15">
      <c r="A8" s="25" t="s">
        <v>1210</v>
      </c>
      <c r="B8" s="25" t="s">
        <v>47</v>
      </c>
      <c r="C8" s="25" t="s">
        <v>48</v>
      </c>
      <c r="D8" s="25" t="s">
        <v>49</v>
      </c>
      <c r="E8" s="26" t="s">
        <v>45</v>
      </c>
      <c r="F8" s="27" t="s">
        <v>45</v>
      </c>
      <c r="G8" s="28" t="s">
        <v>45</v>
      </c>
      <c r="H8" s="29"/>
      <c r="I8" s="29" t="s">
        <v>46</v>
      </c>
      <c r="J8" s="30">
        <v>10</v>
      </c>
      <c r="K8" s="31">
        <f>2403.5</f>
        <v>2403.5</v>
      </c>
      <c r="L8" s="32" t="s">
        <v>995</v>
      </c>
      <c r="M8" s="31">
        <f>2513</f>
        <v>2513</v>
      </c>
      <c r="N8" s="32" t="s">
        <v>80</v>
      </c>
      <c r="O8" s="31">
        <f>2398.5</f>
        <v>2398.5</v>
      </c>
      <c r="P8" s="32" t="s">
        <v>1000</v>
      </c>
      <c r="Q8" s="31">
        <f>2482</f>
        <v>2482</v>
      </c>
      <c r="R8" s="32" t="s">
        <v>893</v>
      </c>
      <c r="S8" s="33">
        <f>2461.3</f>
        <v>2461.3000000000002</v>
      </c>
      <c r="T8" s="30">
        <f>56257030</f>
        <v>56257030</v>
      </c>
      <c r="U8" s="30">
        <f>23932750</f>
        <v>23932750</v>
      </c>
      <c r="V8" s="30">
        <f>138598486572</f>
        <v>138598486572</v>
      </c>
      <c r="W8" s="30">
        <f>59107957252</f>
        <v>59107957252</v>
      </c>
      <c r="X8" s="34">
        <f>20</f>
        <v>20</v>
      </c>
    </row>
    <row r="9" spans="1:24" x14ac:dyDescent="0.15">
      <c r="A9" s="25" t="s">
        <v>1210</v>
      </c>
      <c r="B9" s="25" t="s">
        <v>50</v>
      </c>
      <c r="C9" s="25" t="s">
        <v>51</v>
      </c>
      <c r="D9" s="25" t="s">
        <v>52</v>
      </c>
      <c r="E9" s="26" t="s">
        <v>45</v>
      </c>
      <c r="F9" s="27" t="s">
        <v>45</v>
      </c>
      <c r="G9" s="28" t="s">
        <v>45</v>
      </c>
      <c r="H9" s="29"/>
      <c r="I9" s="29" t="s">
        <v>46</v>
      </c>
      <c r="J9" s="30">
        <v>1</v>
      </c>
      <c r="K9" s="31">
        <f>2373</f>
        <v>2373</v>
      </c>
      <c r="L9" s="32" t="s">
        <v>995</v>
      </c>
      <c r="M9" s="31">
        <f>2484</f>
        <v>2484</v>
      </c>
      <c r="N9" s="32" t="s">
        <v>80</v>
      </c>
      <c r="O9" s="31">
        <f>2370</f>
        <v>2370</v>
      </c>
      <c r="P9" s="32" t="s">
        <v>995</v>
      </c>
      <c r="Q9" s="31">
        <f>2449</f>
        <v>2449</v>
      </c>
      <c r="R9" s="32" t="s">
        <v>893</v>
      </c>
      <c r="S9" s="33">
        <f>2432.55</f>
        <v>2432.5500000000002</v>
      </c>
      <c r="T9" s="30">
        <f>11598902</f>
        <v>11598902</v>
      </c>
      <c r="U9" s="30">
        <f>3064694</f>
        <v>3064694</v>
      </c>
      <c r="V9" s="30">
        <f>28361553226</f>
        <v>28361553226</v>
      </c>
      <c r="W9" s="30">
        <f>7517016302</f>
        <v>7517016302</v>
      </c>
      <c r="X9" s="34">
        <f>20</f>
        <v>20</v>
      </c>
    </row>
    <row r="10" spans="1:24" x14ac:dyDescent="0.15">
      <c r="A10" s="25" t="s">
        <v>1210</v>
      </c>
      <c r="B10" s="25" t="s">
        <v>53</v>
      </c>
      <c r="C10" s="25" t="s">
        <v>54</v>
      </c>
      <c r="D10" s="25" t="s">
        <v>55</v>
      </c>
      <c r="E10" s="26" t="s">
        <v>45</v>
      </c>
      <c r="F10" s="27" t="s">
        <v>45</v>
      </c>
      <c r="G10" s="28" t="s">
        <v>45</v>
      </c>
      <c r="H10" s="29"/>
      <c r="I10" s="29" t="s">
        <v>46</v>
      </c>
      <c r="J10" s="30">
        <v>1</v>
      </c>
      <c r="K10" s="31">
        <f>39010</f>
        <v>39010</v>
      </c>
      <c r="L10" s="32" t="s">
        <v>995</v>
      </c>
      <c r="M10" s="31">
        <f>39750</f>
        <v>39750</v>
      </c>
      <c r="N10" s="32" t="s">
        <v>78</v>
      </c>
      <c r="O10" s="31">
        <f>37540</f>
        <v>37540</v>
      </c>
      <c r="P10" s="32" t="s">
        <v>255</v>
      </c>
      <c r="Q10" s="31">
        <f>38060</f>
        <v>38060</v>
      </c>
      <c r="R10" s="32" t="s">
        <v>893</v>
      </c>
      <c r="S10" s="33">
        <f>38930</f>
        <v>38930</v>
      </c>
      <c r="T10" s="30">
        <f>2250</f>
        <v>2250</v>
      </c>
      <c r="U10" s="30" t="str">
        <f>"－"</f>
        <v>－</v>
      </c>
      <c r="V10" s="30">
        <f>87420390</f>
        <v>87420390</v>
      </c>
      <c r="W10" s="30" t="str">
        <f>"－"</f>
        <v>－</v>
      </c>
      <c r="X10" s="34">
        <f>20</f>
        <v>20</v>
      </c>
    </row>
    <row r="11" spans="1:24" x14ac:dyDescent="0.15">
      <c r="A11" s="25" t="s">
        <v>1210</v>
      </c>
      <c r="B11" s="25" t="s">
        <v>57</v>
      </c>
      <c r="C11" s="25" t="s">
        <v>58</v>
      </c>
      <c r="D11" s="25" t="s">
        <v>59</v>
      </c>
      <c r="E11" s="26" t="s">
        <v>45</v>
      </c>
      <c r="F11" s="27" t="s">
        <v>45</v>
      </c>
      <c r="G11" s="28" t="s">
        <v>45</v>
      </c>
      <c r="H11" s="29"/>
      <c r="I11" s="29" t="s">
        <v>46</v>
      </c>
      <c r="J11" s="30">
        <v>10</v>
      </c>
      <c r="K11" s="31">
        <f>1155</f>
        <v>1155</v>
      </c>
      <c r="L11" s="32" t="s">
        <v>995</v>
      </c>
      <c r="M11" s="31">
        <f>1225</f>
        <v>1225</v>
      </c>
      <c r="N11" s="32" t="s">
        <v>80</v>
      </c>
      <c r="O11" s="31">
        <f>1155</f>
        <v>1155</v>
      </c>
      <c r="P11" s="32" t="s">
        <v>995</v>
      </c>
      <c r="Q11" s="31">
        <f>1192</f>
        <v>1192</v>
      </c>
      <c r="R11" s="32" t="s">
        <v>893</v>
      </c>
      <c r="S11" s="33">
        <f>1193.13</f>
        <v>1193.1300000000001</v>
      </c>
      <c r="T11" s="30">
        <f>118160</f>
        <v>118160</v>
      </c>
      <c r="U11" s="30" t="str">
        <f>"－"</f>
        <v>－</v>
      </c>
      <c r="V11" s="30">
        <f>140990355</f>
        <v>140990355</v>
      </c>
      <c r="W11" s="30" t="str">
        <f>"－"</f>
        <v>－</v>
      </c>
      <c r="X11" s="34">
        <f>20</f>
        <v>20</v>
      </c>
    </row>
    <row r="12" spans="1:24" x14ac:dyDescent="0.15">
      <c r="A12" s="25" t="s">
        <v>1210</v>
      </c>
      <c r="B12" s="25" t="s">
        <v>66</v>
      </c>
      <c r="C12" s="25" t="s">
        <v>67</v>
      </c>
      <c r="D12" s="25" t="s">
        <v>68</v>
      </c>
      <c r="E12" s="26" t="s">
        <v>45</v>
      </c>
      <c r="F12" s="27" t="s">
        <v>45</v>
      </c>
      <c r="G12" s="28" t="s">
        <v>45</v>
      </c>
      <c r="H12" s="29"/>
      <c r="I12" s="29" t="s">
        <v>46</v>
      </c>
      <c r="J12" s="30">
        <v>1000</v>
      </c>
      <c r="K12" s="31">
        <f>387.2</f>
        <v>387.2</v>
      </c>
      <c r="L12" s="32" t="s">
        <v>995</v>
      </c>
      <c r="M12" s="31">
        <f>417.9</f>
        <v>417.9</v>
      </c>
      <c r="N12" s="32" t="s">
        <v>998</v>
      </c>
      <c r="O12" s="31">
        <f>387.2</f>
        <v>387.2</v>
      </c>
      <c r="P12" s="32" t="s">
        <v>995</v>
      </c>
      <c r="Q12" s="31">
        <f>406.6</f>
        <v>406.6</v>
      </c>
      <c r="R12" s="32" t="s">
        <v>255</v>
      </c>
      <c r="S12" s="33">
        <f>405.12</f>
        <v>405.12</v>
      </c>
      <c r="T12" s="30">
        <f>30000</f>
        <v>30000</v>
      </c>
      <c r="U12" s="30" t="str">
        <f>"－"</f>
        <v>－</v>
      </c>
      <c r="V12" s="30">
        <f>12081000</f>
        <v>12081000</v>
      </c>
      <c r="W12" s="30" t="str">
        <f>"－"</f>
        <v>－</v>
      </c>
      <c r="X12" s="34">
        <f>10</f>
        <v>10</v>
      </c>
    </row>
    <row r="13" spans="1:24" x14ac:dyDescent="0.15">
      <c r="A13" s="25" t="s">
        <v>1210</v>
      </c>
      <c r="B13" s="25" t="s">
        <v>69</v>
      </c>
      <c r="C13" s="25" t="s">
        <v>1035</v>
      </c>
      <c r="D13" s="25" t="s">
        <v>1036</v>
      </c>
      <c r="E13" s="26" t="s">
        <v>45</v>
      </c>
      <c r="F13" s="27" t="s">
        <v>45</v>
      </c>
      <c r="G13" s="28" t="s">
        <v>45</v>
      </c>
      <c r="H13" s="29"/>
      <c r="I13" s="29" t="s">
        <v>46</v>
      </c>
      <c r="J13" s="30">
        <v>1</v>
      </c>
      <c r="K13" s="31">
        <f>32360</f>
        <v>32360</v>
      </c>
      <c r="L13" s="32" t="s">
        <v>995</v>
      </c>
      <c r="M13" s="31">
        <f>34940</f>
        <v>34940</v>
      </c>
      <c r="N13" s="32" t="s">
        <v>80</v>
      </c>
      <c r="O13" s="31">
        <f>32360</f>
        <v>32360</v>
      </c>
      <c r="P13" s="32" t="s">
        <v>995</v>
      </c>
      <c r="Q13" s="31">
        <f>34510</f>
        <v>34510</v>
      </c>
      <c r="R13" s="32" t="s">
        <v>893</v>
      </c>
      <c r="S13" s="33">
        <f>33999.5</f>
        <v>33999.5</v>
      </c>
      <c r="T13" s="30">
        <f>1226171</f>
        <v>1226171</v>
      </c>
      <c r="U13" s="30">
        <f>85285</f>
        <v>85285</v>
      </c>
      <c r="V13" s="30">
        <f>41583944384</f>
        <v>41583944384</v>
      </c>
      <c r="W13" s="30">
        <f>2906238144</f>
        <v>2906238144</v>
      </c>
      <c r="X13" s="34">
        <f>20</f>
        <v>20</v>
      </c>
    </row>
    <row r="14" spans="1:24" x14ac:dyDescent="0.15">
      <c r="A14" s="25" t="s">
        <v>1210</v>
      </c>
      <c r="B14" s="25" t="s">
        <v>72</v>
      </c>
      <c r="C14" s="25" t="s">
        <v>73</v>
      </c>
      <c r="D14" s="25" t="s">
        <v>74</v>
      </c>
      <c r="E14" s="26" t="s">
        <v>45</v>
      </c>
      <c r="F14" s="27" t="s">
        <v>45</v>
      </c>
      <c r="G14" s="28" t="s">
        <v>45</v>
      </c>
      <c r="H14" s="29"/>
      <c r="I14" s="29" t="s">
        <v>46</v>
      </c>
      <c r="J14" s="30">
        <v>1</v>
      </c>
      <c r="K14" s="31">
        <f>32480</f>
        <v>32480</v>
      </c>
      <c r="L14" s="32" t="s">
        <v>995</v>
      </c>
      <c r="M14" s="31">
        <f>35070</f>
        <v>35070</v>
      </c>
      <c r="N14" s="32" t="s">
        <v>80</v>
      </c>
      <c r="O14" s="31">
        <f>32480</f>
        <v>32480</v>
      </c>
      <c r="P14" s="32" t="s">
        <v>995</v>
      </c>
      <c r="Q14" s="31">
        <f>34660</f>
        <v>34660</v>
      </c>
      <c r="R14" s="32" t="s">
        <v>893</v>
      </c>
      <c r="S14" s="33">
        <f>34127</f>
        <v>34127</v>
      </c>
      <c r="T14" s="30">
        <f>6859298</f>
        <v>6859298</v>
      </c>
      <c r="U14" s="30">
        <f>293720</f>
        <v>293720</v>
      </c>
      <c r="V14" s="30">
        <f>234151997650</f>
        <v>234151997650</v>
      </c>
      <c r="W14" s="30">
        <f>9966237670</f>
        <v>9966237670</v>
      </c>
      <c r="X14" s="34">
        <f>20</f>
        <v>20</v>
      </c>
    </row>
    <row r="15" spans="1:24" x14ac:dyDescent="0.15">
      <c r="A15" s="25" t="s">
        <v>1210</v>
      </c>
      <c r="B15" s="25" t="s">
        <v>75</v>
      </c>
      <c r="C15" s="25" t="s">
        <v>76</v>
      </c>
      <c r="D15" s="25" t="s">
        <v>77</v>
      </c>
      <c r="E15" s="26" t="s">
        <v>45</v>
      </c>
      <c r="F15" s="27" t="s">
        <v>45</v>
      </c>
      <c r="G15" s="28" t="s">
        <v>45</v>
      </c>
      <c r="H15" s="29"/>
      <c r="I15" s="29" t="s">
        <v>46</v>
      </c>
      <c r="J15" s="30">
        <v>10</v>
      </c>
      <c r="K15" s="31">
        <f>7548</f>
        <v>7548</v>
      </c>
      <c r="L15" s="32" t="s">
        <v>995</v>
      </c>
      <c r="M15" s="31">
        <f>7729</f>
        <v>7729</v>
      </c>
      <c r="N15" s="32" t="s">
        <v>876</v>
      </c>
      <c r="O15" s="31">
        <f>7379</f>
        <v>7379</v>
      </c>
      <c r="P15" s="32" t="s">
        <v>893</v>
      </c>
      <c r="Q15" s="31">
        <f>7386</f>
        <v>7386</v>
      </c>
      <c r="R15" s="32" t="s">
        <v>893</v>
      </c>
      <c r="S15" s="33">
        <f>7595.4</f>
        <v>7595.4</v>
      </c>
      <c r="T15" s="30">
        <f>4640</f>
        <v>4640</v>
      </c>
      <c r="U15" s="30" t="str">
        <f>"－"</f>
        <v>－</v>
      </c>
      <c r="V15" s="30">
        <f>35198870</f>
        <v>35198870</v>
      </c>
      <c r="W15" s="30" t="str">
        <f>"－"</f>
        <v>－</v>
      </c>
      <c r="X15" s="34">
        <f>20</f>
        <v>20</v>
      </c>
    </row>
    <row r="16" spans="1:24" x14ac:dyDescent="0.15">
      <c r="A16" s="25" t="s">
        <v>1210</v>
      </c>
      <c r="B16" s="25" t="s">
        <v>79</v>
      </c>
      <c r="C16" s="25" t="s">
        <v>926</v>
      </c>
      <c r="D16" s="25" t="s">
        <v>927</v>
      </c>
      <c r="E16" s="26" t="s">
        <v>45</v>
      </c>
      <c r="F16" s="27" t="s">
        <v>45</v>
      </c>
      <c r="G16" s="28" t="s">
        <v>45</v>
      </c>
      <c r="H16" s="29"/>
      <c r="I16" s="29" t="s">
        <v>46</v>
      </c>
      <c r="J16" s="30">
        <v>100</v>
      </c>
      <c r="K16" s="31" t="str">
        <f>"－"</f>
        <v>－</v>
      </c>
      <c r="L16" s="32"/>
      <c r="M16" s="31" t="str">
        <f>"－"</f>
        <v>－</v>
      </c>
      <c r="N16" s="32"/>
      <c r="O16" s="31" t="str">
        <f>"－"</f>
        <v>－</v>
      </c>
      <c r="P16" s="32"/>
      <c r="Q16" s="31" t="str">
        <f>"－"</f>
        <v>－</v>
      </c>
      <c r="R16" s="32"/>
      <c r="S16" s="33" t="str">
        <f>"－"</f>
        <v>－</v>
      </c>
      <c r="T16" s="30" t="str">
        <f>"－"</f>
        <v>－</v>
      </c>
      <c r="U16" s="30" t="str">
        <f>"－"</f>
        <v>－</v>
      </c>
      <c r="V16" s="30" t="str">
        <f>"－"</f>
        <v>－</v>
      </c>
      <c r="W16" s="30" t="str">
        <f>"－"</f>
        <v>－</v>
      </c>
      <c r="X16" s="34" t="str">
        <f>"－"</f>
        <v>－</v>
      </c>
    </row>
    <row r="17" spans="1:24" x14ac:dyDescent="0.15">
      <c r="A17" s="25" t="s">
        <v>1210</v>
      </c>
      <c r="B17" s="25" t="s">
        <v>81</v>
      </c>
      <c r="C17" s="25" t="s">
        <v>82</v>
      </c>
      <c r="D17" s="25" t="s">
        <v>83</v>
      </c>
      <c r="E17" s="26" t="s">
        <v>45</v>
      </c>
      <c r="F17" s="27" t="s">
        <v>45</v>
      </c>
      <c r="G17" s="28" t="s">
        <v>45</v>
      </c>
      <c r="H17" s="29"/>
      <c r="I17" s="29" t="s">
        <v>46</v>
      </c>
      <c r="J17" s="30">
        <v>100</v>
      </c>
      <c r="K17" s="31">
        <f>218.9</f>
        <v>218.9</v>
      </c>
      <c r="L17" s="32" t="s">
        <v>995</v>
      </c>
      <c r="M17" s="31">
        <f>248</f>
        <v>248</v>
      </c>
      <c r="N17" s="32" t="s">
        <v>876</v>
      </c>
      <c r="O17" s="31">
        <f>212</f>
        <v>212</v>
      </c>
      <c r="P17" s="32" t="s">
        <v>995</v>
      </c>
      <c r="Q17" s="31">
        <f>242.4</f>
        <v>242.4</v>
      </c>
      <c r="R17" s="32" t="s">
        <v>893</v>
      </c>
      <c r="S17" s="33">
        <f>237.27</f>
        <v>237.27</v>
      </c>
      <c r="T17" s="30">
        <f>969900</f>
        <v>969900</v>
      </c>
      <c r="U17" s="30" t="str">
        <f>"－"</f>
        <v>－</v>
      </c>
      <c r="V17" s="30">
        <f>229020410</f>
        <v>229020410</v>
      </c>
      <c r="W17" s="30" t="str">
        <f>"－"</f>
        <v>－</v>
      </c>
      <c r="X17" s="34">
        <f>20</f>
        <v>20</v>
      </c>
    </row>
    <row r="18" spans="1:24" x14ac:dyDescent="0.15">
      <c r="A18" s="25" t="s">
        <v>1210</v>
      </c>
      <c r="B18" s="25" t="s">
        <v>84</v>
      </c>
      <c r="C18" s="25" t="s">
        <v>85</v>
      </c>
      <c r="D18" s="25" t="s">
        <v>86</v>
      </c>
      <c r="E18" s="26" t="s">
        <v>45</v>
      </c>
      <c r="F18" s="27" t="s">
        <v>45</v>
      </c>
      <c r="G18" s="28" t="s">
        <v>45</v>
      </c>
      <c r="H18" s="29"/>
      <c r="I18" s="29" t="s">
        <v>46</v>
      </c>
      <c r="J18" s="30">
        <v>1</v>
      </c>
      <c r="K18" s="31">
        <f>27830</f>
        <v>27830</v>
      </c>
      <c r="L18" s="32" t="s">
        <v>995</v>
      </c>
      <c r="M18" s="31">
        <f>27940</f>
        <v>27940</v>
      </c>
      <c r="N18" s="32" t="s">
        <v>1017</v>
      </c>
      <c r="O18" s="31">
        <f>27200</f>
        <v>27200</v>
      </c>
      <c r="P18" s="32" t="s">
        <v>56</v>
      </c>
      <c r="Q18" s="31">
        <f>27830</f>
        <v>27830</v>
      </c>
      <c r="R18" s="32" t="s">
        <v>893</v>
      </c>
      <c r="S18" s="33">
        <f>27562.75</f>
        <v>27562.75</v>
      </c>
      <c r="T18" s="30">
        <f>112897</f>
        <v>112897</v>
      </c>
      <c r="U18" s="30" t="str">
        <f>"－"</f>
        <v>－</v>
      </c>
      <c r="V18" s="30">
        <f>3111259915</f>
        <v>3111259915</v>
      </c>
      <c r="W18" s="30" t="str">
        <f>"－"</f>
        <v>－</v>
      </c>
      <c r="X18" s="34">
        <f>20</f>
        <v>20</v>
      </c>
    </row>
    <row r="19" spans="1:24" x14ac:dyDescent="0.15">
      <c r="A19" s="25" t="s">
        <v>1210</v>
      </c>
      <c r="B19" s="25" t="s">
        <v>87</v>
      </c>
      <c r="C19" s="25" t="s">
        <v>88</v>
      </c>
      <c r="D19" s="25" t="s">
        <v>89</v>
      </c>
      <c r="E19" s="26" t="s">
        <v>45</v>
      </c>
      <c r="F19" s="27" t="s">
        <v>45</v>
      </c>
      <c r="G19" s="28" t="s">
        <v>45</v>
      </c>
      <c r="H19" s="29"/>
      <c r="I19" s="29" t="s">
        <v>46</v>
      </c>
      <c r="J19" s="30">
        <v>10</v>
      </c>
      <c r="K19" s="31">
        <f>7403</f>
        <v>7403</v>
      </c>
      <c r="L19" s="32" t="s">
        <v>995</v>
      </c>
      <c r="M19" s="31">
        <f>7435</f>
        <v>7435</v>
      </c>
      <c r="N19" s="32" t="s">
        <v>1017</v>
      </c>
      <c r="O19" s="31">
        <f>7232</f>
        <v>7232</v>
      </c>
      <c r="P19" s="32" t="s">
        <v>56</v>
      </c>
      <c r="Q19" s="31">
        <f>7402</f>
        <v>7402</v>
      </c>
      <c r="R19" s="32" t="s">
        <v>893</v>
      </c>
      <c r="S19" s="33">
        <f>7327.65</f>
        <v>7327.65</v>
      </c>
      <c r="T19" s="30">
        <f>191560</f>
        <v>191560</v>
      </c>
      <c r="U19" s="30">
        <f>13210</f>
        <v>13210</v>
      </c>
      <c r="V19" s="30">
        <f>1406139590</f>
        <v>1406139590</v>
      </c>
      <c r="W19" s="30">
        <f>97970480</f>
        <v>97970480</v>
      </c>
      <c r="X19" s="34">
        <f>20</f>
        <v>20</v>
      </c>
    </row>
    <row r="20" spans="1:24" x14ac:dyDescent="0.15">
      <c r="A20" s="25" t="s">
        <v>1210</v>
      </c>
      <c r="B20" s="25" t="s">
        <v>90</v>
      </c>
      <c r="C20" s="25" t="s">
        <v>91</v>
      </c>
      <c r="D20" s="25" t="s">
        <v>92</v>
      </c>
      <c r="E20" s="26" t="s">
        <v>45</v>
      </c>
      <c r="F20" s="27" t="s">
        <v>45</v>
      </c>
      <c r="G20" s="28" t="s">
        <v>45</v>
      </c>
      <c r="H20" s="29"/>
      <c r="I20" s="29" t="s">
        <v>46</v>
      </c>
      <c r="J20" s="30">
        <v>1</v>
      </c>
      <c r="K20" s="31">
        <f>32660</f>
        <v>32660</v>
      </c>
      <c r="L20" s="32" t="s">
        <v>995</v>
      </c>
      <c r="M20" s="31">
        <f>35230</f>
        <v>35230</v>
      </c>
      <c r="N20" s="32" t="s">
        <v>80</v>
      </c>
      <c r="O20" s="31">
        <f>32640</f>
        <v>32640</v>
      </c>
      <c r="P20" s="32" t="s">
        <v>995</v>
      </c>
      <c r="Q20" s="31">
        <f>34810</f>
        <v>34810</v>
      </c>
      <c r="R20" s="32" t="s">
        <v>893</v>
      </c>
      <c r="S20" s="33">
        <f>34291.5</f>
        <v>34291.5</v>
      </c>
      <c r="T20" s="30">
        <f>1290470</f>
        <v>1290470</v>
      </c>
      <c r="U20" s="30">
        <f>655614</f>
        <v>655614</v>
      </c>
      <c r="V20" s="30">
        <f>43951660296</f>
        <v>43951660296</v>
      </c>
      <c r="W20" s="30">
        <f>22208882746</f>
        <v>22208882746</v>
      </c>
      <c r="X20" s="34">
        <f>20</f>
        <v>20</v>
      </c>
    </row>
    <row r="21" spans="1:24" x14ac:dyDescent="0.15">
      <c r="A21" s="25" t="s">
        <v>1210</v>
      </c>
      <c r="B21" s="25" t="s">
        <v>93</v>
      </c>
      <c r="C21" s="25" t="s">
        <v>94</v>
      </c>
      <c r="D21" s="25" t="s">
        <v>95</v>
      </c>
      <c r="E21" s="26" t="s">
        <v>45</v>
      </c>
      <c r="F21" s="27" t="s">
        <v>45</v>
      </c>
      <c r="G21" s="28" t="s">
        <v>45</v>
      </c>
      <c r="H21" s="29"/>
      <c r="I21" s="29" t="s">
        <v>46</v>
      </c>
      <c r="J21" s="30">
        <v>1</v>
      </c>
      <c r="K21" s="31">
        <f>32510</f>
        <v>32510</v>
      </c>
      <c r="L21" s="32" t="s">
        <v>995</v>
      </c>
      <c r="M21" s="31">
        <f>35110</f>
        <v>35110</v>
      </c>
      <c r="N21" s="32" t="s">
        <v>80</v>
      </c>
      <c r="O21" s="31">
        <f>32510</f>
        <v>32510</v>
      </c>
      <c r="P21" s="32" t="s">
        <v>995</v>
      </c>
      <c r="Q21" s="31">
        <f>34680</f>
        <v>34680</v>
      </c>
      <c r="R21" s="32" t="s">
        <v>893</v>
      </c>
      <c r="S21" s="33">
        <f>34164</f>
        <v>34164</v>
      </c>
      <c r="T21" s="30">
        <f>976192</f>
        <v>976192</v>
      </c>
      <c r="U21" s="30">
        <f>415096</f>
        <v>415096</v>
      </c>
      <c r="V21" s="30">
        <f>33051110142</f>
        <v>33051110142</v>
      </c>
      <c r="W21" s="30">
        <f>13945172652</f>
        <v>13945172652</v>
      </c>
      <c r="X21" s="34">
        <f>20</f>
        <v>20</v>
      </c>
    </row>
    <row r="22" spans="1:24" x14ac:dyDescent="0.15">
      <c r="A22" s="25" t="s">
        <v>1210</v>
      </c>
      <c r="B22" s="25" t="s">
        <v>96</v>
      </c>
      <c r="C22" s="25" t="s">
        <v>1113</v>
      </c>
      <c r="D22" s="25" t="s">
        <v>98</v>
      </c>
      <c r="E22" s="26" t="s">
        <v>45</v>
      </c>
      <c r="F22" s="27" t="s">
        <v>45</v>
      </c>
      <c r="G22" s="28" t="s">
        <v>45</v>
      </c>
      <c r="H22" s="29"/>
      <c r="I22" s="29" t="s">
        <v>46</v>
      </c>
      <c r="J22" s="30">
        <v>10</v>
      </c>
      <c r="K22" s="31">
        <f>1979.5</f>
        <v>1979.5</v>
      </c>
      <c r="L22" s="32" t="s">
        <v>995</v>
      </c>
      <c r="M22" s="31">
        <f>2005</f>
        <v>2005</v>
      </c>
      <c r="N22" s="32" t="s">
        <v>78</v>
      </c>
      <c r="O22" s="31">
        <f>1931.5</f>
        <v>1931.5</v>
      </c>
      <c r="P22" s="32" t="s">
        <v>1004</v>
      </c>
      <c r="Q22" s="31">
        <f>1972</f>
        <v>1972</v>
      </c>
      <c r="R22" s="32" t="s">
        <v>893</v>
      </c>
      <c r="S22" s="33">
        <f>1967.13</f>
        <v>1967.13</v>
      </c>
      <c r="T22" s="30">
        <f>8397270</f>
        <v>8397270</v>
      </c>
      <c r="U22" s="30">
        <f>2422530</f>
        <v>2422530</v>
      </c>
      <c r="V22" s="30">
        <f>16505982924</f>
        <v>16505982924</v>
      </c>
      <c r="W22" s="30">
        <f>4763451764</f>
        <v>4763451764</v>
      </c>
      <c r="X22" s="34">
        <f>20</f>
        <v>20</v>
      </c>
    </row>
    <row r="23" spans="1:24" x14ac:dyDescent="0.15">
      <c r="A23" s="25" t="s">
        <v>1210</v>
      </c>
      <c r="B23" s="25" t="s">
        <v>99</v>
      </c>
      <c r="C23" s="25" t="s">
        <v>100</v>
      </c>
      <c r="D23" s="25" t="s">
        <v>1114</v>
      </c>
      <c r="E23" s="26" t="s">
        <v>45</v>
      </c>
      <c r="F23" s="27" t="s">
        <v>45</v>
      </c>
      <c r="G23" s="28" t="s">
        <v>45</v>
      </c>
      <c r="H23" s="29"/>
      <c r="I23" s="29" t="s">
        <v>46</v>
      </c>
      <c r="J23" s="30">
        <v>100</v>
      </c>
      <c r="K23" s="31">
        <f>1859</f>
        <v>1859</v>
      </c>
      <c r="L23" s="32" t="s">
        <v>995</v>
      </c>
      <c r="M23" s="31">
        <f>1880</f>
        <v>1880</v>
      </c>
      <c r="N23" s="32" t="s">
        <v>78</v>
      </c>
      <c r="O23" s="31">
        <f>1819</f>
        <v>1819</v>
      </c>
      <c r="P23" s="32" t="s">
        <v>1004</v>
      </c>
      <c r="Q23" s="31">
        <f>1861</f>
        <v>1861</v>
      </c>
      <c r="R23" s="32" t="s">
        <v>893</v>
      </c>
      <c r="S23" s="33">
        <f>1851.7</f>
        <v>1851.7</v>
      </c>
      <c r="T23" s="30">
        <f>2486100</f>
        <v>2486100</v>
      </c>
      <c r="U23" s="30">
        <f>1117900</f>
        <v>1117900</v>
      </c>
      <c r="V23" s="30">
        <f>4593141708</f>
        <v>4593141708</v>
      </c>
      <c r="W23" s="30">
        <f>2060697158</f>
        <v>2060697158</v>
      </c>
      <c r="X23" s="34">
        <f>20</f>
        <v>20</v>
      </c>
    </row>
    <row r="24" spans="1:24" x14ac:dyDescent="0.15">
      <c r="A24" s="25" t="s">
        <v>1210</v>
      </c>
      <c r="B24" s="25" t="s">
        <v>102</v>
      </c>
      <c r="C24" s="25" t="s">
        <v>103</v>
      </c>
      <c r="D24" s="25" t="s">
        <v>1115</v>
      </c>
      <c r="E24" s="26" t="s">
        <v>45</v>
      </c>
      <c r="F24" s="27" t="s">
        <v>45</v>
      </c>
      <c r="G24" s="28" t="s">
        <v>45</v>
      </c>
      <c r="H24" s="29"/>
      <c r="I24" s="29" t="s">
        <v>46</v>
      </c>
      <c r="J24" s="30">
        <v>1</v>
      </c>
      <c r="K24" s="31">
        <f>32590</f>
        <v>32590</v>
      </c>
      <c r="L24" s="32" t="s">
        <v>995</v>
      </c>
      <c r="M24" s="31">
        <f>35160</f>
        <v>35160</v>
      </c>
      <c r="N24" s="32" t="s">
        <v>80</v>
      </c>
      <c r="O24" s="31">
        <f>32570</f>
        <v>32570</v>
      </c>
      <c r="P24" s="32" t="s">
        <v>995</v>
      </c>
      <c r="Q24" s="31">
        <f>34740</f>
        <v>34740</v>
      </c>
      <c r="R24" s="32" t="s">
        <v>893</v>
      </c>
      <c r="S24" s="33">
        <f>34221.5</f>
        <v>34221.5</v>
      </c>
      <c r="T24" s="30">
        <f>642224</f>
        <v>642224</v>
      </c>
      <c r="U24" s="30">
        <f>211392</f>
        <v>211392</v>
      </c>
      <c r="V24" s="30">
        <f>22056407404</f>
        <v>22056407404</v>
      </c>
      <c r="W24" s="30">
        <f>7330660344</f>
        <v>7330660344</v>
      </c>
      <c r="X24" s="34">
        <f>20</f>
        <v>20</v>
      </c>
    </row>
    <row r="25" spans="1:24" x14ac:dyDescent="0.15">
      <c r="A25" s="25" t="s">
        <v>1210</v>
      </c>
      <c r="B25" s="25" t="s">
        <v>105</v>
      </c>
      <c r="C25" s="25" t="s">
        <v>106</v>
      </c>
      <c r="D25" s="25" t="s">
        <v>107</v>
      </c>
      <c r="E25" s="26" t="s">
        <v>45</v>
      </c>
      <c r="F25" s="27" t="s">
        <v>45</v>
      </c>
      <c r="G25" s="28" t="s">
        <v>45</v>
      </c>
      <c r="H25" s="29"/>
      <c r="I25" s="29" t="s">
        <v>46</v>
      </c>
      <c r="J25" s="30">
        <v>10</v>
      </c>
      <c r="K25" s="31">
        <f>2399.5</f>
        <v>2399.5</v>
      </c>
      <c r="L25" s="32" t="s">
        <v>995</v>
      </c>
      <c r="M25" s="31">
        <f>2509.5</f>
        <v>2509.5</v>
      </c>
      <c r="N25" s="32" t="s">
        <v>80</v>
      </c>
      <c r="O25" s="31">
        <f>2396</f>
        <v>2396</v>
      </c>
      <c r="P25" s="32" t="s">
        <v>995</v>
      </c>
      <c r="Q25" s="31">
        <f>2480</f>
        <v>2480</v>
      </c>
      <c r="R25" s="32" t="s">
        <v>893</v>
      </c>
      <c r="S25" s="33">
        <f>2459</f>
        <v>2459</v>
      </c>
      <c r="T25" s="30">
        <f>2400990</f>
        <v>2400990</v>
      </c>
      <c r="U25" s="30">
        <f>345200</f>
        <v>345200</v>
      </c>
      <c r="V25" s="30">
        <f>5902174165</f>
        <v>5902174165</v>
      </c>
      <c r="W25" s="30">
        <f>848538640</f>
        <v>848538640</v>
      </c>
      <c r="X25" s="34">
        <f>20</f>
        <v>20</v>
      </c>
    </row>
    <row r="26" spans="1:24" x14ac:dyDescent="0.15">
      <c r="A26" s="25" t="s">
        <v>1210</v>
      </c>
      <c r="B26" s="25" t="s">
        <v>108</v>
      </c>
      <c r="C26" s="25" t="s">
        <v>109</v>
      </c>
      <c r="D26" s="25" t="s">
        <v>110</v>
      </c>
      <c r="E26" s="26" t="s">
        <v>45</v>
      </c>
      <c r="F26" s="27" t="s">
        <v>45</v>
      </c>
      <c r="G26" s="28" t="s">
        <v>45</v>
      </c>
      <c r="H26" s="29"/>
      <c r="I26" s="29" t="s">
        <v>46</v>
      </c>
      <c r="J26" s="30">
        <v>1</v>
      </c>
      <c r="K26" s="31">
        <f>15425</f>
        <v>15425</v>
      </c>
      <c r="L26" s="32" t="s">
        <v>995</v>
      </c>
      <c r="M26" s="31">
        <f>16150</f>
        <v>16150</v>
      </c>
      <c r="N26" s="32" t="s">
        <v>80</v>
      </c>
      <c r="O26" s="31">
        <f>15310</f>
        <v>15310</v>
      </c>
      <c r="P26" s="32" t="s">
        <v>999</v>
      </c>
      <c r="Q26" s="31">
        <f>15925</f>
        <v>15925</v>
      </c>
      <c r="R26" s="32" t="s">
        <v>893</v>
      </c>
      <c r="S26" s="33">
        <f>15799.5</f>
        <v>15799.5</v>
      </c>
      <c r="T26" s="30">
        <f>527</f>
        <v>527</v>
      </c>
      <c r="U26" s="30" t="str">
        <f>"－"</f>
        <v>－</v>
      </c>
      <c r="V26" s="30">
        <f>8308715</f>
        <v>8308715</v>
      </c>
      <c r="W26" s="30" t="str">
        <f>"－"</f>
        <v>－</v>
      </c>
      <c r="X26" s="34">
        <f>20</f>
        <v>20</v>
      </c>
    </row>
    <row r="27" spans="1:24" x14ac:dyDescent="0.15">
      <c r="A27" s="25" t="s">
        <v>1210</v>
      </c>
      <c r="B27" s="25" t="s">
        <v>111</v>
      </c>
      <c r="C27" s="25" t="s">
        <v>112</v>
      </c>
      <c r="D27" s="25" t="s">
        <v>113</v>
      </c>
      <c r="E27" s="26" t="s">
        <v>45</v>
      </c>
      <c r="F27" s="27" t="s">
        <v>45</v>
      </c>
      <c r="G27" s="28" t="s">
        <v>45</v>
      </c>
      <c r="H27" s="29"/>
      <c r="I27" s="29" t="s">
        <v>46</v>
      </c>
      <c r="J27" s="30">
        <v>10</v>
      </c>
      <c r="K27" s="31">
        <f>580.7</f>
        <v>580.70000000000005</v>
      </c>
      <c r="L27" s="32" t="s">
        <v>995</v>
      </c>
      <c r="M27" s="31">
        <f>584.4</f>
        <v>584.4</v>
      </c>
      <c r="N27" s="32" t="s">
        <v>995</v>
      </c>
      <c r="O27" s="31">
        <f>529.5</f>
        <v>529.5</v>
      </c>
      <c r="P27" s="32" t="s">
        <v>80</v>
      </c>
      <c r="Q27" s="31">
        <f>542.4</f>
        <v>542.4</v>
      </c>
      <c r="R27" s="32" t="s">
        <v>893</v>
      </c>
      <c r="S27" s="33">
        <f>552.41</f>
        <v>552.41</v>
      </c>
      <c r="T27" s="30">
        <f>19177660</f>
        <v>19177660</v>
      </c>
      <c r="U27" s="30">
        <f>900</f>
        <v>900</v>
      </c>
      <c r="V27" s="30">
        <f>10634502822</f>
        <v>10634502822</v>
      </c>
      <c r="W27" s="30">
        <f>504840</f>
        <v>504840</v>
      </c>
      <c r="X27" s="34">
        <f>20</f>
        <v>20</v>
      </c>
    </row>
    <row r="28" spans="1:24" x14ac:dyDescent="0.15">
      <c r="A28" s="25" t="s">
        <v>1210</v>
      </c>
      <c r="B28" s="25" t="s">
        <v>114</v>
      </c>
      <c r="C28" s="25" t="s">
        <v>115</v>
      </c>
      <c r="D28" s="25" t="s">
        <v>1116</v>
      </c>
      <c r="E28" s="26" t="s">
        <v>45</v>
      </c>
      <c r="F28" s="27" t="s">
        <v>45</v>
      </c>
      <c r="G28" s="28" t="s">
        <v>45</v>
      </c>
      <c r="H28" s="29"/>
      <c r="I28" s="29" t="s">
        <v>46</v>
      </c>
      <c r="J28" s="30">
        <v>1</v>
      </c>
      <c r="K28" s="31">
        <f>242</f>
        <v>242</v>
      </c>
      <c r="L28" s="32" t="s">
        <v>995</v>
      </c>
      <c r="M28" s="31">
        <f>242</f>
        <v>242</v>
      </c>
      <c r="N28" s="32" t="s">
        <v>995</v>
      </c>
      <c r="O28" s="31">
        <f>206</f>
        <v>206</v>
      </c>
      <c r="P28" s="32" t="s">
        <v>80</v>
      </c>
      <c r="Q28" s="31">
        <f>211</f>
        <v>211</v>
      </c>
      <c r="R28" s="32" t="s">
        <v>893</v>
      </c>
      <c r="S28" s="33">
        <f>217.9</f>
        <v>217.9</v>
      </c>
      <c r="T28" s="30">
        <f>1006913676</f>
        <v>1006913676</v>
      </c>
      <c r="U28" s="30">
        <f>3297933</f>
        <v>3297933</v>
      </c>
      <c r="V28" s="30">
        <f>219621418108</f>
        <v>219621418108</v>
      </c>
      <c r="W28" s="30">
        <f>707412914</f>
        <v>707412914</v>
      </c>
      <c r="X28" s="34">
        <f>20</f>
        <v>20</v>
      </c>
    </row>
    <row r="29" spans="1:24" x14ac:dyDescent="0.15">
      <c r="A29" s="25" t="s">
        <v>1210</v>
      </c>
      <c r="B29" s="25" t="s">
        <v>117</v>
      </c>
      <c r="C29" s="25" t="s">
        <v>118</v>
      </c>
      <c r="D29" s="25" t="s">
        <v>119</v>
      </c>
      <c r="E29" s="26" t="s">
        <v>45</v>
      </c>
      <c r="F29" s="27" t="s">
        <v>45</v>
      </c>
      <c r="G29" s="28" t="s">
        <v>45</v>
      </c>
      <c r="H29" s="29"/>
      <c r="I29" s="29" t="s">
        <v>46</v>
      </c>
      <c r="J29" s="30">
        <v>1</v>
      </c>
      <c r="K29" s="31">
        <f>34690</f>
        <v>34690</v>
      </c>
      <c r="L29" s="32" t="s">
        <v>995</v>
      </c>
      <c r="M29" s="31">
        <f>40150</f>
        <v>40150</v>
      </c>
      <c r="N29" s="32" t="s">
        <v>80</v>
      </c>
      <c r="O29" s="31">
        <f>34500</f>
        <v>34500</v>
      </c>
      <c r="P29" s="32" t="s">
        <v>995</v>
      </c>
      <c r="Q29" s="31">
        <f>39190</f>
        <v>39190</v>
      </c>
      <c r="R29" s="32" t="s">
        <v>893</v>
      </c>
      <c r="S29" s="33">
        <f>38055</f>
        <v>38055</v>
      </c>
      <c r="T29" s="30">
        <f>380500</f>
        <v>380500</v>
      </c>
      <c r="U29" s="30" t="str">
        <f>"－"</f>
        <v>－</v>
      </c>
      <c r="V29" s="30">
        <f>14413177610</f>
        <v>14413177610</v>
      </c>
      <c r="W29" s="30" t="str">
        <f>"－"</f>
        <v>－</v>
      </c>
      <c r="X29" s="34">
        <f>20</f>
        <v>20</v>
      </c>
    </row>
    <row r="30" spans="1:24" x14ac:dyDescent="0.15">
      <c r="A30" s="25" t="s">
        <v>1210</v>
      </c>
      <c r="B30" s="25" t="s">
        <v>120</v>
      </c>
      <c r="C30" s="25" t="s">
        <v>121</v>
      </c>
      <c r="D30" s="25" t="s">
        <v>122</v>
      </c>
      <c r="E30" s="26" t="s">
        <v>45</v>
      </c>
      <c r="F30" s="27" t="s">
        <v>45</v>
      </c>
      <c r="G30" s="28" t="s">
        <v>45</v>
      </c>
      <c r="H30" s="29"/>
      <c r="I30" s="29" t="s">
        <v>46</v>
      </c>
      <c r="J30" s="30">
        <v>10</v>
      </c>
      <c r="K30" s="31">
        <f>587.3</f>
        <v>587.29999999999995</v>
      </c>
      <c r="L30" s="32" t="s">
        <v>995</v>
      </c>
      <c r="M30" s="31">
        <f>591.2</f>
        <v>591.20000000000005</v>
      </c>
      <c r="N30" s="32" t="s">
        <v>995</v>
      </c>
      <c r="O30" s="31">
        <f>503.8</f>
        <v>503.8</v>
      </c>
      <c r="P30" s="32" t="s">
        <v>80</v>
      </c>
      <c r="Q30" s="31">
        <f>515.4</f>
        <v>515.4</v>
      </c>
      <c r="R30" s="32" t="s">
        <v>893</v>
      </c>
      <c r="S30" s="33">
        <f>533</f>
        <v>533</v>
      </c>
      <c r="T30" s="30">
        <f>341259700</f>
        <v>341259700</v>
      </c>
      <c r="U30" s="30">
        <f>130420</f>
        <v>130420</v>
      </c>
      <c r="V30" s="30">
        <f>182449089811</f>
        <v>182449089811</v>
      </c>
      <c r="W30" s="30">
        <f>67438985</f>
        <v>67438985</v>
      </c>
      <c r="X30" s="34">
        <f>20</f>
        <v>20</v>
      </c>
    </row>
    <row r="31" spans="1:24" x14ac:dyDescent="0.15">
      <c r="A31" s="25" t="s">
        <v>1210</v>
      </c>
      <c r="B31" s="25" t="s">
        <v>123</v>
      </c>
      <c r="C31" s="25" t="s">
        <v>124</v>
      </c>
      <c r="D31" s="25" t="s">
        <v>125</v>
      </c>
      <c r="E31" s="26" t="s">
        <v>45</v>
      </c>
      <c r="F31" s="27" t="s">
        <v>45</v>
      </c>
      <c r="G31" s="28" t="s">
        <v>45</v>
      </c>
      <c r="H31" s="29"/>
      <c r="I31" s="29" t="s">
        <v>46</v>
      </c>
      <c r="J31" s="30">
        <v>1</v>
      </c>
      <c r="K31" s="31">
        <f>21145</f>
        <v>21145</v>
      </c>
      <c r="L31" s="32" t="s">
        <v>995</v>
      </c>
      <c r="M31" s="31">
        <f>22340</f>
        <v>22340</v>
      </c>
      <c r="N31" s="32" t="s">
        <v>793</v>
      </c>
      <c r="O31" s="31">
        <f>21145</f>
        <v>21145</v>
      </c>
      <c r="P31" s="32" t="s">
        <v>995</v>
      </c>
      <c r="Q31" s="31">
        <f>22020</f>
        <v>22020</v>
      </c>
      <c r="R31" s="32" t="s">
        <v>893</v>
      </c>
      <c r="S31" s="33">
        <f>21859.25</f>
        <v>21859.25</v>
      </c>
      <c r="T31" s="30">
        <f>7789</f>
        <v>7789</v>
      </c>
      <c r="U31" s="30">
        <f>3</f>
        <v>3</v>
      </c>
      <c r="V31" s="30">
        <f>170177430</f>
        <v>170177430</v>
      </c>
      <c r="W31" s="30">
        <f>66490</f>
        <v>66490</v>
      </c>
      <c r="X31" s="34">
        <f>20</f>
        <v>20</v>
      </c>
    </row>
    <row r="32" spans="1:24" x14ac:dyDescent="0.15">
      <c r="A32" s="25" t="s">
        <v>1210</v>
      </c>
      <c r="B32" s="25" t="s">
        <v>126</v>
      </c>
      <c r="C32" s="25" t="s">
        <v>1037</v>
      </c>
      <c r="D32" s="25" t="s">
        <v>1038</v>
      </c>
      <c r="E32" s="26" t="s">
        <v>45</v>
      </c>
      <c r="F32" s="27" t="s">
        <v>45</v>
      </c>
      <c r="G32" s="28" t="s">
        <v>45</v>
      </c>
      <c r="H32" s="29"/>
      <c r="I32" s="29" t="s">
        <v>46</v>
      </c>
      <c r="J32" s="30">
        <v>1</v>
      </c>
      <c r="K32" s="31">
        <f>28855</f>
        <v>28855</v>
      </c>
      <c r="L32" s="32" t="s">
        <v>995</v>
      </c>
      <c r="M32" s="31">
        <f>33350</f>
        <v>33350</v>
      </c>
      <c r="N32" s="32" t="s">
        <v>80</v>
      </c>
      <c r="O32" s="31">
        <f>28680</f>
        <v>28680</v>
      </c>
      <c r="P32" s="32" t="s">
        <v>995</v>
      </c>
      <c r="Q32" s="31">
        <f>32570</f>
        <v>32570</v>
      </c>
      <c r="R32" s="32" t="s">
        <v>893</v>
      </c>
      <c r="S32" s="33">
        <f>31623.5</f>
        <v>31623.5</v>
      </c>
      <c r="T32" s="30">
        <f>619703</f>
        <v>619703</v>
      </c>
      <c r="U32" s="30">
        <f>2</f>
        <v>2</v>
      </c>
      <c r="V32" s="30">
        <f>19412200345</f>
        <v>19412200345</v>
      </c>
      <c r="W32" s="30">
        <f>64260</f>
        <v>64260</v>
      </c>
      <c r="X32" s="34">
        <f>20</f>
        <v>20</v>
      </c>
    </row>
    <row r="33" spans="1:24" x14ac:dyDescent="0.15">
      <c r="A33" s="25" t="s">
        <v>1210</v>
      </c>
      <c r="B33" s="25" t="s">
        <v>129</v>
      </c>
      <c r="C33" s="25" t="s">
        <v>1039</v>
      </c>
      <c r="D33" s="25" t="s">
        <v>1040</v>
      </c>
      <c r="E33" s="26" t="s">
        <v>45</v>
      </c>
      <c r="F33" s="27" t="s">
        <v>45</v>
      </c>
      <c r="G33" s="28" t="s">
        <v>45</v>
      </c>
      <c r="H33" s="29"/>
      <c r="I33" s="29" t="s">
        <v>46</v>
      </c>
      <c r="J33" s="30">
        <v>1</v>
      </c>
      <c r="K33" s="31">
        <f>625</f>
        <v>625</v>
      </c>
      <c r="L33" s="32" t="s">
        <v>995</v>
      </c>
      <c r="M33" s="31">
        <f>629</f>
        <v>629</v>
      </c>
      <c r="N33" s="32" t="s">
        <v>995</v>
      </c>
      <c r="O33" s="31">
        <f>535</f>
        <v>535</v>
      </c>
      <c r="P33" s="32" t="s">
        <v>80</v>
      </c>
      <c r="Q33" s="31">
        <f>548</f>
        <v>548</v>
      </c>
      <c r="R33" s="32" t="s">
        <v>893</v>
      </c>
      <c r="S33" s="33">
        <f>567</f>
        <v>567</v>
      </c>
      <c r="T33" s="30">
        <f>31989615</f>
        <v>31989615</v>
      </c>
      <c r="U33" s="30">
        <f>20057</f>
        <v>20057</v>
      </c>
      <c r="V33" s="30">
        <f>18128252594</f>
        <v>18128252594</v>
      </c>
      <c r="W33" s="30">
        <f>10911657</f>
        <v>10911657</v>
      </c>
      <c r="X33" s="34">
        <f>20</f>
        <v>20</v>
      </c>
    </row>
    <row r="34" spans="1:24" x14ac:dyDescent="0.15">
      <c r="A34" s="25" t="s">
        <v>1210</v>
      </c>
      <c r="B34" s="25" t="s">
        <v>132</v>
      </c>
      <c r="C34" s="25" t="s">
        <v>1041</v>
      </c>
      <c r="D34" s="25" t="s">
        <v>1042</v>
      </c>
      <c r="E34" s="26" t="s">
        <v>45</v>
      </c>
      <c r="F34" s="27" t="s">
        <v>45</v>
      </c>
      <c r="G34" s="28" t="s">
        <v>45</v>
      </c>
      <c r="H34" s="29"/>
      <c r="I34" s="29" t="s">
        <v>46</v>
      </c>
      <c r="J34" s="30">
        <v>1</v>
      </c>
      <c r="K34" s="31">
        <f>26805</f>
        <v>26805</v>
      </c>
      <c r="L34" s="32" t="s">
        <v>995</v>
      </c>
      <c r="M34" s="31">
        <f>29240</f>
        <v>29240</v>
      </c>
      <c r="N34" s="32" t="s">
        <v>80</v>
      </c>
      <c r="O34" s="31">
        <f>26645</f>
        <v>26645</v>
      </c>
      <c r="P34" s="32" t="s">
        <v>1000</v>
      </c>
      <c r="Q34" s="31">
        <f>28420</f>
        <v>28420</v>
      </c>
      <c r="R34" s="32" t="s">
        <v>893</v>
      </c>
      <c r="S34" s="33">
        <f>28055.25</f>
        <v>28055.25</v>
      </c>
      <c r="T34" s="30">
        <f>167837</f>
        <v>167837</v>
      </c>
      <c r="U34" s="30" t="str">
        <f>"－"</f>
        <v>－</v>
      </c>
      <c r="V34" s="30">
        <f>4693587540</f>
        <v>4693587540</v>
      </c>
      <c r="W34" s="30" t="str">
        <f>"－"</f>
        <v>－</v>
      </c>
      <c r="X34" s="34">
        <f>20</f>
        <v>20</v>
      </c>
    </row>
    <row r="35" spans="1:24" x14ac:dyDescent="0.15">
      <c r="A35" s="25" t="s">
        <v>1210</v>
      </c>
      <c r="B35" s="25" t="s">
        <v>135</v>
      </c>
      <c r="C35" s="25" t="s">
        <v>1043</v>
      </c>
      <c r="D35" s="25" t="s">
        <v>1044</v>
      </c>
      <c r="E35" s="26" t="s">
        <v>45</v>
      </c>
      <c r="F35" s="27" t="s">
        <v>45</v>
      </c>
      <c r="G35" s="28" t="s">
        <v>45</v>
      </c>
      <c r="H35" s="29"/>
      <c r="I35" s="29" t="s">
        <v>46</v>
      </c>
      <c r="J35" s="30">
        <v>1</v>
      </c>
      <c r="K35" s="31">
        <f>843</f>
        <v>843</v>
      </c>
      <c r="L35" s="32" t="s">
        <v>995</v>
      </c>
      <c r="M35" s="31">
        <f>847</f>
        <v>847</v>
      </c>
      <c r="N35" s="32" t="s">
        <v>995</v>
      </c>
      <c r="O35" s="31">
        <f>768</f>
        <v>768</v>
      </c>
      <c r="P35" s="32" t="s">
        <v>80</v>
      </c>
      <c r="Q35" s="31">
        <f>789</f>
        <v>789</v>
      </c>
      <c r="R35" s="32" t="s">
        <v>893</v>
      </c>
      <c r="S35" s="33">
        <f>801.45</f>
        <v>801.45</v>
      </c>
      <c r="T35" s="30">
        <f>1180895</f>
        <v>1180895</v>
      </c>
      <c r="U35" s="30" t="str">
        <f>"－"</f>
        <v>－</v>
      </c>
      <c r="V35" s="30">
        <f>948493111</f>
        <v>948493111</v>
      </c>
      <c r="W35" s="30" t="str">
        <f>"－"</f>
        <v>－</v>
      </c>
      <c r="X35" s="34">
        <f>20</f>
        <v>20</v>
      </c>
    </row>
    <row r="36" spans="1:24" x14ac:dyDescent="0.15">
      <c r="A36" s="25" t="s">
        <v>1210</v>
      </c>
      <c r="B36" s="25" t="s">
        <v>138</v>
      </c>
      <c r="C36" s="25" t="s">
        <v>139</v>
      </c>
      <c r="D36" s="25" t="s">
        <v>140</v>
      </c>
      <c r="E36" s="26" t="s">
        <v>45</v>
      </c>
      <c r="F36" s="27" t="s">
        <v>45</v>
      </c>
      <c r="G36" s="28" t="s">
        <v>45</v>
      </c>
      <c r="H36" s="29"/>
      <c r="I36" s="29" t="s">
        <v>46</v>
      </c>
      <c r="J36" s="30">
        <v>1</v>
      </c>
      <c r="K36" s="31">
        <f>31640</f>
        <v>31640</v>
      </c>
      <c r="L36" s="32" t="s">
        <v>995</v>
      </c>
      <c r="M36" s="31">
        <f>34100</f>
        <v>34100</v>
      </c>
      <c r="N36" s="32" t="s">
        <v>80</v>
      </c>
      <c r="O36" s="31">
        <f>31640</f>
        <v>31640</v>
      </c>
      <c r="P36" s="32" t="s">
        <v>995</v>
      </c>
      <c r="Q36" s="31">
        <f>33720</f>
        <v>33720</v>
      </c>
      <c r="R36" s="32" t="s">
        <v>893</v>
      </c>
      <c r="S36" s="33">
        <f>33227.5</f>
        <v>33227.5</v>
      </c>
      <c r="T36" s="30">
        <f>89022</f>
        <v>89022</v>
      </c>
      <c r="U36" s="30">
        <f>30100</f>
        <v>30100</v>
      </c>
      <c r="V36" s="30">
        <f>2925712040</f>
        <v>2925712040</v>
      </c>
      <c r="W36" s="30">
        <f>974798360</f>
        <v>974798360</v>
      </c>
      <c r="X36" s="34">
        <f>20</f>
        <v>20</v>
      </c>
    </row>
    <row r="37" spans="1:24" x14ac:dyDescent="0.15">
      <c r="A37" s="25" t="s">
        <v>1210</v>
      </c>
      <c r="B37" s="25" t="s">
        <v>171</v>
      </c>
      <c r="C37" s="25" t="s">
        <v>172</v>
      </c>
      <c r="D37" s="25" t="s">
        <v>173</v>
      </c>
      <c r="E37" s="26" t="s">
        <v>45</v>
      </c>
      <c r="F37" s="27" t="s">
        <v>45</v>
      </c>
      <c r="G37" s="28" t="s">
        <v>45</v>
      </c>
      <c r="H37" s="29"/>
      <c r="I37" s="29" t="s">
        <v>46</v>
      </c>
      <c r="J37" s="30">
        <v>1</v>
      </c>
      <c r="K37" s="31">
        <f>31660</f>
        <v>31660</v>
      </c>
      <c r="L37" s="32" t="s">
        <v>995</v>
      </c>
      <c r="M37" s="31">
        <f>34120</f>
        <v>34120</v>
      </c>
      <c r="N37" s="32" t="s">
        <v>80</v>
      </c>
      <c r="O37" s="31">
        <f>31660</f>
        <v>31660</v>
      </c>
      <c r="P37" s="32" t="s">
        <v>995</v>
      </c>
      <c r="Q37" s="31">
        <f>33750</f>
        <v>33750</v>
      </c>
      <c r="R37" s="32" t="s">
        <v>893</v>
      </c>
      <c r="S37" s="33">
        <f>33270</f>
        <v>33270</v>
      </c>
      <c r="T37" s="30">
        <f>299728</f>
        <v>299728</v>
      </c>
      <c r="U37" s="30">
        <f>155366</f>
        <v>155366</v>
      </c>
      <c r="V37" s="30">
        <f>9864218246</f>
        <v>9864218246</v>
      </c>
      <c r="W37" s="30">
        <f>5081298276</f>
        <v>5081298276</v>
      </c>
      <c r="X37" s="34">
        <f>20</f>
        <v>20</v>
      </c>
    </row>
    <row r="38" spans="1:24" x14ac:dyDescent="0.15">
      <c r="A38" s="25" t="s">
        <v>1210</v>
      </c>
      <c r="B38" s="25" t="s">
        <v>174</v>
      </c>
      <c r="C38" s="25" t="s">
        <v>175</v>
      </c>
      <c r="D38" s="25" t="s">
        <v>176</v>
      </c>
      <c r="E38" s="26" t="s">
        <v>45</v>
      </c>
      <c r="F38" s="27" t="s">
        <v>45</v>
      </c>
      <c r="G38" s="28" t="s">
        <v>45</v>
      </c>
      <c r="H38" s="29"/>
      <c r="I38" s="29" t="s">
        <v>46</v>
      </c>
      <c r="J38" s="30">
        <v>10</v>
      </c>
      <c r="K38" s="31">
        <f>1876</f>
        <v>1876</v>
      </c>
      <c r="L38" s="32" t="s">
        <v>995</v>
      </c>
      <c r="M38" s="31">
        <f>1900</f>
        <v>1900</v>
      </c>
      <c r="N38" s="32" t="s">
        <v>78</v>
      </c>
      <c r="O38" s="31">
        <f>1846.5</f>
        <v>1846.5</v>
      </c>
      <c r="P38" s="32" t="s">
        <v>1004</v>
      </c>
      <c r="Q38" s="31">
        <f>1888</f>
        <v>1888</v>
      </c>
      <c r="R38" s="32" t="s">
        <v>893</v>
      </c>
      <c r="S38" s="33">
        <f>1877.1</f>
        <v>1877.1</v>
      </c>
      <c r="T38" s="30">
        <f>5111790</f>
        <v>5111790</v>
      </c>
      <c r="U38" s="30">
        <f>1513830</f>
        <v>1513830</v>
      </c>
      <c r="V38" s="30">
        <f>9574718185</f>
        <v>9574718185</v>
      </c>
      <c r="W38" s="30">
        <f>2827823735</f>
        <v>2827823735</v>
      </c>
      <c r="X38" s="34">
        <f>20</f>
        <v>20</v>
      </c>
    </row>
    <row r="39" spans="1:24" x14ac:dyDescent="0.15">
      <c r="A39" s="25" t="s">
        <v>1210</v>
      </c>
      <c r="B39" s="25" t="s">
        <v>177</v>
      </c>
      <c r="C39" s="25" t="s">
        <v>178</v>
      </c>
      <c r="D39" s="25" t="s">
        <v>179</v>
      </c>
      <c r="E39" s="26" t="s">
        <v>45</v>
      </c>
      <c r="F39" s="27" t="s">
        <v>45</v>
      </c>
      <c r="G39" s="28" t="s">
        <v>45</v>
      </c>
      <c r="H39" s="29"/>
      <c r="I39" s="29" t="s">
        <v>46</v>
      </c>
      <c r="J39" s="30">
        <v>10</v>
      </c>
      <c r="K39" s="31">
        <f>1920.5</f>
        <v>1920.5</v>
      </c>
      <c r="L39" s="32" t="s">
        <v>995</v>
      </c>
      <c r="M39" s="31">
        <f>1978.5</f>
        <v>1978.5</v>
      </c>
      <c r="N39" s="32" t="s">
        <v>793</v>
      </c>
      <c r="O39" s="31">
        <f>1910</f>
        <v>1910</v>
      </c>
      <c r="P39" s="32" t="s">
        <v>1000</v>
      </c>
      <c r="Q39" s="31">
        <f>1970.5</f>
        <v>1970.5</v>
      </c>
      <c r="R39" s="32" t="s">
        <v>893</v>
      </c>
      <c r="S39" s="33">
        <f>1950</f>
        <v>1950</v>
      </c>
      <c r="T39" s="30">
        <f>15350</f>
        <v>15350</v>
      </c>
      <c r="U39" s="30" t="str">
        <f>"－"</f>
        <v>－</v>
      </c>
      <c r="V39" s="30">
        <f>29887155</f>
        <v>29887155</v>
      </c>
      <c r="W39" s="30" t="str">
        <f>"－"</f>
        <v>－</v>
      </c>
      <c r="X39" s="34">
        <f>17</f>
        <v>17</v>
      </c>
    </row>
    <row r="40" spans="1:24" x14ac:dyDescent="0.15">
      <c r="A40" s="25" t="s">
        <v>1210</v>
      </c>
      <c r="B40" s="25" t="s">
        <v>180</v>
      </c>
      <c r="C40" s="25" t="s">
        <v>1045</v>
      </c>
      <c r="D40" s="25" t="s">
        <v>1046</v>
      </c>
      <c r="E40" s="26" t="s">
        <v>45</v>
      </c>
      <c r="F40" s="27" t="s">
        <v>45</v>
      </c>
      <c r="G40" s="28" t="s">
        <v>45</v>
      </c>
      <c r="H40" s="29"/>
      <c r="I40" s="29" t="s">
        <v>46</v>
      </c>
      <c r="J40" s="30">
        <v>1</v>
      </c>
      <c r="K40" s="31">
        <f>3425</f>
        <v>3425</v>
      </c>
      <c r="L40" s="32" t="s">
        <v>995</v>
      </c>
      <c r="M40" s="31">
        <f>3425</f>
        <v>3425</v>
      </c>
      <c r="N40" s="32" t="s">
        <v>995</v>
      </c>
      <c r="O40" s="31">
        <f>3160</f>
        <v>3160</v>
      </c>
      <c r="P40" s="32" t="s">
        <v>80</v>
      </c>
      <c r="Q40" s="31">
        <f>3200</f>
        <v>3200</v>
      </c>
      <c r="R40" s="32" t="s">
        <v>893</v>
      </c>
      <c r="S40" s="33">
        <f>3250.75</f>
        <v>3250.75</v>
      </c>
      <c r="T40" s="30">
        <f>2638744</f>
        <v>2638744</v>
      </c>
      <c r="U40" s="30">
        <f>470028</f>
        <v>470028</v>
      </c>
      <c r="V40" s="30">
        <f>8500730065</f>
        <v>8500730065</v>
      </c>
      <c r="W40" s="30">
        <f>1528273940</f>
        <v>1528273940</v>
      </c>
      <c r="X40" s="34">
        <f>20</f>
        <v>20</v>
      </c>
    </row>
    <row r="41" spans="1:24" x14ac:dyDescent="0.15">
      <c r="A41" s="25" t="s">
        <v>1210</v>
      </c>
      <c r="B41" s="25" t="s">
        <v>183</v>
      </c>
      <c r="C41" s="25" t="s">
        <v>1047</v>
      </c>
      <c r="D41" s="25" t="s">
        <v>1048</v>
      </c>
      <c r="E41" s="26" t="s">
        <v>45</v>
      </c>
      <c r="F41" s="27" t="s">
        <v>45</v>
      </c>
      <c r="G41" s="28" t="s">
        <v>45</v>
      </c>
      <c r="H41" s="29"/>
      <c r="I41" s="29" t="s">
        <v>46</v>
      </c>
      <c r="J41" s="30">
        <v>1</v>
      </c>
      <c r="K41" s="31">
        <f>3865</f>
        <v>3865</v>
      </c>
      <c r="L41" s="32" t="s">
        <v>995</v>
      </c>
      <c r="M41" s="31">
        <f>3875</f>
        <v>3875</v>
      </c>
      <c r="N41" s="32" t="s">
        <v>995</v>
      </c>
      <c r="O41" s="31">
        <f>3700</f>
        <v>3700</v>
      </c>
      <c r="P41" s="32" t="s">
        <v>80</v>
      </c>
      <c r="Q41" s="31">
        <f>3760</f>
        <v>3760</v>
      </c>
      <c r="R41" s="32" t="s">
        <v>893</v>
      </c>
      <c r="S41" s="33">
        <f>3780.25</f>
        <v>3780.25</v>
      </c>
      <c r="T41" s="30">
        <f>121748</f>
        <v>121748</v>
      </c>
      <c r="U41" s="30">
        <f>50000</f>
        <v>50000</v>
      </c>
      <c r="V41" s="30">
        <f>458524795</f>
        <v>458524795</v>
      </c>
      <c r="W41" s="30">
        <f>186415600</f>
        <v>186415600</v>
      </c>
      <c r="X41" s="34">
        <f>20</f>
        <v>20</v>
      </c>
    </row>
    <row r="42" spans="1:24" x14ac:dyDescent="0.15">
      <c r="A42" s="25" t="s">
        <v>1210</v>
      </c>
      <c r="B42" s="25" t="s">
        <v>186</v>
      </c>
      <c r="C42" s="25" t="s">
        <v>187</v>
      </c>
      <c r="D42" s="25" t="s">
        <v>188</v>
      </c>
      <c r="E42" s="26" t="s">
        <v>45</v>
      </c>
      <c r="F42" s="27" t="s">
        <v>45</v>
      </c>
      <c r="G42" s="28" t="s">
        <v>45</v>
      </c>
      <c r="H42" s="29"/>
      <c r="I42" s="29" t="s">
        <v>46</v>
      </c>
      <c r="J42" s="30">
        <v>1</v>
      </c>
      <c r="K42" s="31">
        <f>22000</f>
        <v>22000</v>
      </c>
      <c r="L42" s="32" t="s">
        <v>995</v>
      </c>
      <c r="M42" s="31">
        <f>25430</f>
        <v>25430</v>
      </c>
      <c r="N42" s="32" t="s">
        <v>80</v>
      </c>
      <c r="O42" s="31">
        <f>21870</f>
        <v>21870</v>
      </c>
      <c r="P42" s="32" t="s">
        <v>995</v>
      </c>
      <c r="Q42" s="31">
        <f>24840</f>
        <v>24840</v>
      </c>
      <c r="R42" s="32" t="s">
        <v>893</v>
      </c>
      <c r="S42" s="33">
        <f>24106.5</f>
        <v>24106.5</v>
      </c>
      <c r="T42" s="30">
        <f>8032370</f>
        <v>8032370</v>
      </c>
      <c r="U42" s="30">
        <f>17284</f>
        <v>17284</v>
      </c>
      <c r="V42" s="30">
        <f>193005610595</f>
        <v>193005610595</v>
      </c>
      <c r="W42" s="30">
        <f>410757680</f>
        <v>410757680</v>
      </c>
      <c r="X42" s="34">
        <f>20</f>
        <v>20</v>
      </c>
    </row>
    <row r="43" spans="1:24" x14ac:dyDescent="0.15">
      <c r="A43" s="25" t="s">
        <v>1210</v>
      </c>
      <c r="B43" s="25" t="s">
        <v>189</v>
      </c>
      <c r="C43" s="25" t="s">
        <v>190</v>
      </c>
      <c r="D43" s="25" t="s">
        <v>191</v>
      </c>
      <c r="E43" s="26" t="s">
        <v>45</v>
      </c>
      <c r="F43" s="27" t="s">
        <v>45</v>
      </c>
      <c r="G43" s="28" t="s">
        <v>45</v>
      </c>
      <c r="H43" s="29"/>
      <c r="I43" s="29" t="s">
        <v>46</v>
      </c>
      <c r="J43" s="30">
        <v>1</v>
      </c>
      <c r="K43" s="31">
        <f>975</f>
        <v>975</v>
      </c>
      <c r="L43" s="32" t="s">
        <v>995</v>
      </c>
      <c r="M43" s="31">
        <f>975</f>
        <v>975</v>
      </c>
      <c r="N43" s="32" t="s">
        <v>995</v>
      </c>
      <c r="O43" s="31">
        <f>830</f>
        <v>830</v>
      </c>
      <c r="P43" s="32" t="s">
        <v>80</v>
      </c>
      <c r="Q43" s="31">
        <f>849</f>
        <v>849</v>
      </c>
      <c r="R43" s="32" t="s">
        <v>893</v>
      </c>
      <c r="S43" s="33">
        <f>878.6</f>
        <v>878.6</v>
      </c>
      <c r="T43" s="30">
        <f>177807352</f>
        <v>177807352</v>
      </c>
      <c r="U43" s="30">
        <f>35712</f>
        <v>35712</v>
      </c>
      <c r="V43" s="30">
        <f>156591446689</f>
        <v>156591446689</v>
      </c>
      <c r="W43" s="30">
        <f>30633688</f>
        <v>30633688</v>
      </c>
      <c r="X43" s="34">
        <f>20</f>
        <v>20</v>
      </c>
    </row>
    <row r="44" spans="1:24" x14ac:dyDescent="0.15">
      <c r="A44" s="25" t="s">
        <v>1210</v>
      </c>
      <c r="B44" s="25" t="s">
        <v>192</v>
      </c>
      <c r="C44" s="25" t="s">
        <v>1049</v>
      </c>
      <c r="D44" s="25" t="s">
        <v>1050</v>
      </c>
      <c r="E44" s="26" t="s">
        <v>45</v>
      </c>
      <c r="F44" s="27" t="s">
        <v>45</v>
      </c>
      <c r="G44" s="28" t="s">
        <v>45</v>
      </c>
      <c r="H44" s="29"/>
      <c r="I44" s="29" t="s">
        <v>46</v>
      </c>
      <c r="J44" s="30">
        <v>1</v>
      </c>
      <c r="K44" s="31">
        <f>21115</f>
        <v>21115</v>
      </c>
      <c r="L44" s="32" t="s">
        <v>995</v>
      </c>
      <c r="M44" s="31">
        <f>23315</f>
        <v>23315</v>
      </c>
      <c r="N44" s="32" t="s">
        <v>80</v>
      </c>
      <c r="O44" s="31">
        <f>21065</f>
        <v>21065</v>
      </c>
      <c r="P44" s="32" t="s">
        <v>995</v>
      </c>
      <c r="Q44" s="31">
        <f>22525</f>
        <v>22525</v>
      </c>
      <c r="R44" s="32" t="s">
        <v>893</v>
      </c>
      <c r="S44" s="33">
        <f>22348.25</f>
        <v>22348.25</v>
      </c>
      <c r="T44" s="30">
        <f>2634</f>
        <v>2634</v>
      </c>
      <c r="U44" s="30" t="str">
        <f>"－"</f>
        <v>－</v>
      </c>
      <c r="V44" s="30">
        <f>58313320</f>
        <v>58313320</v>
      </c>
      <c r="W44" s="30" t="str">
        <f>"－"</f>
        <v>－</v>
      </c>
      <c r="X44" s="34">
        <f>20</f>
        <v>20</v>
      </c>
    </row>
    <row r="45" spans="1:24" x14ac:dyDescent="0.15">
      <c r="A45" s="25" t="s">
        <v>1210</v>
      </c>
      <c r="B45" s="25" t="s">
        <v>195</v>
      </c>
      <c r="C45" s="25" t="s">
        <v>1051</v>
      </c>
      <c r="D45" s="25" t="s">
        <v>1052</v>
      </c>
      <c r="E45" s="26" t="s">
        <v>45</v>
      </c>
      <c r="F45" s="27" t="s">
        <v>45</v>
      </c>
      <c r="G45" s="28" t="s">
        <v>45</v>
      </c>
      <c r="H45" s="29"/>
      <c r="I45" s="29" t="s">
        <v>46</v>
      </c>
      <c r="J45" s="30">
        <v>1</v>
      </c>
      <c r="K45" s="31">
        <f>3700</f>
        <v>3700</v>
      </c>
      <c r="L45" s="32" t="s">
        <v>78</v>
      </c>
      <c r="M45" s="31">
        <f>3745</f>
        <v>3745</v>
      </c>
      <c r="N45" s="32" t="s">
        <v>1004</v>
      </c>
      <c r="O45" s="31">
        <f>3535</f>
        <v>3535</v>
      </c>
      <c r="P45" s="32" t="s">
        <v>80</v>
      </c>
      <c r="Q45" s="31">
        <f>3600</f>
        <v>3600</v>
      </c>
      <c r="R45" s="32" t="s">
        <v>255</v>
      </c>
      <c r="S45" s="33">
        <f>3623.57</f>
        <v>3623.57</v>
      </c>
      <c r="T45" s="30">
        <f>296</f>
        <v>296</v>
      </c>
      <c r="U45" s="30" t="str">
        <f>"－"</f>
        <v>－</v>
      </c>
      <c r="V45" s="30">
        <f>1061550</f>
        <v>1061550</v>
      </c>
      <c r="W45" s="30" t="str">
        <f>"－"</f>
        <v>－</v>
      </c>
      <c r="X45" s="34">
        <f>7</f>
        <v>7</v>
      </c>
    </row>
    <row r="46" spans="1:24" x14ac:dyDescent="0.15">
      <c r="A46" s="25" t="s">
        <v>1210</v>
      </c>
      <c r="B46" s="25" t="s">
        <v>198</v>
      </c>
      <c r="C46" s="25" t="s">
        <v>1053</v>
      </c>
      <c r="D46" s="25" t="s">
        <v>1054</v>
      </c>
      <c r="E46" s="26" t="s">
        <v>45</v>
      </c>
      <c r="F46" s="27" t="s">
        <v>45</v>
      </c>
      <c r="G46" s="28" t="s">
        <v>45</v>
      </c>
      <c r="H46" s="29"/>
      <c r="I46" s="29" t="s">
        <v>46</v>
      </c>
      <c r="J46" s="30">
        <v>1</v>
      </c>
      <c r="K46" s="31">
        <f>1099</f>
        <v>1099</v>
      </c>
      <c r="L46" s="32" t="s">
        <v>995</v>
      </c>
      <c r="M46" s="31">
        <f>1101</f>
        <v>1101</v>
      </c>
      <c r="N46" s="32" t="s">
        <v>995</v>
      </c>
      <c r="O46" s="31">
        <f>985</f>
        <v>985</v>
      </c>
      <c r="P46" s="32" t="s">
        <v>255</v>
      </c>
      <c r="Q46" s="31">
        <f>1013</f>
        <v>1013</v>
      </c>
      <c r="R46" s="32" t="s">
        <v>893</v>
      </c>
      <c r="S46" s="33">
        <f>1034.15</f>
        <v>1034.1500000000001</v>
      </c>
      <c r="T46" s="30">
        <f>30129</f>
        <v>30129</v>
      </c>
      <c r="U46" s="30" t="str">
        <f>"－"</f>
        <v>－</v>
      </c>
      <c r="V46" s="30">
        <f>31224678</f>
        <v>31224678</v>
      </c>
      <c r="W46" s="30" t="str">
        <f>"－"</f>
        <v>－</v>
      </c>
      <c r="X46" s="34">
        <f>20</f>
        <v>20</v>
      </c>
    </row>
    <row r="47" spans="1:24" x14ac:dyDescent="0.15">
      <c r="A47" s="25" t="s">
        <v>1210</v>
      </c>
      <c r="B47" s="25" t="s">
        <v>207</v>
      </c>
      <c r="C47" s="25" t="s">
        <v>208</v>
      </c>
      <c r="D47" s="25" t="s">
        <v>209</v>
      </c>
      <c r="E47" s="26" t="s">
        <v>45</v>
      </c>
      <c r="F47" s="27" t="s">
        <v>45</v>
      </c>
      <c r="G47" s="28" t="s">
        <v>45</v>
      </c>
      <c r="H47" s="29"/>
      <c r="I47" s="29" t="s">
        <v>46</v>
      </c>
      <c r="J47" s="30">
        <v>10</v>
      </c>
      <c r="K47" s="31">
        <f>1076</f>
        <v>1076</v>
      </c>
      <c r="L47" s="32" t="s">
        <v>995</v>
      </c>
      <c r="M47" s="31">
        <f>1087.5</f>
        <v>1087.5</v>
      </c>
      <c r="N47" s="32" t="s">
        <v>999</v>
      </c>
      <c r="O47" s="31">
        <f>961.8</f>
        <v>961.8</v>
      </c>
      <c r="P47" s="32" t="s">
        <v>793</v>
      </c>
      <c r="Q47" s="31">
        <f>994.9</f>
        <v>994.9</v>
      </c>
      <c r="R47" s="32" t="s">
        <v>893</v>
      </c>
      <c r="S47" s="33">
        <f>1011.51</f>
        <v>1011.51</v>
      </c>
      <c r="T47" s="30">
        <f>107730</f>
        <v>107730</v>
      </c>
      <c r="U47" s="30">
        <f>15000</f>
        <v>15000</v>
      </c>
      <c r="V47" s="30">
        <f>108698201</f>
        <v>108698201</v>
      </c>
      <c r="W47" s="30">
        <f>14715000</f>
        <v>14715000</v>
      </c>
      <c r="X47" s="34">
        <f>20</f>
        <v>20</v>
      </c>
    </row>
    <row r="48" spans="1:24" x14ac:dyDescent="0.15">
      <c r="A48" s="25" t="s">
        <v>1210</v>
      </c>
      <c r="B48" s="25" t="s">
        <v>210</v>
      </c>
      <c r="C48" s="25" t="s">
        <v>211</v>
      </c>
      <c r="D48" s="25" t="s">
        <v>212</v>
      </c>
      <c r="E48" s="26" t="s">
        <v>45</v>
      </c>
      <c r="F48" s="27" t="s">
        <v>45</v>
      </c>
      <c r="G48" s="28" t="s">
        <v>45</v>
      </c>
      <c r="H48" s="29"/>
      <c r="I48" s="29" t="s">
        <v>46</v>
      </c>
      <c r="J48" s="30">
        <v>1</v>
      </c>
      <c r="K48" s="31">
        <f>449</f>
        <v>449</v>
      </c>
      <c r="L48" s="32" t="s">
        <v>995</v>
      </c>
      <c r="M48" s="31">
        <f>452</f>
        <v>452</v>
      </c>
      <c r="N48" s="32" t="s">
        <v>995</v>
      </c>
      <c r="O48" s="31">
        <f>395</f>
        <v>395</v>
      </c>
      <c r="P48" s="32" t="s">
        <v>80</v>
      </c>
      <c r="Q48" s="31">
        <f>405</f>
        <v>405</v>
      </c>
      <c r="R48" s="32" t="s">
        <v>893</v>
      </c>
      <c r="S48" s="33">
        <f>417.35</f>
        <v>417.35</v>
      </c>
      <c r="T48" s="30">
        <f>27131</f>
        <v>27131</v>
      </c>
      <c r="U48" s="30" t="str">
        <f>"－"</f>
        <v>－</v>
      </c>
      <c r="V48" s="30">
        <f>11434587</f>
        <v>11434587</v>
      </c>
      <c r="W48" s="30" t="str">
        <f>"－"</f>
        <v>－</v>
      </c>
      <c r="X48" s="34">
        <f>20</f>
        <v>20</v>
      </c>
    </row>
    <row r="49" spans="1:24" x14ac:dyDescent="0.15">
      <c r="A49" s="25" t="s">
        <v>1210</v>
      </c>
      <c r="B49" s="25" t="s">
        <v>213</v>
      </c>
      <c r="C49" s="25" t="s">
        <v>214</v>
      </c>
      <c r="D49" s="25" t="s">
        <v>215</v>
      </c>
      <c r="E49" s="26" t="s">
        <v>45</v>
      </c>
      <c r="F49" s="27" t="s">
        <v>45</v>
      </c>
      <c r="G49" s="28" t="s">
        <v>45</v>
      </c>
      <c r="H49" s="29"/>
      <c r="I49" s="29" t="s">
        <v>46</v>
      </c>
      <c r="J49" s="30">
        <v>10</v>
      </c>
      <c r="K49" s="31">
        <f>2353</f>
        <v>2353</v>
      </c>
      <c r="L49" s="32" t="s">
        <v>995</v>
      </c>
      <c r="M49" s="31">
        <f>2451</f>
        <v>2451</v>
      </c>
      <c r="N49" s="32" t="s">
        <v>793</v>
      </c>
      <c r="O49" s="31">
        <f>2349</f>
        <v>2349</v>
      </c>
      <c r="P49" s="32" t="s">
        <v>1000</v>
      </c>
      <c r="Q49" s="31">
        <f>2427.5</f>
        <v>2427.5</v>
      </c>
      <c r="R49" s="32" t="s">
        <v>893</v>
      </c>
      <c r="S49" s="33">
        <f>2410.13</f>
        <v>2410.13</v>
      </c>
      <c r="T49" s="30">
        <f>1023830</f>
        <v>1023830</v>
      </c>
      <c r="U49" s="30">
        <f>458500</f>
        <v>458500</v>
      </c>
      <c r="V49" s="30">
        <f>2464776490</f>
        <v>2464776490</v>
      </c>
      <c r="W49" s="30">
        <f>1101963100</f>
        <v>1101963100</v>
      </c>
      <c r="X49" s="34">
        <f>20</f>
        <v>20</v>
      </c>
    </row>
    <row r="50" spans="1:24" x14ac:dyDescent="0.15">
      <c r="A50" s="25" t="s">
        <v>1210</v>
      </c>
      <c r="B50" s="25" t="s">
        <v>216</v>
      </c>
      <c r="C50" s="25" t="s">
        <v>217</v>
      </c>
      <c r="D50" s="25" t="s">
        <v>218</v>
      </c>
      <c r="E50" s="26" t="s">
        <v>45</v>
      </c>
      <c r="F50" s="27" t="s">
        <v>45</v>
      </c>
      <c r="G50" s="28" t="s">
        <v>45</v>
      </c>
      <c r="H50" s="29"/>
      <c r="I50" s="29" t="s">
        <v>46</v>
      </c>
      <c r="J50" s="30">
        <v>1</v>
      </c>
      <c r="K50" s="31">
        <f>21025</f>
        <v>21025</v>
      </c>
      <c r="L50" s="32" t="s">
        <v>995</v>
      </c>
      <c r="M50" s="31">
        <f>22045</f>
        <v>22045</v>
      </c>
      <c r="N50" s="32" t="s">
        <v>793</v>
      </c>
      <c r="O50" s="31">
        <f>21025</f>
        <v>21025</v>
      </c>
      <c r="P50" s="32" t="s">
        <v>995</v>
      </c>
      <c r="Q50" s="31">
        <f>21805</f>
        <v>21805</v>
      </c>
      <c r="R50" s="32" t="s">
        <v>893</v>
      </c>
      <c r="S50" s="33">
        <f>21619</f>
        <v>21619</v>
      </c>
      <c r="T50" s="30">
        <f>5685</f>
        <v>5685</v>
      </c>
      <c r="U50" s="30" t="str">
        <f>"－"</f>
        <v>－</v>
      </c>
      <c r="V50" s="30">
        <f>123805270</f>
        <v>123805270</v>
      </c>
      <c r="W50" s="30" t="str">
        <f>"－"</f>
        <v>－</v>
      </c>
      <c r="X50" s="34">
        <f>20</f>
        <v>20</v>
      </c>
    </row>
    <row r="51" spans="1:24" x14ac:dyDescent="0.15">
      <c r="A51" s="25" t="s">
        <v>1210</v>
      </c>
      <c r="B51" s="25" t="s">
        <v>219</v>
      </c>
      <c r="C51" s="25" t="s">
        <v>220</v>
      </c>
      <c r="D51" s="25" t="s">
        <v>221</v>
      </c>
      <c r="E51" s="26" t="s">
        <v>45</v>
      </c>
      <c r="F51" s="27" t="s">
        <v>45</v>
      </c>
      <c r="G51" s="28" t="s">
        <v>45</v>
      </c>
      <c r="H51" s="29"/>
      <c r="I51" s="29" t="s">
        <v>46</v>
      </c>
      <c r="J51" s="30">
        <v>1</v>
      </c>
      <c r="K51" s="31">
        <f>2376</f>
        <v>2376</v>
      </c>
      <c r="L51" s="32" t="s">
        <v>995</v>
      </c>
      <c r="M51" s="31">
        <f>2484</f>
        <v>2484</v>
      </c>
      <c r="N51" s="32" t="s">
        <v>80</v>
      </c>
      <c r="O51" s="31">
        <f>2371</f>
        <v>2371</v>
      </c>
      <c r="P51" s="32" t="s">
        <v>995</v>
      </c>
      <c r="Q51" s="31">
        <f>2451</f>
        <v>2451</v>
      </c>
      <c r="R51" s="32" t="s">
        <v>893</v>
      </c>
      <c r="S51" s="33">
        <f>2433.35</f>
        <v>2433.35</v>
      </c>
      <c r="T51" s="30">
        <f>17822619</f>
        <v>17822619</v>
      </c>
      <c r="U51" s="30">
        <f>13024514</f>
        <v>13024514</v>
      </c>
      <c r="V51" s="30">
        <f>43526366120</f>
        <v>43526366120</v>
      </c>
      <c r="W51" s="30">
        <f>31856543521</f>
        <v>31856543521</v>
      </c>
      <c r="X51" s="34">
        <f>20</f>
        <v>20</v>
      </c>
    </row>
    <row r="52" spans="1:24" x14ac:dyDescent="0.15">
      <c r="A52" s="25" t="s">
        <v>1210</v>
      </c>
      <c r="B52" s="25" t="s">
        <v>222</v>
      </c>
      <c r="C52" s="25" t="s">
        <v>223</v>
      </c>
      <c r="D52" s="25" t="s">
        <v>224</v>
      </c>
      <c r="E52" s="26" t="s">
        <v>45</v>
      </c>
      <c r="F52" s="27" t="s">
        <v>45</v>
      </c>
      <c r="G52" s="28" t="s">
        <v>45</v>
      </c>
      <c r="H52" s="29"/>
      <c r="I52" s="29" t="s">
        <v>46</v>
      </c>
      <c r="J52" s="30">
        <v>1</v>
      </c>
      <c r="K52" s="31">
        <f>1901</f>
        <v>1901</v>
      </c>
      <c r="L52" s="32" t="s">
        <v>995</v>
      </c>
      <c r="M52" s="31">
        <f>1923</f>
        <v>1923</v>
      </c>
      <c r="N52" s="32" t="s">
        <v>78</v>
      </c>
      <c r="O52" s="31">
        <f>1848</f>
        <v>1848</v>
      </c>
      <c r="P52" s="32" t="s">
        <v>1004</v>
      </c>
      <c r="Q52" s="31">
        <f>1892</f>
        <v>1892</v>
      </c>
      <c r="R52" s="32" t="s">
        <v>893</v>
      </c>
      <c r="S52" s="33">
        <f>1884.3</f>
        <v>1884.3</v>
      </c>
      <c r="T52" s="30">
        <f>13658501</f>
        <v>13658501</v>
      </c>
      <c r="U52" s="30">
        <f>7034362</f>
        <v>7034362</v>
      </c>
      <c r="V52" s="30">
        <f>25748951583</f>
        <v>25748951583</v>
      </c>
      <c r="W52" s="30">
        <f>13244150096</f>
        <v>13244150096</v>
      </c>
      <c r="X52" s="34">
        <f>20</f>
        <v>20</v>
      </c>
    </row>
    <row r="53" spans="1:24" x14ac:dyDescent="0.15">
      <c r="A53" s="25" t="s">
        <v>1210</v>
      </c>
      <c r="B53" s="25" t="s">
        <v>225</v>
      </c>
      <c r="C53" s="25" t="s">
        <v>226</v>
      </c>
      <c r="D53" s="25" t="s">
        <v>227</v>
      </c>
      <c r="E53" s="26" t="s">
        <v>45</v>
      </c>
      <c r="F53" s="27" t="s">
        <v>45</v>
      </c>
      <c r="G53" s="28" t="s">
        <v>45</v>
      </c>
      <c r="H53" s="29"/>
      <c r="I53" s="29" t="s">
        <v>46</v>
      </c>
      <c r="J53" s="30">
        <v>1</v>
      </c>
      <c r="K53" s="31">
        <f>2262</f>
        <v>2262</v>
      </c>
      <c r="L53" s="32" t="s">
        <v>995</v>
      </c>
      <c r="M53" s="31">
        <f>2332</f>
        <v>2332</v>
      </c>
      <c r="N53" s="32" t="s">
        <v>255</v>
      </c>
      <c r="O53" s="31">
        <f>2235</f>
        <v>2235</v>
      </c>
      <c r="P53" s="32" t="s">
        <v>1000</v>
      </c>
      <c r="Q53" s="31">
        <f>2294</f>
        <v>2294</v>
      </c>
      <c r="R53" s="32" t="s">
        <v>893</v>
      </c>
      <c r="S53" s="33">
        <f>2294.9</f>
        <v>2294.9</v>
      </c>
      <c r="T53" s="30">
        <f>7220</f>
        <v>7220</v>
      </c>
      <c r="U53" s="30">
        <f>2</f>
        <v>2</v>
      </c>
      <c r="V53" s="30">
        <f>16669978</f>
        <v>16669978</v>
      </c>
      <c r="W53" s="30">
        <f>4613</f>
        <v>4613</v>
      </c>
      <c r="X53" s="34">
        <f>20</f>
        <v>20</v>
      </c>
    </row>
    <row r="54" spans="1:24" x14ac:dyDescent="0.15">
      <c r="A54" s="25" t="s">
        <v>1210</v>
      </c>
      <c r="B54" s="25" t="s">
        <v>228</v>
      </c>
      <c r="C54" s="25" t="s">
        <v>229</v>
      </c>
      <c r="D54" s="25" t="s">
        <v>230</v>
      </c>
      <c r="E54" s="26" t="s">
        <v>45</v>
      </c>
      <c r="F54" s="27" t="s">
        <v>45</v>
      </c>
      <c r="G54" s="28" t="s">
        <v>45</v>
      </c>
      <c r="H54" s="29"/>
      <c r="I54" s="29" t="s">
        <v>46</v>
      </c>
      <c r="J54" s="30">
        <v>1</v>
      </c>
      <c r="K54" s="31">
        <f>3065</f>
        <v>3065</v>
      </c>
      <c r="L54" s="32" t="s">
        <v>995</v>
      </c>
      <c r="M54" s="31">
        <f>3230</f>
        <v>3230</v>
      </c>
      <c r="N54" s="32" t="s">
        <v>80</v>
      </c>
      <c r="O54" s="31">
        <f>3050</f>
        <v>3050</v>
      </c>
      <c r="P54" s="32" t="s">
        <v>995</v>
      </c>
      <c r="Q54" s="31">
        <f>3170</f>
        <v>3170</v>
      </c>
      <c r="R54" s="32" t="s">
        <v>893</v>
      </c>
      <c r="S54" s="33">
        <f>3149.25</f>
        <v>3149.25</v>
      </c>
      <c r="T54" s="30">
        <f>710755</f>
        <v>710755</v>
      </c>
      <c r="U54" s="30">
        <f>322891</f>
        <v>322891</v>
      </c>
      <c r="V54" s="30">
        <f>2235874397</f>
        <v>2235874397</v>
      </c>
      <c r="W54" s="30">
        <f>1013501227</f>
        <v>1013501227</v>
      </c>
      <c r="X54" s="34">
        <f>20</f>
        <v>20</v>
      </c>
    </row>
    <row r="55" spans="1:24" x14ac:dyDescent="0.15">
      <c r="A55" s="25" t="s">
        <v>1210</v>
      </c>
      <c r="B55" s="25" t="s">
        <v>231</v>
      </c>
      <c r="C55" s="25" t="s">
        <v>1055</v>
      </c>
      <c r="D55" s="25" t="s">
        <v>1056</v>
      </c>
      <c r="E55" s="26" t="s">
        <v>45</v>
      </c>
      <c r="F55" s="27" t="s">
        <v>45</v>
      </c>
      <c r="G55" s="28" t="s">
        <v>45</v>
      </c>
      <c r="H55" s="29"/>
      <c r="I55" s="29" t="s">
        <v>46</v>
      </c>
      <c r="J55" s="30">
        <v>1</v>
      </c>
      <c r="K55" s="31">
        <f>29610</f>
        <v>29610</v>
      </c>
      <c r="L55" s="32" t="s">
        <v>999</v>
      </c>
      <c r="M55" s="31">
        <f>29610</f>
        <v>29610</v>
      </c>
      <c r="N55" s="32" t="s">
        <v>999</v>
      </c>
      <c r="O55" s="31">
        <f>29440</f>
        <v>29440</v>
      </c>
      <c r="P55" s="32" t="s">
        <v>56</v>
      </c>
      <c r="Q55" s="31">
        <f>29440</f>
        <v>29440</v>
      </c>
      <c r="R55" s="32" t="s">
        <v>56</v>
      </c>
      <c r="S55" s="33">
        <f>29525</f>
        <v>29525</v>
      </c>
      <c r="T55" s="30">
        <f>5</f>
        <v>5</v>
      </c>
      <c r="U55" s="30" t="str">
        <f>"－"</f>
        <v>－</v>
      </c>
      <c r="V55" s="30">
        <f>147590</f>
        <v>147590</v>
      </c>
      <c r="W55" s="30" t="str">
        <f>"－"</f>
        <v>－</v>
      </c>
      <c r="X55" s="34">
        <f>2</f>
        <v>2</v>
      </c>
    </row>
    <row r="56" spans="1:24" x14ac:dyDescent="0.15">
      <c r="A56" s="25" t="s">
        <v>1210</v>
      </c>
      <c r="B56" s="25" t="s">
        <v>234</v>
      </c>
      <c r="C56" s="25" t="s">
        <v>235</v>
      </c>
      <c r="D56" s="25" t="s">
        <v>236</v>
      </c>
      <c r="E56" s="26" t="s">
        <v>45</v>
      </c>
      <c r="F56" s="27" t="s">
        <v>45</v>
      </c>
      <c r="G56" s="28" t="s">
        <v>45</v>
      </c>
      <c r="H56" s="29"/>
      <c r="I56" s="29" t="s">
        <v>46</v>
      </c>
      <c r="J56" s="30">
        <v>1</v>
      </c>
      <c r="K56" s="31">
        <f>22595</f>
        <v>22595</v>
      </c>
      <c r="L56" s="32" t="s">
        <v>995</v>
      </c>
      <c r="M56" s="31">
        <f>24050</f>
        <v>24050</v>
      </c>
      <c r="N56" s="32" t="s">
        <v>255</v>
      </c>
      <c r="O56" s="31">
        <f>22125</f>
        <v>22125</v>
      </c>
      <c r="P56" s="32" t="s">
        <v>999</v>
      </c>
      <c r="Q56" s="31">
        <f>24050</f>
        <v>24050</v>
      </c>
      <c r="R56" s="32" t="s">
        <v>255</v>
      </c>
      <c r="S56" s="33">
        <f>23462.5</f>
        <v>23462.5</v>
      </c>
      <c r="T56" s="30">
        <f>185</f>
        <v>185</v>
      </c>
      <c r="U56" s="30" t="str">
        <f>"－"</f>
        <v>－</v>
      </c>
      <c r="V56" s="30">
        <f>4346535</f>
        <v>4346535</v>
      </c>
      <c r="W56" s="30" t="str">
        <f>"－"</f>
        <v>－</v>
      </c>
      <c r="X56" s="34">
        <f>6</f>
        <v>6</v>
      </c>
    </row>
    <row r="57" spans="1:24" x14ac:dyDescent="0.15">
      <c r="A57" s="25" t="s">
        <v>1210</v>
      </c>
      <c r="B57" s="25" t="s">
        <v>237</v>
      </c>
      <c r="C57" s="25" t="s">
        <v>238</v>
      </c>
      <c r="D57" s="25" t="s">
        <v>239</v>
      </c>
      <c r="E57" s="26" t="s">
        <v>45</v>
      </c>
      <c r="F57" s="27" t="s">
        <v>45</v>
      </c>
      <c r="G57" s="28" t="s">
        <v>45</v>
      </c>
      <c r="H57" s="29"/>
      <c r="I57" s="29" t="s">
        <v>46</v>
      </c>
      <c r="J57" s="30">
        <v>1</v>
      </c>
      <c r="K57" s="31">
        <f>2398</f>
        <v>2398</v>
      </c>
      <c r="L57" s="32" t="s">
        <v>995</v>
      </c>
      <c r="M57" s="31">
        <f>2481</f>
        <v>2481</v>
      </c>
      <c r="N57" s="32" t="s">
        <v>255</v>
      </c>
      <c r="O57" s="31">
        <f>2389</f>
        <v>2389</v>
      </c>
      <c r="P57" s="32" t="s">
        <v>1000</v>
      </c>
      <c r="Q57" s="31">
        <f>2448</f>
        <v>2448</v>
      </c>
      <c r="R57" s="32" t="s">
        <v>1017</v>
      </c>
      <c r="S57" s="33">
        <f>2438.68</f>
        <v>2438.6799999999998</v>
      </c>
      <c r="T57" s="30">
        <f>326</f>
        <v>326</v>
      </c>
      <c r="U57" s="30" t="str">
        <f>"－"</f>
        <v>－</v>
      </c>
      <c r="V57" s="30">
        <f>796553</f>
        <v>796553</v>
      </c>
      <c r="W57" s="30" t="str">
        <f>"－"</f>
        <v>－</v>
      </c>
      <c r="X57" s="34">
        <f>19</f>
        <v>19</v>
      </c>
    </row>
    <row r="58" spans="1:24" x14ac:dyDescent="0.15">
      <c r="A58" s="25" t="s">
        <v>1210</v>
      </c>
      <c r="B58" s="25" t="s">
        <v>240</v>
      </c>
      <c r="C58" s="25" t="s">
        <v>241</v>
      </c>
      <c r="D58" s="25" t="s">
        <v>242</v>
      </c>
      <c r="E58" s="26" t="s">
        <v>45</v>
      </c>
      <c r="F58" s="27" t="s">
        <v>45</v>
      </c>
      <c r="G58" s="28" t="s">
        <v>45</v>
      </c>
      <c r="H58" s="29"/>
      <c r="I58" s="29" t="s">
        <v>46</v>
      </c>
      <c r="J58" s="30">
        <v>1</v>
      </c>
      <c r="K58" s="31">
        <f>1688</f>
        <v>1688</v>
      </c>
      <c r="L58" s="32" t="s">
        <v>995</v>
      </c>
      <c r="M58" s="31">
        <f>1768</f>
        <v>1768</v>
      </c>
      <c r="N58" s="32" t="s">
        <v>893</v>
      </c>
      <c r="O58" s="31">
        <f>1686</f>
        <v>1686</v>
      </c>
      <c r="P58" s="32" t="s">
        <v>995</v>
      </c>
      <c r="Q58" s="31">
        <f>1762</f>
        <v>1762</v>
      </c>
      <c r="R58" s="32" t="s">
        <v>893</v>
      </c>
      <c r="S58" s="33">
        <f>1735.35</f>
        <v>1735.35</v>
      </c>
      <c r="T58" s="30">
        <f>6454644</f>
        <v>6454644</v>
      </c>
      <c r="U58" s="30">
        <f>3581680</f>
        <v>3581680</v>
      </c>
      <c r="V58" s="30">
        <f>11126855200</f>
        <v>11126855200</v>
      </c>
      <c r="W58" s="30">
        <f>6129563591</f>
        <v>6129563591</v>
      </c>
      <c r="X58" s="34">
        <f>20</f>
        <v>20</v>
      </c>
    </row>
    <row r="59" spans="1:24" x14ac:dyDescent="0.15">
      <c r="A59" s="25" t="s">
        <v>1210</v>
      </c>
      <c r="B59" s="25" t="s">
        <v>243</v>
      </c>
      <c r="C59" s="25" t="s">
        <v>244</v>
      </c>
      <c r="D59" s="25" t="s">
        <v>245</v>
      </c>
      <c r="E59" s="26" t="s">
        <v>45</v>
      </c>
      <c r="F59" s="27" t="s">
        <v>45</v>
      </c>
      <c r="G59" s="28" t="s">
        <v>45</v>
      </c>
      <c r="H59" s="29"/>
      <c r="I59" s="29" t="s">
        <v>46</v>
      </c>
      <c r="J59" s="30">
        <v>1</v>
      </c>
      <c r="K59" s="31">
        <f>2371</f>
        <v>2371</v>
      </c>
      <c r="L59" s="32" t="s">
        <v>995</v>
      </c>
      <c r="M59" s="31">
        <f>2600</f>
        <v>2600</v>
      </c>
      <c r="N59" s="32" t="s">
        <v>792</v>
      </c>
      <c r="O59" s="31">
        <f>2352</f>
        <v>2352</v>
      </c>
      <c r="P59" s="32" t="s">
        <v>875</v>
      </c>
      <c r="Q59" s="31">
        <f>2461</f>
        <v>2461</v>
      </c>
      <c r="R59" s="32" t="s">
        <v>893</v>
      </c>
      <c r="S59" s="33">
        <f>2458</f>
        <v>2458</v>
      </c>
      <c r="T59" s="30">
        <f>1859</f>
        <v>1859</v>
      </c>
      <c r="U59" s="30" t="str">
        <f>"－"</f>
        <v>－</v>
      </c>
      <c r="V59" s="30">
        <f>4617962</f>
        <v>4617962</v>
      </c>
      <c r="W59" s="30" t="str">
        <f>"－"</f>
        <v>－</v>
      </c>
      <c r="X59" s="34">
        <f>19</f>
        <v>19</v>
      </c>
    </row>
    <row r="60" spans="1:24" x14ac:dyDescent="0.15">
      <c r="A60" s="25" t="s">
        <v>1210</v>
      </c>
      <c r="B60" s="25" t="s">
        <v>246</v>
      </c>
      <c r="C60" s="25" t="s">
        <v>247</v>
      </c>
      <c r="D60" s="25" t="s">
        <v>248</v>
      </c>
      <c r="E60" s="26" t="s">
        <v>45</v>
      </c>
      <c r="F60" s="27" t="s">
        <v>45</v>
      </c>
      <c r="G60" s="28" t="s">
        <v>45</v>
      </c>
      <c r="H60" s="29"/>
      <c r="I60" s="29" t="s">
        <v>46</v>
      </c>
      <c r="J60" s="30">
        <v>10</v>
      </c>
      <c r="K60" s="31">
        <f>2330</f>
        <v>2330</v>
      </c>
      <c r="L60" s="32" t="s">
        <v>995</v>
      </c>
      <c r="M60" s="31">
        <f>2437.5</f>
        <v>2437.5</v>
      </c>
      <c r="N60" s="32" t="s">
        <v>793</v>
      </c>
      <c r="O60" s="31">
        <f>2330</f>
        <v>2330</v>
      </c>
      <c r="P60" s="32" t="s">
        <v>995</v>
      </c>
      <c r="Q60" s="31">
        <f>2412.5</f>
        <v>2412.5</v>
      </c>
      <c r="R60" s="32" t="s">
        <v>893</v>
      </c>
      <c r="S60" s="33">
        <f>2408.65</f>
        <v>2408.65</v>
      </c>
      <c r="T60" s="30">
        <f>93710</f>
        <v>93710</v>
      </c>
      <c r="U60" s="30" t="str">
        <f>"－"</f>
        <v>－</v>
      </c>
      <c r="V60" s="30">
        <f>225316830</f>
        <v>225316830</v>
      </c>
      <c r="W60" s="30" t="str">
        <f>"－"</f>
        <v>－</v>
      </c>
      <c r="X60" s="34">
        <f>20</f>
        <v>20</v>
      </c>
    </row>
    <row r="61" spans="1:24" x14ac:dyDescent="0.15">
      <c r="A61" s="25" t="s">
        <v>1210</v>
      </c>
      <c r="B61" s="25" t="s">
        <v>249</v>
      </c>
      <c r="C61" s="25" t="s">
        <v>250</v>
      </c>
      <c r="D61" s="25" t="s">
        <v>251</v>
      </c>
      <c r="E61" s="26" t="s">
        <v>45</v>
      </c>
      <c r="F61" s="27" t="s">
        <v>45</v>
      </c>
      <c r="G61" s="28" t="s">
        <v>45</v>
      </c>
      <c r="H61" s="29"/>
      <c r="I61" s="29" t="s">
        <v>46</v>
      </c>
      <c r="J61" s="30">
        <v>1</v>
      </c>
      <c r="K61" s="31">
        <f>35980</f>
        <v>35980</v>
      </c>
      <c r="L61" s="32" t="s">
        <v>1000</v>
      </c>
      <c r="M61" s="31">
        <f>37420</f>
        <v>37420</v>
      </c>
      <c r="N61" s="32" t="s">
        <v>80</v>
      </c>
      <c r="O61" s="31">
        <f>34510</f>
        <v>34510</v>
      </c>
      <c r="P61" s="32" t="s">
        <v>1005</v>
      </c>
      <c r="Q61" s="31">
        <f>36750</f>
        <v>36750</v>
      </c>
      <c r="R61" s="32" t="s">
        <v>255</v>
      </c>
      <c r="S61" s="33">
        <f>36208</f>
        <v>36208</v>
      </c>
      <c r="T61" s="30">
        <f>68</f>
        <v>68</v>
      </c>
      <c r="U61" s="30">
        <f>1</f>
        <v>1</v>
      </c>
      <c r="V61" s="30">
        <f>2474960</f>
        <v>2474960</v>
      </c>
      <c r="W61" s="30">
        <f>37030</f>
        <v>37030</v>
      </c>
      <c r="X61" s="34">
        <f>10</f>
        <v>10</v>
      </c>
    </row>
    <row r="62" spans="1:24" x14ac:dyDescent="0.15">
      <c r="A62" s="25" t="s">
        <v>1210</v>
      </c>
      <c r="B62" s="25" t="s">
        <v>252</v>
      </c>
      <c r="C62" s="25" t="s">
        <v>253</v>
      </c>
      <c r="D62" s="25" t="s">
        <v>254</v>
      </c>
      <c r="E62" s="26" t="s">
        <v>45</v>
      </c>
      <c r="F62" s="27" t="s">
        <v>45</v>
      </c>
      <c r="G62" s="28" t="s">
        <v>45</v>
      </c>
      <c r="H62" s="29"/>
      <c r="I62" s="29" t="s">
        <v>46</v>
      </c>
      <c r="J62" s="30">
        <v>1</v>
      </c>
      <c r="K62" s="31">
        <f>22445</f>
        <v>22445</v>
      </c>
      <c r="L62" s="32" t="s">
        <v>995</v>
      </c>
      <c r="M62" s="31">
        <f>23205</f>
        <v>23205</v>
      </c>
      <c r="N62" s="32" t="s">
        <v>876</v>
      </c>
      <c r="O62" s="31">
        <f>22415</f>
        <v>22415</v>
      </c>
      <c r="P62" s="32" t="s">
        <v>995</v>
      </c>
      <c r="Q62" s="31">
        <f>22895</f>
        <v>22895</v>
      </c>
      <c r="R62" s="32" t="s">
        <v>893</v>
      </c>
      <c r="S62" s="33">
        <f>22898.5</f>
        <v>22898.5</v>
      </c>
      <c r="T62" s="30">
        <f>984744</f>
        <v>984744</v>
      </c>
      <c r="U62" s="30">
        <f>905200</f>
        <v>905200</v>
      </c>
      <c r="V62" s="30">
        <f>22571138174</f>
        <v>22571138174</v>
      </c>
      <c r="W62" s="30">
        <f>20761920499</f>
        <v>20761920499</v>
      </c>
      <c r="X62" s="34">
        <f>20</f>
        <v>20</v>
      </c>
    </row>
    <row r="63" spans="1:24" x14ac:dyDescent="0.15">
      <c r="A63" s="25" t="s">
        <v>1210</v>
      </c>
      <c r="B63" s="25" t="s">
        <v>256</v>
      </c>
      <c r="C63" s="25" t="s">
        <v>257</v>
      </c>
      <c r="D63" s="25" t="s">
        <v>258</v>
      </c>
      <c r="E63" s="26" t="s">
        <v>45</v>
      </c>
      <c r="F63" s="27" t="s">
        <v>45</v>
      </c>
      <c r="G63" s="28" t="s">
        <v>45</v>
      </c>
      <c r="H63" s="29"/>
      <c r="I63" s="29" t="s">
        <v>46</v>
      </c>
      <c r="J63" s="30">
        <v>1</v>
      </c>
      <c r="K63" s="31">
        <f>13035</f>
        <v>13035</v>
      </c>
      <c r="L63" s="32" t="s">
        <v>995</v>
      </c>
      <c r="M63" s="31">
        <f>13660</f>
        <v>13660</v>
      </c>
      <c r="N63" s="32" t="s">
        <v>893</v>
      </c>
      <c r="O63" s="31">
        <f>12995</f>
        <v>12995</v>
      </c>
      <c r="P63" s="32" t="s">
        <v>995</v>
      </c>
      <c r="Q63" s="31">
        <f>13590</f>
        <v>13590</v>
      </c>
      <c r="R63" s="32" t="s">
        <v>893</v>
      </c>
      <c r="S63" s="33">
        <f>13372.5</f>
        <v>13372.5</v>
      </c>
      <c r="T63" s="30">
        <f>326845</f>
        <v>326845</v>
      </c>
      <c r="U63" s="30">
        <f>239860</f>
        <v>239860</v>
      </c>
      <c r="V63" s="30">
        <f>4359463617</f>
        <v>4359463617</v>
      </c>
      <c r="W63" s="30">
        <f>3195475337</f>
        <v>3195475337</v>
      </c>
      <c r="X63" s="34">
        <f>20</f>
        <v>20</v>
      </c>
    </row>
    <row r="64" spans="1:24" x14ac:dyDescent="0.15">
      <c r="A64" s="25" t="s">
        <v>1210</v>
      </c>
      <c r="B64" s="25" t="s">
        <v>259</v>
      </c>
      <c r="C64" s="25" t="s">
        <v>1057</v>
      </c>
      <c r="D64" s="25" t="s">
        <v>1058</v>
      </c>
      <c r="E64" s="26" t="s">
        <v>45</v>
      </c>
      <c r="F64" s="27" t="s">
        <v>45</v>
      </c>
      <c r="G64" s="28" t="s">
        <v>45</v>
      </c>
      <c r="H64" s="29"/>
      <c r="I64" s="29" t="s">
        <v>46</v>
      </c>
      <c r="J64" s="30">
        <v>10</v>
      </c>
      <c r="K64" s="31">
        <f>1888.5</f>
        <v>1888.5</v>
      </c>
      <c r="L64" s="32" t="s">
        <v>995</v>
      </c>
      <c r="M64" s="31">
        <f>1912</f>
        <v>1912</v>
      </c>
      <c r="N64" s="32" t="s">
        <v>78</v>
      </c>
      <c r="O64" s="31">
        <f>1857.5</f>
        <v>1857.5</v>
      </c>
      <c r="P64" s="32" t="s">
        <v>1004</v>
      </c>
      <c r="Q64" s="31">
        <f>1902</f>
        <v>1902</v>
      </c>
      <c r="R64" s="32" t="s">
        <v>893</v>
      </c>
      <c r="S64" s="33">
        <f>1889.73</f>
        <v>1889.73</v>
      </c>
      <c r="T64" s="30">
        <f>4780400</f>
        <v>4780400</v>
      </c>
      <c r="U64" s="30">
        <f>1063630</f>
        <v>1063630</v>
      </c>
      <c r="V64" s="30">
        <f>9041126632</f>
        <v>9041126632</v>
      </c>
      <c r="W64" s="30">
        <f>2002092152</f>
        <v>2002092152</v>
      </c>
      <c r="X64" s="34">
        <f>20</f>
        <v>20</v>
      </c>
    </row>
    <row r="65" spans="1:24" x14ac:dyDescent="0.15">
      <c r="A65" s="25" t="s">
        <v>1210</v>
      </c>
      <c r="B65" s="25" t="s">
        <v>262</v>
      </c>
      <c r="C65" s="25" t="s">
        <v>263</v>
      </c>
      <c r="D65" s="25" t="s">
        <v>264</v>
      </c>
      <c r="E65" s="26" t="s">
        <v>45</v>
      </c>
      <c r="F65" s="27" t="s">
        <v>45</v>
      </c>
      <c r="G65" s="28" t="s">
        <v>45</v>
      </c>
      <c r="H65" s="29"/>
      <c r="I65" s="29" t="s">
        <v>46</v>
      </c>
      <c r="J65" s="30">
        <v>1</v>
      </c>
      <c r="K65" s="31">
        <f>57510</f>
        <v>57510</v>
      </c>
      <c r="L65" s="32" t="s">
        <v>995</v>
      </c>
      <c r="M65" s="31">
        <f>58930</f>
        <v>58930</v>
      </c>
      <c r="N65" s="32" t="s">
        <v>255</v>
      </c>
      <c r="O65" s="31">
        <f>55020</f>
        <v>55020</v>
      </c>
      <c r="P65" s="32" t="s">
        <v>1000</v>
      </c>
      <c r="Q65" s="31">
        <f>58240</f>
        <v>58240</v>
      </c>
      <c r="R65" s="32" t="s">
        <v>893</v>
      </c>
      <c r="S65" s="33">
        <f>57592.5</f>
        <v>57592.5</v>
      </c>
      <c r="T65" s="30">
        <f>810735</f>
        <v>810735</v>
      </c>
      <c r="U65" s="30">
        <f>344949</f>
        <v>344949</v>
      </c>
      <c r="V65" s="30">
        <f>46775547087</f>
        <v>46775547087</v>
      </c>
      <c r="W65" s="30">
        <f>20033670167</f>
        <v>20033670167</v>
      </c>
      <c r="X65" s="34">
        <f>20</f>
        <v>20</v>
      </c>
    </row>
    <row r="66" spans="1:24" x14ac:dyDescent="0.15">
      <c r="A66" s="25" t="s">
        <v>1210</v>
      </c>
      <c r="B66" s="25" t="s">
        <v>265</v>
      </c>
      <c r="C66" s="25" t="s">
        <v>266</v>
      </c>
      <c r="D66" s="25" t="s">
        <v>267</v>
      </c>
      <c r="E66" s="26" t="s">
        <v>45</v>
      </c>
      <c r="F66" s="27" t="s">
        <v>45</v>
      </c>
      <c r="G66" s="28" t="s">
        <v>45</v>
      </c>
      <c r="H66" s="29"/>
      <c r="I66" s="29" t="s">
        <v>46</v>
      </c>
      <c r="J66" s="30">
        <v>10</v>
      </c>
      <c r="K66" s="31">
        <f>7736</f>
        <v>7736</v>
      </c>
      <c r="L66" s="32" t="s">
        <v>1002</v>
      </c>
      <c r="M66" s="31">
        <f>7736</f>
        <v>7736</v>
      </c>
      <c r="N66" s="32" t="s">
        <v>1002</v>
      </c>
      <c r="O66" s="31">
        <f>7736</f>
        <v>7736</v>
      </c>
      <c r="P66" s="32" t="s">
        <v>1002</v>
      </c>
      <c r="Q66" s="31">
        <f>7736</f>
        <v>7736</v>
      </c>
      <c r="R66" s="32" t="s">
        <v>1002</v>
      </c>
      <c r="S66" s="33">
        <f>7736</f>
        <v>7736</v>
      </c>
      <c r="T66" s="30">
        <f>30</f>
        <v>30</v>
      </c>
      <c r="U66" s="30" t="str">
        <f>"－"</f>
        <v>－</v>
      </c>
      <c r="V66" s="30">
        <f>232080</f>
        <v>232080</v>
      </c>
      <c r="W66" s="30" t="str">
        <f>"－"</f>
        <v>－</v>
      </c>
      <c r="X66" s="34">
        <f>1</f>
        <v>1</v>
      </c>
    </row>
    <row r="67" spans="1:24" x14ac:dyDescent="0.15">
      <c r="A67" s="25" t="s">
        <v>1210</v>
      </c>
      <c r="B67" s="25" t="s">
        <v>268</v>
      </c>
      <c r="C67" s="25" t="s">
        <v>269</v>
      </c>
      <c r="D67" s="25" t="s">
        <v>270</v>
      </c>
      <c r="E67" s="26" t="s">
        <v>45</v>
      </c>
      <c r="F67" s="27" t="s">
        <v>45</v>
      </c>
      <c r="G67" s="28" t="s">
        <v>45</v>
      </c>
      <c r="H67" s="29"/>
      <c r="I67" s="29" t="s">
        <v>46</v>
      </c>
      <c r="J67" s="30">
        <v>1</v>
      </c>
      <c r="K67" s="31">
        <f>16815</f>
        <v>16815</v>
      </c>
      <c r="L67" s="32" t="s">
        <v>995</v>
      </c>
      <c r="M67" s="31">
        <f>17700</f>
        <v>17700</v>
      </c>
      <c r="N67" s="32" t="s">
        <v>893</v>
      </c>
      <c r="O67" s="31">
        <f>16640</f>
        <v>16640</v>
      </c>
      <c r="P67" s="32" t="s">
        <v>999</v>
      </c>
      <c r="Q67" s="31">
        <f>17350</f>
        <v>17350</v>
      </c>
      <c r="R67" s="32" t="s">
        <v>893</v>
      </c>
      <c r="S67" s="33">
        <f>17089.71</f>
        <v>17089.71</v>
      </c>
      <c r="T67" s="30">
        <f>489</f>
        <v>489</v>
      </c>
      <c r="U67" s="30" t="str">
        <f>"－"</f>
        <v>－</v>
      </c>
      <c r="V67" s="30">
        <f>8394345</f>
        <v>8394345</v>
      </c>
      <c r="W67" s="30" t="str">
        <f>"－"</f>
        <v>－</v>
      </c>
      <c r="X67" s="34">
        <f>17</f>
        <v>17</v>
      </c>
    </row>
    <row r="68" spans="1:24" x14ac:dyDescent="0.15">
      <c r="A68" s="25" t="s">
        <v>1210</v>
      </c>
      <c r="B68" s="25" t="s">
        <v>271</v>
      </c>
      <c r="C68" s="25" t="s">
        <v>272</v>
      </c>
      <c r="D68" s="25" t="s">
        <v>273</v>
      </c>
      <c r="E68" s="26" t="s">
        <v>45</v>
      </c>
      <c r="F68" s="27" t="s">
        <v>45</v>
      </c>
      <c r="G68" s="28" t="s">
        <v>45</v>
      </c>
      <c r="H68" s="29"/>
      <c r="I68" s="29" t="s">
        <v>46</v>
      </c>
      <c r="J68" s="30">
        <v>1</v>
      </c>
      <c r="K68" s="31">
        <f>16360</f>
        <v>16360</v>
      </c>
      <c r="L68" s="32" t="s">
        <v>995</v>
      </c>
      <c r="M68" s="31">
        <f>17500</f>
        <v>17500</v>
      </c>
      <c r="N68" s="32" t="s">
        <v>893</v>
      </c>
      <c r="O68" s="31">
        <f>16360</f>
        <v>16360</v>
      </c>
      <c r="P68" s="32" t="s">
        <v>995</v>
      </c>
      <c r="Q68" s="31">
        <f>17500</f>
        <v>17500</v>
      </c>
      <c r="R68" s="32" t="s">
        <v>893</v>
      </c>
      <c r="S68" s="33">
        <f>17029.75</f>
        <v>17029.75</v>
      </c>
      <c r="T68" s="30">
        <f>661</f>
        <v>661</v>
      </c>
      <c r="U68" s="30" t="str">
        <f>"－"</f>
        <v>－</v>
      </c>
      <c r="V68" s="30">
        <f>11211355</f>
        <v>11211355</v>
      </c>
      <c r="W68" s="30" t="str">
        <f>"－"</f>
        <v>－</v>
      </c>
      <c r="X68" s="34">
        <f>20</f>
        <v>20</v>
      </c>
    </row>
    <row r="69" spans="1:24" x14ac:dyDescent="0.15">
      <c r="A69" s="25" t="s">
        <v>1210</v>
      </c>
      <c r="B69" s="25" t="s">
        <v>274</v>
      </c>
      <c r="C69" s="25" t="s">
        <v>275</v>
      </c>
      <c r="D69" s="25" t="s">
        <v>276</v>
      </c>
      <c r="E69" s="26" t="s">
        <v>45</v>
      </c>
      <c r="F69" s="27" t="s">
        <v>45</v>
      </c>
      <c r="G69" s="28" t="s">
        <v>45</v>
      </c>
      <c r="H69" s="29"/>
      <c r="I69" s="29" t="s">
        <v>46</v>
      </c>
      <c r="J69" s="30">
        <v>1</v>
      </c>
      <c r="K69" s="31">
        <f>26600</f>
        <v>26600</v>
      </c>
      <c r="L69" s="32" t="s">
        <v>995</v>
      </c>
      <c r="M69" s="31">
        <f>27000</f>
        <v>27000</v>
      </c>
      <c r="N69" s="32" t="s">
        <v>255</v>
      </c>
      <c r="O69" s="31">
        <f>25600</f>
        <v>25600</v>
      </c>
      <c r="P69" s="32" t="s">
        <v>1000</v>
      </c>
      <c r="Q69" s="31">
        <f>26775</f>
        <v>26775</v>
      </c>
      <c r="R69" s="32" t="s">
        <v>893</v>
      </c>
      <c r="S69" s="33">
        <f>26524.5</f>
        <v>26524.5</v>
      </c>
      <c r="T69" s="30">
        <f>21553</f>
        <v>21553</v>
      </c>
      <c r="U69" s="30">
        <f>5903</f>
        <v>5903</v>
      </c>
      <c r="V69" s="30">
        <f>570762526</f>
        <v>570762526</v>
      </c>
      <c r="W69" s="30">
        <f>156966171</f>
        <v>156966171</v>
      </c>
      <c r="X69" s="34">
        <f>20</f>
        <v>20</v>
      </c>
    </row>
    <row r="70" spans="1:24" x14ac:dyDescent="0.15">
      <c r="A70" s="25" t="s">
        <v>1210</v>
      </c>
      <c r="B70" s="25" t="s">
        <v>277</v>
      </c>
      <c r="C70" s="25" t="s">
        <v>278</v>
      </c>
      <c r="D70" s="25" t="s">
        <v>279</v>
      </c>
      <c r="E70" s="26" t="s">
        <v>45</v>
      </c>
      <c r="F70" s="27" t="s">
        <v>45</v>
      </c>
      <c r="G70" s="28" t="s">
        <v>45</v>
      </c>
      <c r="H70" s="29"/>
      <c r="I70" s="29" t="s">
        <v>46</v>
      </c>
      <c r="J70" s="30">
        <v>10</v>
      </c>
      <c r="K70" s="31">
        <f>9470</f>
        <v>9470</v>
      </c>
      <c r="L70" s="32" t="s">
        <v>995</v>
      </c>
      <c r="M70" s="31">
        <f>10325</f>
        <v>10325</v>
      </c>
      <c r="N70" s="32" t="s">
        <v>255</v>
      </c>
      <c r="O70" s="31">
        <f>9450</f>
        <v>9450</v>
      </c>
      <c r="P70" s="32" t="s">
        <v>995</v>
      </c>
      <c r="Q70" s="31">
        <f>10100</f>
        <v>10100</v>
      </c>
      <c r="R70" s="32" t="s">
        <v>893</v>
      </c>
      <c r="S70" s="33">
        <f>10054.95</f>
        <v>10054.950000000001</v>
      </c>
      <c r="T70" s="30">
        <f>12380</f>
        <v>12380</v>
      </c>
      <c r="U70" s="30">
        <f>30</f>
        <v>30</v>
      </c>
      <c r="V70" s="30">
        <f>123859790</f>
        <v>123859790</v>
      </c>
      <c r="W70" s="30">
        <f>266400</f>
        <v>266400</v>
      </c>
      <c r="X70" s="34">
        <f>20</f>
        <v>20</v>
      </c>
    </row>
    <row r="71" spans="1:24" x14ac:dyDescent="0.15">
      <c r="A71" s="25" t="s">
        <v>1210</v>
      </c>
      <c r="B71" s="25" t="s">
        <v>280</v>
      </c>
      <c r="C71" s="25" t="s">
        <v>281</v>
      </c>
      <c r="D71" s="25" t="s">
        <v>282</v>
      </c>
      <c r="E71" s="26" t="s">
        <v>45</v>
      </c>
      <c r="F71" s="27" t="s">
        <v>45</v>
      </c>
      <c r="G71" s="28" t="s">
        <v>45</v>
      </c>
      <c r="H71" s="29"/>
      <c r="I71" s="29" t="s">
        <v>46</v>
      </c>
      <c r="J71" s="30">
        <v>1</v>
      </c>
      <c r="K71" s="31">
        <f>1747</f>
        <v>1747</v>
      </c>
      <c r="L71" s="32" t="s">
        <v>995</v>
      </c>
      <c r="M71" s="31">
        <f>1883</f>
        <v>1883</v>
      </c>
      <c r="N71" s="32" t="s">
        <v>893</v>
      </c>
      <c r="O71" s="31">
        <f>1743</f>
        <v>1743</v>
      </c>
      <c r="P71" s="32" t="s">
        <v>995</v>
      </c>
      <c r="Q71" s="31">
        <f>1870</f>
        <v>1870</v>
      </c>
      <c r="R71" s="32" t="s">
        <v>893</v>
      </c>
      <c r="S71" s="33">
        <f>1822.9</f>
        <v>1822.9</v>
      </c>
      <c r="T71" s="30">
        <f>1392086</f>
        <v>1392086</v>
      </c>
      <c r="U71" s="30">
        <f>742435</f>
        <v>742435</v>
      </c>
      <c r="V71" s="30">
        <f>2520948428</f>
        <v>2520948428</v>
      </c>
      <c r="W71" s="30">
        <f>1334422614</f>
        <v>1334422614</v>
      </c>
      <c r="X71" s="34">
        <f>20</f>
        <v>20</v>
      </c>
    </row>
    <row r="72" spans="1:24" x14ac:dyDescent="0.15">
      <c r="A72" s="25" t="s">
        <v>1210</v>
      </c>
      <c r="B72" s="25" t="s">
        <v>283</v>
      </c>
      <c r="C72" s="25" t="s">
        <v>284</v>
      </c>
      <c r="D72" s="25" t="s">
        <v>285</v>
      </c>
      <c r="E72" s="26" t="s">
        <v>45</v>
      </c>
      <c r="F72" s="27" t="s">
        <v>45</v>
      </c>
      <c r="G72" s="28" t="s">
        <v>45</v>
      </c>
      <c r="H72" s="29"/>
      <c r="I72" s="29" t="s">
        <v>46</v>
      </c>
      <c r="J72" s="30">
        <v>1</v>
      </c>
      <c r="K72" s="31">
        <f>1795</f>
        <v>1795</v>
      </c>
      <c r="L72" s="32" t="s">
        <v>995</v>
      </c>
      <c r="M72" s="31">
        <f>1882</f>
        <v>1882</v>
      </c>
      <c r="N72" s="32" t="s">
        <v>893</v>
      </c>
      <c r="O72" s="31">
        <f>1795</f>
        <v>1795</v>
      </c>
      <c r="P72" s="32" t="s">
        <v>995</v>
      </c>
      <c r="Q72" s="31">
        <f>1882</f>
        <v>1882</v>
      </c>
      <c r="R72" s="32" t="s">
        <v>893</v>
      </c>
      <c r="S72" s="33">
        <f>1850.9</f>
        <v>1850.9</v>
      </c>
      <c r="T72" s="30">
        <f>500113</f>
        <v>500113</v>
      </c>
      <c r="U72" s="30">
        <f>5000</f>
        <v>5000</v>
      </c>
      <c r="V72" s="30">
        <f>926980207</f>
        <v>926980207</v>
      </c>
      <c r="W72" s="30">
        <f>9393500</f>
        <v>9393500</v>
      </c>
      <c r="X72" s="34">
        <f>20</f>
        <v>20</v>
      </c>
    </row>
    <row r="73" spans="1:24" x14ac:dyDescent="0.15">
      <c r="A73" s="25" t="s">
        <v>1210</v>
      </c>
      <c r="B73" s="25" t="s">
        <v>286</v>
      </c>
      <c r="C73" s="25" t="s">
        <v>287</v>
      </c>
      <c r="D73" s="25" t="s">
        <v>288</v>
      </c>
      <c r="E73" s="26" t="s">
        <v>45</v>
      </c>
      <c r="F73" s="27" t="s">
        <v>45</v>
      </c>
      <c r="G73" s="28" t="s">
        <v>45</v>
      </c>
      <c r="H73" s="29"/>
      <c r="I73" s="29" t="s">
        <v>46</v>
      </c>
      <c r="J73" s="30">
        <v>1</v>
      </c>
      <c r="K73" s="31">
        <f>18100</f>
        <v>18100</v>
      </c>
      <c r="L73" s="32" t="s">
        <v>995</v>
      </c>
      <c r="M73" s="31">
        <f>18880</f>
        <v>18880</v>
      </c>
      <c r="N73" s="32" t="s">
        <v>255</v>
      </c>
      <c r="O73" s="31">
        <f>18000</f>
        <v>18000</v>
      </c>
      <c r="P73" s="32" t="s">
        <v>995</v>
      </c>
      <c r="Q73" s="31">
        <f>18660</f>
        <v>18660</v>
      </c>
      <c r="R73" s="32" t="s">
        <v>893</v>
      </c>
      <c r="S73" s="33">
        <f>18537.75</f>
        <v>18537.75</v>
      </c>
      <c r="T73" s="30">
        <f>12219</f>
        <v>12219</v>
      </c>
      <c r="U73" s="30">
        <f>2</f>
        <v>2</v>
      </c>
      <c r="V73" s="30">
        <f>223566175</f>
        <v>223566175</v>
      </c>
      <c r="W73" s="30">
        <f>37480</f>
        <v>37480</v>
      </c>
      <c r="X73" s="34">
        <f>20</f>
        <v>20</v>
      </c>
    </row>
    <row r="74" spans="1:24" x14ac:dyDescent="0.15">
      <c r="A74" s="25" t="s">
        <v>1210</v>
      </c>
      <c r="B74" s="25" t="s">
        <v>289</v>
      </c>
      <c r="C74" s="25" t="s">
        <v>290</v>
      </c>
      <c r="D74" s="25" t="s">
        <v>291</v>
      </c>
      <c r="E74" s="26" t="s">
        <v>45</v>
      </c>
      <c r="F74" s="27" t="s">
        <v>45</v>
      </c>
      <c r="G74" s="28" t="s">
        <v>45</v>
      </c>
      <c r="H74" s="29"/>
      <c r="I74" s="29" t="s">
        <v>46</v>
      </c>
      <c r="J74" s="30">
        <v>1</v>
      </c>
      <c r="K74" s="31">
        <f>9437</f>
        <v>9437</v>
      </c>
      <c r="L74" s="32" t="s">
        <v>995</v>
      </c>
      <c r="M74" s="31">
        <f>9576</f>
        <v>9576</v>
      </c>
      <c r="N74" s="32" t="s">
        <v>1017</v>
      </c>
      <c r="O74" s="31">
        <f>9199</f>
        <v>9199</v>
      </c>
      <c r="P74" s="32" t="s">
        <v>255</v>
      </c>
      <c r="Q74" s="31">
        <f>9500</f>
        <v>9500</v>
      </c>
      <c r="R74" s="32" t="s">
        <v>893</v>
      </c>
      <c r="S74" s="33">
        <f>9387.3</f>
        <v>9387.2999999999993</v>
      </c>
      <c r="T74" s="30">
        <f>2813</f>
        <v>2813</v>
      </c>
      <c r="U74" s="30" t="str">
        <f>"－"</f>
        <v>－</v>
      </c>
      <c r="V74" s="30">
        <f>26334620</f>
        <v>26334620</v>
      </c>
      <c r="W74" s="30" t="str">
        <f>"－"</f>
        <v>－</v>
      </c>
      <c r="X74" s="34">
        <f>20</f>
        <v>20</v>
      </c>
    </row>
    <row r="75" spans="1:24" x14ac:dyDescent="0.15">
      <c r="A75" s="25" t="s">
        <v>1210</v>
      </c>
      <c r="B75" s="25" t="s">
        <v>292</v>
      </c>
      <c r="C75" s="25" t="s">
        <v>293</v>
      </c>
      <c r="D75" s="25" t="s">
        <v>294</v>
      </c>
      <c r="E75" s="26" t="s">
        <v>45</v>
      </c>
      <c r="F75" s="27" t="s">
        <v>45</v>
      </c>
      <c r="G75" s="28" t="s">
        <v>45</v>
      </c>
      <c r="H75" s="29"/>
      <c r="I75" s="29" t="s">
        <v>46</v>
      </c>
      <c r="J75" s="30">
        <v>1</v>
      </c>
      <c r="K75" s="31">
        <f>9125</f>
        <v>9125</v>
      </c>
      <c r="L75" s="32" t="s">
        <v>995</v>
      </c>
      <c r="M75" s="31">
        <f>9165</f>
        <v>9165</v>
      </c>
      <c r="N75" s="32" t="s">
        <v>1017</v>
      </c>
      <c r="O75" s="31">
        <f>8918</f>
        <v>8918</v>
      </c>
      <c r="P75" s="32" t="s">
        <v>998</v>
      </c>
      <c r="Q75" s="31">
        <f>9130</f>
        <v>9130</v>
      </c>
      <c r="R75" s="32" t="s">
        <v>893</v>
      </c>
      <c r="S75" s="33">
        <f>9036.2</f>
        <v>9036.2000000000007</v>
      </c>
      <c r="T75" s="30">
        <f>2133322</f>
        <v>2133322</v>
      </c>
      <c r="U75" s="30">
        <f>23440</f>
        <v>23440</v>
      </c>
      <c r="V75" s="30">
        <f>19269376977</f>
        <v>19269376977</v>
      </c>
      <c r="W75" s="30">
        <f>211940250</f>
        <v>211940250</v>
      </c>
      <c r="X75" s="34">
        <f>20</f>
        <v>20</v>
      </c>
    </row>
    <row r="76" spans="1:24" x14ac:dyDescent="0.15">
      <c r="A76" s="25" t="s">
        <v>1210</v>
      </c>
      <c r="B76" s="25" t="s">
        <v>295</v>
      </c>
      <c r="C76" s="25" t="s">
        <v>296</v>
      </c>
      <c r="D76" s="25" t="s">
        <v>297</v>
      </c>
      <c r="E76" s="26" t="s">
        <v>45</v>
      </c>
      <c r="F76" s="27" t="s">
        <v>45</v>
      </c>
      <c r="G76" s="28" t="s">
        <v>45</v>
      </c>
      <c r="H76" s="29"/>
      <c r="I76" s="29" t="s">
        <v>46</v>
      </c>
      <c r="J76" s="30">
        <v>1</v>
      </c>
      <c r="K76" s="31">
        <f>4120</f>
        <v>4120</v>
      </c>
      <c r="L76" s="32" t="s">
        <v>995</v>
      </c>
      <c r="M76" s="31">
        <f>4135</f>
        <v>4135</v>
      </c>
      <c r="N76" s="32" t="s">
        <v>995</v>
      </c>
      <c r="O76" s="31">
        <f>3845</f>
        <v>3845</v>
      </c>
      <c r="P76" s="32" t="s">
        <v>56</v>
      </c>
      <c r="Q76" s="31">
        <f>4020</f>
        <v>4020</v>
      </c>
      <c r="R76" s="32" t="s">
        <v>893</v>
      </c>
      <c r="S76" s="33">
        <f>3999</f>
        <v>3999</v>
      </c>
      <c r="T76" s="30">
        <f>685559</f>
        <v>685559</v>
      </c>
      <c r="U76" s="30">
        <f>65</f>
        <v>65</v>
      </c>
      <c r="V76" s="30">
        <f>2731114440</f>
        <v>2731114440</v>
      </c>
      <c r="W76" s="30">
        <f>248540</f>
        <v>248540</v>
      </c>
      <c r="X76" s="34">
        <f>20</f>
        <v>20</v>
      </c>
    </row>
    <row r="77" spans="1:24" x14ac:dyDescent="0.15">
      <c r="A77" s="25" t="s">
        <v>1210</v>
      </c>
      <c r="B77" s="25" t="s">
        <v>298</v>
      </c>
      <c r="C77" s="25" t="s">
        <v>299</v>
      </c>
      <c r="D77" s="25" t="s">
        <v>300</v>
      </c>
      <c r="E77" s="26" t="s">
        <v>45</v>
      </c>
      <c r="F77" s="27" t="s">
        <v>45</v>
      </c>
      <c r="G77" s="28" t="s">
        <v>45</v>
      </c>
      <c r="H77" s="29"/>
      <c r="I77" s="29" t="s">
        <v>46</v>
      </c>
      <c r="J77" s="30">
        <v>1</v>
      </c>
      <c r="K77" s="31">
        <f>9985</f>
        <v>9985</v>
      </c>
      <c r="L77" s="32" t="s">
        <v>995</v>
      </c>
      <c r="M77" s="31">
        <f>10645</f>
        <v>10645</v>
      </c>
      <c r="N77" s="32" t="s">
        <v>1017</v>
      </c>
      <c r="O77" s="31">
        <f>9635</f>
        <v>9635</v>
      </c>
      <c r="P77" s="32" t="s">
        <v>56</v>
      </c>
      <c r="Q77" s="31">
        <f>10500</f>
        <v>10500</v>
      </c>
      <c r="R77" s="32" t="s">
        <v>893</v>
      </c>
      <c r="S77" s="33">
        <f>10023</f>
        <v>10023</v>
      </c>
      <c r="T77" s="30">
        <f>142170</f>
        <v>142170</v>
      </c>
      <c r="U77" s="30">
        <f>189</f>
        <v>189</v>
      </c>
      <c r="V77" s="30">
        <f>1434447000</f>
        <v>1434447000</v>
      </c>
      <c r="W77" s="30">
        <f>1907437</f>
        <v>1907437</v>
      </c>
      <c r="X77" s="34">
        <f>20</f>
        <v>20</v>
      </c>
    </row>
    <row r="78" spans="1:24" x14ac:dyDescent="0.15">
      <c r="A78" s="25" t="s">
        <v>1210</v>
      </c>
      <c r="B78" s="25" t="s">
        <v>301</v>
      </c>
      <c r="C78" s="25" t="s">
        <v>302</v>
      </c>
      <c r="D78" s="25" t="s">
        <v>303</v>
      </c>
      <c r="E78" s="26" t="s">
        <v>45</v>
      </c>
      <c r="F78" s="27" t="s">
        <v>45</v>
      </c>
      <c r="G78" s="28" t="s">
        <v>45</v>
      </c>
      <c r="H78" s="29"/>
      <c r="I78" s="29" t="s">
        <v>46</v>
      </c>
      <c r="J78" s="30">
        <v>1</v>
      </c>
      <c r="K78" s="31">
        <f>51660</f>
        <v>51660</v>
      </c>
      <c r="L78" s="32" t="s">
        <v>995</v>
      </c>
      <c r="M78" s="31">
        <f>52800</f>
        <v>52800</v>
      </c>
      <c r="N78" s="32" t="s">
        <v>78</v>
      </c>
      <c r="O78" s="31">
        <f>45500</f>
        <v>45500</v>
      </c>
      <c r="P78" s="32" t="s">
        <v>893</v>
      </c>
      <c r="Q78" s="31">
        <f>45710</f>
        <v>45710</v>
      </c>
      <c r="R78" s="32" t="s">
        <v>893</v>
      </c>
      <c r="S78" s="33">
        <f>48165</f>
        <v>48165</v>
      </c>
      <c r="T78" s="30">
        <f>12621</f>
        <v>12621</v>
      </c>
      <c r="U78" s="30">
        <f>26</f>
        <v>26</v>
      </c>
      <c r="V78" s="30">
        <f>605166170</f>
        <v>605166170</v>
      </c>
      <c r="W78" s="30">
        <f>1146400</f>
        <v>1146400</v>
      </c>
      <c r="X78" s="34">
        <f>20</f>
        <v>20</v>
      </c>
    </row>
    <row r="79" spans="1:24" x14ac:dyDescent="0.15">
      <c r="A79" s="25" t="s">
        <v>1210</v>
      </c>
      <c r="B79" s="25" t="s">
        <v>304</v>
      </c>
      <c r="C79" s="25" t="s">
        <v>895</v>
      </c>
      <c r="D79" s="25" t="s">
        <v>896</v>
      </c>
      <c r="E79" s="26" t="s">
        <v>45</v>
      </c>
      <c r="F79" s="27" t="s">
        <v>45</v>
      </c>
      <c r="G79" s="28" t="s">
        <v>45</v>
      </c>
      <c r="H79" s="29"/>
      <c r="I79" s="29" t="s">
        <v>46</v>
      </c>
      <c r="J79" s="30">
        <v>1</v>
      </c>
      <c r="K79" s="31">
        <f>22020</f>
        <v>22020</v>
      </c>
      <c r="L79" s="32" t="s">
        <v>995</v>
      </c>
      <c r="M79" s="31">
        <f>24265</f>
        <v>24265</v>
      </c>
      <c r="N79" s="32" t="s">
        <v>793</v>
      </c>
      <c r="O79" s="31">
        <f>21995</f>
        <v>21995</v>
      </c>
      <c r="P79" s="32" t="s">
        <v>995</v>
      </c>
      <c r="Q79" s="31">
        <f>23865</f>
        <v>23865</v>
      </c>
      <c r="R79" s="32" t="s">
        <v>893</v>
      </c>
      <c r="S79" s="33">
        <f>23599.75</f>
        <v>23599.75</v>
      </c>
      <c r="T79" s="30">
        <f>1177863</f>
        <v>1177863</v>
      </c>
      <c r="U79" s="30">
        <f>110</f>
        <v>110</v>
      </c>
      <c r="V79" s="30">
        <f>27813652045</f>
        <v>27813652045</v>
      </c>
      <c r="W79" s="30">
        <f>2554850</f>
        <v>2554850</v>
      </c>
      <c r="X79" s="34">
        <f>20</f>
        <v>20</v>
      </c>
    </row>
    <row r="80" spans="1:24" x14ac:dyDescent="0.15">
      <c r="A80" s="25" t="s">
        <v>1210</v>
      </c>
      <c r="B80" s="25" t="s">
        <v>305</v>
      </c>
      <c r="C80" s="25" t="s">
        <v>897</v>
      </c>
      <c r="D80" s="25" t="s">
        <v>898</v>
      </c>
      <c r="E80" s="26" t="s">
        <v>45</v>
      </c>
      <c r="F80" s="27" t="s">
        <v>45</v>
      </c>
      <c r="G80" s="28" t="s">
        <v>45</v>
      </c>
      <c r="H80" s="29"/>
      <c r="I80" s="29" t="s">
        <v>46</v>
      </c>
      <c r="J80" s="30">
        <v>1</v>
      </c>
      <c r="K80" s="31">
        <f>48540</f>
        <v>48540</v>
      </c>
      <c r="L80" s="32" t="s">
        <v>995</v>
      </c>
      <c r="M80" s="31">
        <f>51500</f>
        <v>51500</v>
      </c>
      <c r="N80" s="32" t="s">
        <v>876</v>
      </c>
      <c r="O80" s="31">
        <f>48460</f>
        <v>48460</v>
      </c>
      <c r="P80" s="32" t="s">
        <v>995</v>
      </c>
      <c r="Q80" s="31">
        <f>50960</f>
        <v>50960</v>
      </c>
      <c r="R80" s="32" t="s">
        <v>893</v>
      </c>
      <c r="S80" s="33">
        <f>50418</f>
        <v>50418</v>
      </c>
      <c r="T80" s="30">
        <f>90777</f>
        <v>90777</v>
      </c>
      <c r="U80" s="30">
        <f>6000</f>
        <v>6000</v>
      </c>
      <c r="V80" s="30">
        <f>4582577035</f>
        <v>4582577035</v>
      </c>
      <c r="W80" s="30">
        <f>300122785</f>
        <v>300122785</v>
      </c>
      <c r="X80" s="34">
        <f>20</f>
        <v>20</v>
      </c>
    </row>
    <row r="81" spans="1:24" x14ac:dyDescent="0.15">
      <c r="A81" s="25" t="s">
        <v>1210</v>
      </c>
      <c r="B81" s="25" t="s">
        <v>306</v>
      </c>
      <c r="C81" s="25" t="s">
        <v>307</v>
      </c>
      <c r="D81" s="25" t="s">
        <v>308</v>
      </c>
      <c r="E81" s="26" t="s">
        <v>45</v>
      </c>
      <c r="F81" s="27" t="s">
        <v>45</v>
      </c>
      <c r="G81" s="28" t="s">
        <v>45</v>
      </c>
      <c r="H81" s="29"/>
      <c r="I81" s="29" t="s">
        <v>46</v>
      </c>
      <c r="J81" s="30">
        <v>10</v>
      </c>
      <c r="K81" s="31">
        <f>6930</f>
        <v>6930</v>
      </c>
      <c r="L81" s="32" t="s">
        <v>995</v>
      </c>
      <c r="M81" s="31">
        <f>7475</f>
        <v>7475</v>
      </c>
      <c r="N81" s="32" t="s">
        <v>793</v>
      </c>
      <c r="O81" s="31">
        <f>6919</f>
        <v>6919</v>
      </c>
      <c r="P81" s="32" t="s">
        <v>995</v>
      </c>
      <c r="Q81" s="31">
        <f>7343</f>
        <v>7343</v>
      </c>
      <c r="R81" s="32" t="s">
        <v>893</v>
      </c>
      <c r="S81" s="33">
        <f>7295.05</f>
        <v>7295.05</v>
      </c>
      <c r="T81" s="30">
        <f>1708780</f>
        <v>1708780</v>
      </c>
      <c r="U81" s="30">
        <f>253600</f>
        <v>253600</v>
      </c>
      <c r="V81" s="30">
        <f>12456838390</f>
        <v>12456838390</v>
      </c>
      <c r="W81" s="30">
        <f>1865132510</f>
        <v>1865132510</v>
      </c>
      <c r="X81" s="34">
        <f>20</f>
        <v>20</v>
      </c>
    </row>
    <row r="82" spans="1:24" x14ac:dyDescent="0.15">
      <c r="A82" s="25" t="s">
        <v>1210</v>
      </c>
      <c r="B82" s="25" t="s">
        <v>309</v>
      </c>
      <c r="C82" s="25" t="s">
        <v>310</v>
      </c>
      <c r="D82" s="25" t="s">
        <v>311</v>
      </c>
      <c r="E82" s="26" t="s">
        <v>45</v>
      </c>
      <c r="F82" s="27" t="s">
        <v>45</v>
      </c>
      <c r="G82" s="28" t="s">
        <v>45</v>
      </c>
      <c r="H82" s="29"/>
      <c r="I82" s="29" t="s">
        <v>46</v>
      </c>
      <c r="J82" s="30">
        <v>10</v>
      </c>
      <c r="K82" s="31">
        <f>4347</f>
        <v>4347</v>
      </c>
      <c r="L82" s="32" t="s">
        <v>995</v>
      </c>
      <c r="M82" s="31">
        <f>4683</f>
        <v>4683</v>
      </c>
      <c r="N82" s="32" t="s">
        <v>793</v>
      </c>
      <c r="O82" s="31">
        <f>4345</f>
        <v>4345</v>
      </c>
      <c r="P82" s="32" t="s">
        <v>995</v>
      </c>
      <c r="Q82" s="31">
        <f>4630</f>
        <v>4630</v>
      </c>
      <c r="R82" s="32" t="s">
        <v>893</v>
      </c>
      <c r="S82" s="33">
        <f>4578.3</f>
        <v>4578.3</v>
      </c>
      <c r="T82" s="30">
        <f>124440</f>
        <v>124440</v>
      </c>
      <c r="U82" s="30">
        <f>10770</f>
        <v>10770</v>
      </c>
      <c r="V82" s="30">
        <f>569605820</f>
        <v>569605820</v>
      </c>
      <c r="W82" s="30">
        <f>47089590</f>
        <v>47089590</v>
      </c>
      <c r="X82" s="34">
        <f>20</f>
        <v>20</v>
      </c>
    </row>
    <row r="83" spans="1:24" x14ac:dyDescent="0.15">
      <c r="A83" s="25" t="s">
        <v>1210</v>
      </c>
      <c r="B83" s="25" t="s">
        <v>312</v>
      </c>
      <c r="C83" s="25" t="s">
        <v>970</v>
      </c>
      <c r="D83" s="25" t="s">
        <v>971</v>
      </c>
      <c r="E83" s="26" t="s">
        <v>45</v>
      </c>
      <c r="F83" s="27" t="s">
        <v>45</v>
      </c>
      <c r="G83" s="28" t="s">
        <v>45</v>
      </c>
      <c r="H83" s="29"/>
      <c r="I83" s="29" t="s">
        <v>46</v>
      </c>
      <c r="J83" s="30">
        <v>10</v>
      </c>
      <c r="K83" s="31">
        <f>4424</f>
        <v>4424</v>
      </c>
      <c r="L83" s="32" t="s">
        <v>995</v>
      </c>
      <c r="M83" s="31">
        <f>4820</f>
        <v>4820</v>
      </c>
      <c r="N83" s="32" t="s">
        <v>997</v>
      </c>
      <c r="O83" s="31">
        <f>4331</f>
        <v>4331</v>
      </c>
      <c r="P83" s="32" t="s">
        <v>999</v>
      </c>
      <c r="Q83" s="31">
        <f>4790</f>
        <v>4790</v>
      </c>
      <c r="R83" s="32" t="s">
        <v>893</v>
      </c>
      <c r="S83" s="33">
        <f>4567.79</f>
        <v>4567.79</v>
      </c>
      <c r="T83" s="30">
        <f>10760</f>
        <v>10760</v>
      </c>
      <c r="U83" s="30" t="str">
        <f>"－"</f>
        <v>－</v>
      </c>
      <c r="V83" s="30">
        <f>49300360</f>
        <v>49300360</v>
      </c>
      <c r="W83" s="30" t="str">
        <f>"－"</f>
        <v>－</v>
      </c>
      <c r="X83" s="34">
        <f>19</f>
        <v>19</v>
      </c>
    </row>
    <row r="84" spans="1:24" x14ac:dyDescent="0.15">
      <c r="A84" s="25" t="s">
        <v>1210</v>
      </c>
      <c r="B84" s="25" t="s">
        <v>313</v>
      </c>
      <c r="C84" s="25" t="s">
        <v>314</v>
      </c>
      <c r="D84" s="25" t="s">
        <v>315</v>
      </c>
      <c r="E84" s="26" t="s">
        <v>45</v>
      </c>
      <c r="F84" s="27" t="s">
        <v>45</v>
      </c>
      <c r="G84" s="28" t="s">
        <v>45</v>
      </c>
      <c r="H84" s="29" t="s">
        <v>316</v>
      </c>
      <c r="I84" s="29" t="s">
        <v>46</v>
      </c>
      <c r="J84" s="30">
        <v>1</v>
      </c>
      <c r="K84" s="31">
        <f>706</f>
        <v>706</v>
      </c>
      <c r="L84" s="32" t="s">
        <v>995</v>
      </c>
      <c r="M84" s="31">
        <f>710</f>
        <v>710</v>
      </c>
      <c r="N84" s="32" t="s">
        <v>995</v>
      </c>
      <c r="O84" s="31">
        <f>459</f>
        <v>459</v>
      </c>
      <c r="P84" s="32" t="s">
        <v>1017</v>
      </c>
      <c r="Q84" s="31">
        <f>467</f>
        <v>467</v>
      </c>
      <c r="R84" s="32" t="s">
        <v>893</v>
      </c>
      <c r="S84" s="33">
        <f>554.65</f>
        <v>554.65</v>
      </c>
      <c r="T84" s="30">
        <f>37948044</f>
        <v>37948044</v>
      </c>
      <c r="U84" s="30">
        <f>924252</f>
        <v>924252</v>
      </c>
      <c r="V84" s="30">
        <f>20906762674</f>
        <v>20906762674</v>
      </c>
      <c r="W84" s="30">
        <f>424867366</f>
        <v>424867366</v>
      </c>
      <c r="X84" s="34">
        <f>20</f>
        <v>20</v>
      </c>
    </row>
    <row r="85" spans="1:24" x14ac:dyDescent="0.15">
      <c r="A85" s="25" t="s">
        <v>1210</v>
      </c>
      <c r="B85" s="25" t="s">
        <v>317</v>
      </c>
      <c r="C85" s="25" t="s">
        <v>318</v>
      </c>
      <c r="D85" s="25" t="s">
        <v>319</v>
      </c>
      <c r="E85" s="26" t="s">
        <v>45</v>
      </c>
      <c r="F85" s="27" t="s">
        <v>45</v>
      </c>
      <c r="G85" s="28" t="s">
        <v>45</v>
      </c>
      <c r="H85" s="29"/>
      <c r="I85" s="29" t="s">
        <v>46</v>
      </c>
      <c r="J85" s="30">
        <v>10</v>
      </c>
      <c r="K85" s="31">
        <f>3640</f>
        <v>3640</v>
      </c>
      <c r="L85" s="32" t="s">
        <v>995</v>
      </c>
      <c r="M85" s="31">
        <f>3917</f>
        <v>3917</v>
      </c>
      <c r="N85" s="32" t="s">
        <v>876</v>
      </c>
      <c r="O85" s="31">
        <f>3625</f>
        <v>3625</v>
      </c>
      <c r="P85" s="32" t="s">
        <v>995</v>
      </c>
      <c r="Q85" s="31">
        <f>3837</f>
        <v>3837</v>
      </c>
      <c r="R85" s="32" t="s">
        <v>893</v>
      </c>
      <c r="S85" s="33">
        <f>3816.2</f>
        <v>3816.2</v>
      </c>
      <c r="T85" s="30">
        <f>83340</f>
        <v>83340</v>
      </c>
      <c r="U85" s="30" t="str">
        <f>"－"</f>
        <v>－</v>
      </c>
      <c r="V85" s="30">
        <f>318146060</f>
        <v>318146060</v>
      </c>
      <c r="W85" s="30" t="str">
        <f>"－"</f>
        <v>－</v>
      </c>
      <c r="X85" s="34">
        <f>20</f>
        <v>20</v>
      </c>
    </row>
    <row r="86" spans="1:24" x14ac:dyDescent="0.15">
      <c r="A86" s="25" t="s">
        <v>1210</v>
      </c>
      <c r="B86" s="25" t="s">
        <v>320</v>
      </c>
      <c r="C86" s="25" t="s">
        <v>1118</v>
      </c>
      <c r="D86" s="25" t="s">
        <v>322</v>
      </c>
      <c r="E86" s="26" t="s">
        <v>45</v>
      </c>
      <c r="F86" s="27" t="s">
        <v>45</v>
      </c>
      <c r="G86" s="28" t="s">
        <v>45</v>
      </c>
      <c r="H86" s="29"/>
      <c r="I86" s="29" t="s">
        <v>46</v>
      </c>
      <c r="J86" s="30">
        <v>10</v>
      </c>
      <c r="K86" s="31">
        <f>1574</f>
        <v>1574</v>
      </c>
      <c r="L86" s="32" t="s">
        <v>995</v>
      </c>
      <c r="M86" s="31">
        <f>1809.5</f>
        <v>1809.5</v>
      </c>
      <c r="N86" s="32" t="s">
        <v>1002</v>
      </c>
      <c r="O86" s="31">
        <f>1574</f>
        <v>1574</v>
      </c>
      <c r="P86" s="32" t="s">
        <v>995</v>
      </c>
      <c r="Q86" s="31">
        <f>1746</f>
        <v>1746</v>
      </c>
      <c r="R86" s="32" t="s">
        <v>893</v>
      </c>
      <c r="S86" s="33">
        <f>1719.33</f>
        <v>1719.33</v>
      </c>
      <c r="T86" s="30">
        <f>238250</f>
        <v>238250</v>
      </c>
      <c r="U86" s="30">
        <f>60</f>
        <v>60</v>
      </c>
      <c r="V86" s="30">
        <f>413101765</f>
        <v>413101765</v>
      </c>
      <c r="W86" s="30">
        <f>91380</f>
        <v>91380</v>
      </c>
      <c r="X86" s="34">
        <f>20</f>
        <v>20</v>
      </c>
    </row>
    <row r="87" spans="1:24" x14ac:dyDescent="0.15">
      <c r="A87" s="25" t="s">
        <v>1210</v>
      </c>
      <c r="B87" s="25" t="s">
        <v>323</v>
      </c>
      <c r="C87" s="25" t="s">
        <v>324</v>
      </c>
      <c r="D87" s="25" t="s">
        <v>325</v>
      </c>
      <c r="E87" s="26" t="s">
        <v>45</v>
      </c>
      <c r="F87" s="27" t="s">
        <v>45</v>
      </c>
      <c r="G87" s="28" t="s">
        <v>45</v>
      </c>
      <c r="H87" s="29"/>
      <c r="I87" s="29" t="s">
        <v>46</v>
      </c>
      <c r="J87" s="30">
        <v>1</v>
      </c>
      <c r="K87" s="31">
        <f>63180</f>
        <v>63180</v>
      </c>
      <c r="L87" s="32" t="s">
        <v>995</v>
      </c>
      <c r="M87" s="31">
        <f>68190</f>
        <v>68190</v>
      </c>
      <c r="N87" s="32" t="s">
        <v>793</v>
      </c>
      <c r="O87" s="31">
        <f>63090</f>
        <v>63090</v>
      </c>
      <c r="P87" s="32" t="s">
        <v>995</v>
      </c>
      <c r="Q87" s="31">
        <f>67000</f>
        <v>67000</v>
      </c>
      <c r="R87" s="32" t="s">
        <v>893</v>
      </c>
      <c r="S87" s="33">
        <f>66533</f>
        <v>66533</v>
      </c>
      <c r="T87" s="30">
        <f>72465</f>
        <v>72465</v>
      </c>
      <c r="U87" s="30" t="str">
        <f>"－"</f>
        <v>－</v>
      </c>
      <c r="V87" s="30">
        <f>4808659260</f>
        <v>4808659260</v>
      </c>
      <c r="W87" s="30" t="str">
        <f>"－"</f>
        <v>－</v>
      </c>
      <c r="X87" s="34">
        <f>20</f>
        <v>20</v>
      </c>
    </row>
    <row r="88" spans="1:24" x14ac:dyDescent="0.15">
      <c r="A88" s="25" t="s">
        <v>1210</v>
      </c>
      <c r="B88" s="25" t="s">
        <v>326</v>
      </c>
      <c r="C88" s="25" t="s">
        <v>327</v>
      </c>
      <c r="D88" s="25" t="s">
        <v>328</v>
      </c>
      <c r="E88" s="26" t="s">
        <v>45</v>
      </c>
      <c r="F88" s="27" t="s">
        <v>45</v>
      </c>
      <c r="G88" s="28" t="s">
        <v>45</v>
      </c>
      <c r="H88" s="29"/>
      <c r="I88" s="29" t="s">
        <v>46</v>
      </c>
      <c r="J88" s="30">
        <v>1</v>
      </c>
      <c r="K88" s="31">
        <f>3295</f>
        <v>3295</v>
      </c>
      <c r="L88" s="32" t="s">
        <v>995</v>
      </c>
      <c r="M88" s="31">
        <f>3430</f>
        <v>3430</v>
      </c>
      <c r="N88" s="32" t="s">
        <v>1002</v>
      </c>
      <c r="O88" s="31">
        <f>3265</f>
        <v>3265</v>
      </c>
      <c r="P88" s="32" t="s">
        <v>995</v>
      </c>
      <c r="Q88" s="31">
        <f>3335</f>
        <v>3335</v>
      </c>
      <c r="R88" s="32" t="s">
        <v>893</v>
      </c>
      <c r="S88" s="33">
        <f>3352.25</f>
        <v>3352.25</v>
      </c>
      <c r="T88" s="30">
        <f>8173</f>
        <v>8173</v>
      </c>
      <c r="U88" s="30" t="str">
        <f>"－"</f>
        <v>－</v>
      </c>
      <c r="V88" s="30">
        <f>27346940</f>
        <v>27346940</v>
      </c>
      <c r="W88" s="30" t="str">
        <f>"－"</f>
        <v>－</v>
      </c>
      <c r="X88" s="34">
        <f>20</f>
        <v>20</v>
      </c>
    </row>
    <row r="89" spans="1:24" x14ac:dyDescent="0.15">
      <c r="A89" s="25" t="s">
        <v>1210</v>
      </c>
      <c r="B89" s="25" t="s">
        <v>329</v>
      </c>
      <c r="C89" s="25" t="s">
        <v>330</v>
      </c>
      <c r="D89" s="25" t="s">
        <v>331</v>
      </c>
      <c r="E89" s="26" t="s">
        <v>45</v>
      </c>
      <c r="F89" s="27" t="s">
        <v>45</v>
      </c>
      <c r="G89" s="28" t="s">
        <v>45</v>
      </c>
      <c r="H89" s="29"/>
      <c r="I89" s="29" t="s">
        <v>46</v>
      </c>
      <c r="J89" s="30">
        <v>1</v>
      </c>
      <c r="K89" s="31">
        <f>4410</f>
        <v>4410</v>
      </c>
      <c r="L89" s="32" t="s">
        <v>995</v>
      </c>
      <c r="M89" s="31">
        <f>4600</f>
        <v>4600</v>
      </c>
      <c r="N89" s="32" t="s">
        <v>876</v>
      </c>
      <c r="O89" s="31">
        <f>4365</f>
        <v>4365</v>
      </c>
      <c r="P89" s="32" t="s">
        <v>999</v>
      </c>
      <c r="Q89" s="31">
        <f>4450</f>
        <v>4450</v>
      </c>
      <c r="R89" s="32" t="s">
        <v>893</v>
      </c>
      <c r="S89" s="33">
        <f>4514</f>
        <v>4514</v>
      </c>
      <c r="T89" s="30">
        <f>7175</f>
        <v>7175</v>
      </c>
      <c r="U89" s="30" t="str">
        <f>"－"</f>
        <v>－</v>
      </c>
      <c r="V89" s="30">
        <f>32411375</f>
        <v>32411375</v>
      </c>
      <c r="W89" s="30" t="str">
        <f>"－"</f>
        <v>－</v>
      </c>
      <c r="X89" s="34">
        <f>20</f>
        <v>20</v>
      </c>
    </row>
    <row r="90" spans="1:24" x14ac:dyDescent="0.15">
      <c r="A90" s="25" t="s">
        <v>1210</v>
      </c>
      <c r="B90" s="25" t="s">
        <v>332</v>
      </c>
      <c r="C90" s="25" t="s">
        <v>972</v>
      </c>
      <c r="D90" s="25" t="s">
        <v>973</v>
      </c>
      <c r="E90" s="26" t="s">
        <v>45</v>
      </c>
      <c r="F90" s="27" t="s">
        <v>45</v>
      </c>
      <c r="G90" s="28" t="s">
        <v>45</v>
      </c>
      <c r="H90" s="29"/>
      <c r="I90" s="29" t="s">
        <v>46</v>
      </c>
      <c r="J90" s="30">
        <v>1</v>
      </c>
      <c r="K90" s="31">
        <f>2258</f>
        <v>2258</v>
      </c>
      <c r="L90" s="32" t="s">
        <v>995</v>
      </c>
      <c r="M90" s="31">
        <f>2648</f>
        <v>2648</v>
      </c>
      <c r="N90" s="32" t="s">
        <v>893</v>
      </c>
      <c r="O90" s="31">
        <f>2165</f>
        <v>2165</v>
      </c>
      <c r="P90" s="32" t="s">
        <v>995</v>
      </c>
      <c r="Q90" s="31">
        <f>2593</f>
        <v>2593</v>
      </c>
      <c r="R90" s="32" t="s">
        <v>893</v>
      </c>
      <c r="S90" s="33">
        <f>2458.85</f>
        <v>2458.85</v>
      </c>
      <c r="T90" s="30">
        <f>2689991</f>
        <v>2689991</v>
      </c>
      <c r="U90" s="30">
        <f>30026</f>
        <v>30026</v>
      </c>
      <c r="V90" s="30">
        <f>6635216617</f>
        <v>6635216617</v>
      </c>
      <c r="W90" s="30">
        <f>76168887</f>
        <v>76168887</v>
      </c>
      <c r="X90" s="34">
        <f>20</f>
        <v>20</v>
      </c>
    </row>
    <row r="91" spans="1:24" x14ac:dyDescent="0.15">
      <c r="A91" s="25" t="s">
        <v>1210</v>
      </c>
      <c r="B91" s="25" t="s">
        <v>333</v>
      </c>
      <c r="C91" s="25" t="s">
        <v>334</v>
      </c>
      <c r="D91" s="25" t="s">
        <v>335</v>
      </c>
      <c r="E91" s="26" t="s">
        <v>45</v>
      </c>
      <c r="F91" s="27" t="s">
        <v>45</v>
      </c>
      <c r="G91" s="28" t="s">
        <v>45</v>
      </c>
      <c r="H91" s="29"/>
      <c r="I91" s="29" t="s">
        <v>46</v>
      </c>
      <c r="J91" s="30">
        <v>1</v>
      </c>
      <c r="K91" s="31">
        <f>46880</f>
        <v>46880</v>
      </c>
      <c r="L91" s="32" t="s">
        <v>995</v>
      </c>
      <c r="M91" s="31">
        <f>48930</f>
        <v>48930</v>
      </c>
      <c r="N91" s="32" t="s">
        <v>792</v>
      </c>
      <c r="O91" s="31">
        <f>46090</f>
        <v>46090</v>
      </c>
      <c r="P91" s="32" t="s">
        <v>999</v>
      </c>
      <c r="Q91" s="31">
        <f>48800</f>
        <v>48800</v>
      </c>
      <c r="R91" s="32" t="s">
        <v>893</v>
      </c>
      <c r="S91" s="33">
        <f>48288</f>
        <v>48288</v>
      </c>
      <c r="T91" s="30">
        <f>20505</f>
        <v>20505</v>
      </c>
      <c r="U91" s="30">
        <f>622</f>
        <v>622</v>
      </c>
      <c r="V91" s="30">
        <f>988841083</f>
        <v>988841083</v>
      </c>
      <c r="W91" s="30">
        <f>30005873</f>
        <v>30005873</v>
      </c>
      <c r="X91" s="34">
        <f>20</f>
        <v>20</v>
      </c>
    </row>
    <row r="92" spans="1:24" x14ac:dyDescent="0.15">
      <c r="A92" s="25" t="s">
        <v>1210</v>
      </c>
      <c r="B92" s="25" t="s">
        <v>336</v>
      </c>
      <c r="C92" s="25" t="s">
        <v>337</v>
      </c>
      <c r="D92" s="25" t="s">
        <v>338</v>
      </c>
      <c r="E92" s="26" t="s">
        <v>45</v>
      </c>
      <c r="F92" s="27" t="s">
        <v>45</v>
      </c>
      <c r="G92" s="28" t="s">
        <v>45</v>
      </c>
      <c r="H92" s="29"/>
      <c r="I92" s="29" t="s">
        <v>46</v>
      </c>
      <c r="J92" s="30">
        <v>10</v>
      </c>
      <c r="K92" s="31">
        <f>34570</f>
        <v>34570</v>
      </c>
      <c r="L92" s="32" t="s">
        <v>995</v>
      </c>
      <c r="M92" s="31">
        <f>37700</f>
        <v>37700</v>
      </c>
      <c r="N92" s="32" t="s">
        <v>80</v>
      </c>
      <c r="O92" s="31">
        <f>34350</f>
        <v>34350</v>
      </c>
      <c r="P92" s="32" t="s">
        <v>1000</v>
      </c>
      <c r="Q92" s="31">
        <f>36730</f>
        <v>36730</v>
      </c>
      <c r="R92" s="32" t="s">
        <v>893</v>
      </c>
      <c r="S92" s="33">
        <f>36174.5</f>
        <v>36174.5</v>
      </c>
      <c r="T92" s="30">
        <f>1365490</f>
        <v>1365490</v>
      </c>
      <c r="U92" s="30">
        <f>10000</f>
        <v>10000</v>
      </c>
      <c r="V92" s="30">
        <f>49420988700</f>
        <v>49420988700</v>
      </c>
      <c r="W92" s="30">
        <f>373300000</f>
        <v>373300000</v>
      </c>
      <c r="X92" s="34">
        <f>20</f>
        <v>20</v>
      </c>
    </row>
    <row r="93" spans="1:24" x14ac:dyDescent="0.15">
      <c r="A93" s="25" t="s">
        <v>1210</v>
      </c>
      <c r="B93" s="25" t="s">
        <v>339</v>
      </c>
      <c r="C93" s="25" t="s">
        <v>340</v>
      </c>
      <c r="D93" s="25" t="s">
        <v>341</v>
      </c>
      <c r="E93" s="26" t="s">
        <v>45</v>
      </c>
      <c r="F93" s="27" t="s">
        <v>45</v>
      </c>
      <c r="G93" s="28" t="s">
        <v>45</v>
      </c>
      <c r="H93" s="29"/>
      <c r="I93" s="29" t="s">
        <v>46</v>
      </c>
      <c r="J93" s="30">
        <v>10</v>
      </c>
      <c r="K93" s="31">
        <f>1624.5</f>
        <v>1624.5</v>
      </c>
      <c r="L93" s="32" t="s">
        <v>995</v>
      </c>
      <c r="M93" s="31">
        <f>1625.5</f>
        <v>1625.5</v>
      </c>
      <c r="N93" s="32" t="s">
        <v>995</v>
      </c>
      <c r="O93" s="31">
        <f>1549.5</f>
        <v>1549.5</v>
      </c>
      <c r="P93" s="32" t="s">
        <v>80</v>
      </c>
      <c r="Q93" s="31">
        <f>1569.5</f>
        <v>1569.5</v>
      </c>
      <c r="R93" s="32" t="s">
        <v>893</v>
      </c>
      <c r="S93" s="33">
        <f>1582.3</f>
        <v>1582.3</v>
      </c>
      <c r="T93" s="30">
        <f>532730</f>
        <v>532730</v>
      </c>
      <c r="U93" s="30" t="str">
        <f>"－"</f>
        <v>－</v>
      </c>
      <c r="V93" s="30">
        <f>843157945</f>
        <v>843157945</v>
      </c>
      <c r="W93" s="30" t="str">
        <f>"－"</f>
        <v>－</v>
      </c>
      <c r="X93" s="34">
        <f>20</f>
        <v>20</v>
      </c>
    </row>
    <row r="94" spans="1:24" x14ac:dyDescent="0.15">
      <c r="A94" s="25" t="s">
        <v>1210</v>
      </c>
      <c r="B94" s="25" t="s">
        <v>342</v>
      </c>
      <c r="C94" s="25" t="s">
        <v>343</v>
      </c>
      <c r="D94" s="25" t="s">
        <v>344</v>
      </c>
      <c r="E94" s="26" t="s">
        <v>45</v>
      </c>
      <c r="F94" s="27" t="s">
        <v>45</v>
      </c>
      <c r="G94" s="28" t="s">
        <v>45</v>
      </c>
      <c r="H94" s="29"/>
      <c r="I94" s="29" t="s">
        <v>46</v>
      </c>
      <c r="J94" s="30">
        <v>1</v>
      </c>
      <c r="K94" s="31">
        <f>18700</f>
        <v>18700</v>
      </c>
      <c r="L94" s="32" t="s">
        <v>995</v>
      </c>
      <c r="M94" s="31">
        <f>21620</f>
        <v>21620</v>
      </c>
      <c r="N94" s="32" t="s">
        <v>80</v>
      </c>
      <c r="O94" s="31">
        <f>18595</f>
        <v>18595</v>
      </c>
      <c r="P94" s="32" t="s">
        <v>995</v>
      </c>
      <c r="Q94" s="31">
        <f>21120</f>
        <v>21120</v>
      </c>
      <c r="R94" s="32" t="s">
        <v>893</v>
      </c>
      <c r="S94" s="33">
        <f>20498.75</f>
        <v>20498.75</v>
      </c>
      <c r="T94" s="30">
        <f>114997290</f>
        <v>114997290</v>
      </c>
      <c r="U94" s="30">
        <f>52456</f>
        <v>52456</v>
      </c>
      <c r="V94" s="30">
        <f>2345350628310</f>
        <v>2345350628310</v>
      </c>
      <c r="W94" s="30">
        <f>1050658375</f>
        <v>1050658375</v>
      </c>
      <c r="X94" s="34">
        <f>20</f>
        <v>20</v>
      </c>
    </row>
    <row r="95" spans="1:24" x14ac:dyDescent="0.15">
      <c r="A95" s="25" t="s">
        <v>1210</v>
      </c>
      <c r="B95" s="25" t="s">
        <v>345</v>
      </c>
      <c r="C95" s="25" t="s">
        <v>346</v>
      </c>
      <c r="D95" s="25" t="s">
        <v>347</v>
      </c>
      <c r="E95" s="26" t="s">
        <v>45</v>
      </c>
      <c r="F95" s="27" t="s">
        <v>45</v>
      </c>
      <c r="G95" s="28" t="s">
        <v>45</v>
      </c>
      <c r="H95" s="29"/>
      <c r="I95" s="29" t="s">
        <v>46</v>
      </c>
      <c r="J95" s="30">
        <v>1</v>
      </c>
      <c r="K95" s="31">
        <f>798</f>
        <v>798</v>
      </c>
      <c r="L95" s="32" t="s">
        <v>995</v>
      </c>
      <c r="M95" s="31">
        <f>799</f>
        <v>799</v>
      </c>
      <c r="N95" s="32" t="s">
        <v>995</v>
      </c>
      <c r="O95" s="31">
        <f>737</f>
        <v>737</v>
      </c>
      <c r="P95" s="32" t="s">
        <v>80</v>
      </c>
      <c r="Q95" s="31">
        <f>746</f>
        <v>746</v>
      </c>
      <c r="R95" s="32" t="s">
        <v>893</v>
      </c>
      <c r="S95" s="33">
        <f>758.35</f>
        <v>758.35</v>
      </c>
      <c r="T95" s="30">
        <f>33618450</f>
        <v>33618450</v>
      </c>
      <c r="U95" s="30">
        <f>2415583</f>
        <v>2415583</v>
      </c>
      <c r="V95" s="30">
        <f>25510407175</f>
        <v>25510407175</v>
      </c>
      <c r="W95" s="30">
        <f>1807973548</f>
        <v>1807973548</v>
      </c>
      <c r="X95" s="34">
        <f>20</f>
        <v>20</v>
      </c>
    </row>
    <row r="96" spans="1:24" x14ac:dyDescent="0.15">
      <c r="A96" s="25" t="s">
        <v>1210</v>
      </c>
      <c r="B96" s="25" t="s">
        <v>348</v>
      </c>
      <c r="C96" s="25" t="s">
        <v>349</v>
      </c>
      <c r="D96" s="25" t="s">
        <v>350</v>
      </c>
      <c r="E96" s="26" t="s">
        <v>45</v>
      </c>
      <c r="F96" s="27" t="s">
        <v>45</v>
      </c>
      <c r="G96" s="28" t="s">
        <v>45</v>
      </c>
      <c r="H96" s="29"/>
      <c r="I96" s="29" t="s">
        <v>46</v>
      </c>
      <c r="J96" s="30">
        <v>10</v>
      </c>
      <c r="K96" s="31">
        <f>3887</f>
        <v>3887</v>
      </c>
      <c r="L96" s="32" t="s">
        <v>995</v>
      </c>
      <c r="M96" s="31">
        <f>4419</f>
        <v>4419</v>
      </c>
      <c r="N96" s="32" t="s">
        <v>876</v>
      </c>
      <c r="O96" s="31">
        <f>3750</f>
        <v>3750</v>
      </c>
      <c r="P96" s="32" t="s">
        <v>893</v>
      </c>
      <c r="Q96" s="31">
        <f>3779</f>
        <v>3779</v>
      </c>
      <c r="R96" s="32" t="s">
        <v>893</v>
      </c>
      <c r="S96" s="33">
        <f>4035.25</f>
        <v>4035.25</v>
      </c>
      <c r="T96" s="30">
        <f>259700</f>
        <v>259700</v>
      </c>
      <c r="U96" s="30" t="str">
        <f>"－"</f>
        <v>－</v>
      </c>
      <c r="V96" s="30">
        <f>1050832500</f>
        <v>1050832500</v>
      </c>
      <c r="W96" s="30" t="str">
        <f>"－"</f>
        <v>－</v>
      </c>
      <c r="X96" s="34">
        <f>20</f>
        <v>20</v>
      </c>
    </row>
    <row r="97" spans="1:24" x14ac:dyDescent="0.15">
      <c r="A97" s="25" t="s">
        <v>1210</v>
      </c>
      <c r="B97" s="25" t="s">
        <v>351</v>
      </c>
      <c r="C97" s="25" t="s">
        <v>352</v>
      </c>
      <c r="D97" s="25" t="s">
        <v>353</v>
      </c>
      <c r="E97" s="26" t="s">
        <v>45</v>
      </c>
      <c r="F97" s="27" t="s">
        <v>45</v>
      </c>
      <c r="G97" s="28" t="s">
        <v>45</v>
      </c>
      <c r="H97" s="29"/>
      <c r="I97" s="29" t="s">
        <v>46</v>
      </c>
      <c r="J97" s="30">
        <v>10</v>
      </c>
      <c r="K97" s="31">
        <f>12800</f>
        <v>12800</v>
      </c>
      <c r="L97" s="32" t="s">
        <v>995</v>
      </c>
      <c r="M97" s="31">
        <f>12945</f>
        <v>12945</v>
      </c>
      <c r="N97" s="32" t="s">
        <v>56</v>
      </c>
      <c r="O97" s="31">
        <f>11905</f>
        <v>11905</v>
      </c>
      <c r="P97" s="32" t="s">
        <v>998</v>
      </c>
      <c r="Q97" s="31">
        <f>12595</f>
        <v>12595</v>
      </c>
      <c r="R97" s="32" t="s">
        <v>893</v>
      </c>
      <c r="S97" s="33">
        <f>12460.5</f>
        <v>12460.5</v>
      </c>
      <c r="T97" s="30">
        <f>44430</f>
        <v>44430</v>
      </c>
      <c r="U97" s="30" t="str">
        <f>"－"</f>
        <v>－</v>
      </c>
      <c r="V97" s="30">
        <f>551341500</f>
        <v>551341500</v>
      </c>
      <c r="W97" s="30" t="str">
        <f>"－"</f>
        <v>－</v>
      </c>
      <c r="X97" s="34">
        <f>20</f>
        <v>20</v>
      </c>
    </row>
    <row r="98" spans="1:24" x14ac:dyDescent="0.15">
      <c r="A98" s="25" t="s">
        <v>1210</v>
      </c>
      <c r="B98" s="25" t="s">
        <v>354</v>
      </c>
      <c r="C98" s="25" t="s">
        <v>355</v>
      </c>
      <c r="D98" s="25" t="s">
        <v>1119</v>
      </c>
      <c r="E98" s="26" t="s">
        <v>45</v>
      </c>
      <c r="F98" s="27" t="s">
        <v>45</v>
      </c>
      <c r="G98" s="28" t="s">
        <v>45</v>
      </c>
      <c r="H98" s="29"/>
      <c r="I98" s="29" t="s">
        <v>46</v>
      </c>
      <c r="J98" s="30">
        <v>1</v>
      </c>
      <c r="K98" s="31">
        <f>31830</f>
        <v>31830</v>
      </c>
      <c r="L98" s="32" t="s">
        <v>995</v>
      </c>
      <c r="M98" s="31">
        <f>32620</f>
        <v>32620</v>
      </c>
      <c r="N98" s="32" t="s">
        <v>255</v>
      </c>
      <c r="O98" s="31">
        <f>30790</f>
        <v>30790</v>
      </c>
      <c r="P98" s="32" t="s">
        <v>1000</v>
      </c>
      <c r="Q98" s="31">
        <f>32230</f>
        <v>32230</v>
      </c>
      <c r="R98" s="32" t="s">
        <v>893</v>
      </c>
      <c r="S98" s="33">
        <f>32023.5</f>
        <v>32023.5</v>
      </c>
      <c r="T98" s="30">
        <f>99756</f>
        <v>99756</v>
      </c>
      <c r="U98" s="30">
        <f>51902</f>
        <v>51902</v>
      </c>
      <c r="V98" s="30">
        <f>3193517348</f>
        <v>3193517348</v>
      </c>
      <c r="W98" s="30">
        <f>1664973748</f>
        <v>1664973748</v>
      </c>
      <c r="X98" s="34">
        <f>20</f>
        <v>20</v>
      </c>
    </row>
    <row r="99" spans="1:24" x14ac:dyDescent="0.15">
      <c r="A99" s="25" t="s">
        <v>1210</v>
      </c>
      <c r="B99" s="25" t="s">
        <v>357</v>
      </c>
      <c r="C99" s="25" t="s">
        <v>358</v>
      </c>
      <c r="D99" s="25" t="s">
        <v>359</v>
      </c>
      <c r="E99" s="26" t="s">
        <v>45</v>
      </c>
      <c r="F99" s="27" t="s">
        <v>45</v>
      </c>
      <c r="G99" s="28" t="s">
        <v>45</v>
      </c>
      <c r="H99" s="29"/>
      <c r="I99" s="29" t="s">
        <v>46</v>
      </c>
      <c r="J99" s="30">
        <v>1</v>
      </c>
      <c r="K99" s="31">
        <f>2516</f>
        <v>2516</v>
      </c>
      <c r="L99" s="32" t="s">
        <v>995</v>
      </c>
      <c r="M99" s="31">
        <f>2714</f>
        <v>2714</v>
      </c>
      <c r="N99" s="32" t="s">
        <v>80</v>
      </c>
      <c r="O99" s="31">
        <f>2516</f>
        <v>2516</v>
      </c>
      <c r="P99" s="32" t="s">
        <v>995</v>
      </c>
      <c r="Q99" s="31">
        <f>2683</f>
        <v>2683</v>
      </c>
      <c r="R99" s="32" t="s">
        <v>893</v>
      </c>
      <c r="S99" s="33">
        <f>2642.25</f>
        <v>2642.25</v>
      </c>
      <c r="T99" s="30">
        <f>400228</f>
        <v>400228</v>
      </c>
      <c r="U99" s="30">
        <f>281478</f>
        <v>281478</v>
      </c>
      <c r="V99" s="30">
        <f>1039380912</f>
        <v>1039380912</v>
      </c>
      <c r="W99" s="30">
        <f>729809697</f>
        <v>729809697</v>
      </c>
      <c r="X99" s="34">
        <f>20</f>
        <v>20</v>
      </c>
    </row>
    <row r="100" spans="1:24" x14ac:dyDescent="0.15">
      <c r="A100" s="25" t="s">
        <v>1210</v>
      </c>
      <c r="B100" s="25" t="s">
        <v>360</v>
      </c>
      <c r="C100" s="25" t="s">
        <v>361</v>
      </c>
      <c r="D100" s="25" t="s">
        <v>362</v>
      </c>
      <c r="E100" s="26" t="s">
        <v>45</v>
      </c>
      <c r="F100" s="27" t="s">
        <v>45</v>
      </c>
      <c r="G100" s="28" t="s">
        <v>45</v>
      </c>
      <c r="H100" s="29"/>
      <c r="I100" s="29" t="s">
        <v>46</v>
      </c>
      <c r="J100" s="30">
        <v>10</v>
      </c>
      <c r="K100" s="31">
        <f>19990</f>
        <v>19990</v>
      </c>
      <c r="L100" s="32" t="s">
        <v>995</v>
      </c>
      <c r="M100" s="31">
        <f>23100</f>
        <v>23100</v>
      </c>
      <c r="N100" s="32" t="s">
        <v>80</v>
      </c>
      <c r="O100" s="31">
        <f>19870</f>
        <v>19870</v>
      </c>
      <c r="P100" s="32" t="s">
        <v>995</v>
      </c>
      <c r="Q100" s="31">
        <f>22530</f>
        <v>22530</v>
      </c>
      <c r="R100" s="32" t="s">
        <v>893</v>
      </c>
      <c r="S100" s="33">
        <f>21895.75</f>
        <v>21895.75</v>
      </c>
      <c r="T100" s="30">
        <f>8962270</f>
        <v>8962270</v>
      </c>
      <c r="U100" s="30">
        <f>30</f>
        <v>30</v>
      </c>
      <c r="V100" s="30">
        <f>195175185075</f>
        <v>195175185075</v>
      </c>
      <c r="W100" s="30">
        <f>675375</f>
        <v>675375</v>
      </c>
      <c r="X100" s="34">
        <f>20</f>
        <v>20</v>
      </c>
    </row>
    <row r="101" spans="1:24" x14ac:dyDescent="0.15">
      <c r="A101" s="25" t="s">
        <v>1210</v>
      </c>
      <c r="B101" s="25" t="s">
        <v>363</v>
      </c>
      <c r="C101" s="25" t="s">
        <v>364</v>
      </c>
      <c r="D101" s="25" t="s">
        <v>365</v>
      </c>
      <c r="E101" s="26" t="s">
        <v>45</v>
      </c>
      <c r="F101" s="27" t="s">
        <v>45</v>
      </c>
      <c r="G101" s="28" t="s">
        <v>45</v>
      </c>
      <c r="H101" s="29"/>
      <c r="I101" s="29" t="s">
        <v>46</v>
      </c>
      <c r="J101" s="30">
        <v>10</v>
      </c>
      <c r="K101" s="31">
        <f>2117.5</f>
        <v>2117.5</v>
      </c>
      <c r="L101" s="32" t="s">
        <v>995</v>
      </c>
      <c r="M101" s="31">
        <f>2117.5</f>
        <v>2117.5</v>
      </c>
      <c r="N101" s="32" t="s">
        <v>995</v>
      </c>
      <c r="O101" s="31">
        <f>1957</f>
        <v>1957</v>
      </c>
      <c r="P101" s="32" t="s">
        <v>80</v>
      </c>
      <c r="Q101" s="31">
        <f>1979</f>
        <v>1979</v>
      </c>
      <c r="R101" s="32" t="s">
        <v>893</v>
      </c>
      <c r="S101" s="33">
        <f>2013.25</f>
        <v>2013.25</v>
      </c>
      <c r="T101" s="30">
        <f>3306270</f>
        <v>3306270</v>
      </c>
      <c r="U101" s="30">
        <f>20000</f>
        <v>20000</v>
      </c>
      <c r="V101" s="30">
        <f>6621432240</f>
        <v>6621432240</v>
      </c>
      <c r="W101" s="30">
        <f>40626000</f>
        <v>40626000</v>
      </c>
      <c r="X101" s="34">
        <f>20</f>
        <v>20</v>
      </c>
    </row>
    <row r="102" spans="1:24" x14ac:dyDescent="0.15">
      <c r="A102" s="25" t="s">
        <v>1210</v>
      </c>
      <c r="B102" s="25" t="s">
        <v>369</v>
      </c>
      <c r="C102" s="25" t="s">
        <v>1059</v>
      </c>
      <c r="D102" s="25" t="s">
        <v>1060</v>
      </c>
      <c r="E102" s="26" t="s">
        <v>45</v>
      </c>
      <c r="F102" s="27" t="s">
        <v>45</v>
      </c>
      <c r="G102" s="28" t="s">
        <v>45</v>
      </c>
      <c r="H102" s="29"/>
      <c r="I102" s="29" t="s">
        <v>46</v>
      </c>
      <c r="J102" s="30">
        <v>10</v>
      </c>
      <c r="K102" s="31">
        <f>1610</f>
        <v>1610</v>
      </c>
      <c r="L102" s="32" t="s">
        <v>995</v>
      </c>
      <c r="M102" s="31">
        <f>1693</f>
        <v>1693</v>
      </c>
      <c r="N102" s="32" t="s">
        <v>80</v>
      </c>
      <c r="O102" s="31">
        <f>1610</f>
        <v>1610</v>
      </c>
      <c r="P102" s="32" t="s">
        <v>995</v>
      </c>
      <c r="Q102" s="31">
        <f>1668</f>
        <v>1668</v>
      </c>
      <c r="R102" s="32" t="s">
        <v>893</v>
      </c>
      <c r="S102" s="33">
        <f>1657.98</f>
        <v>1657.98</v>
      </c>
      <c r="T102" s="30">
        <f>12540</f>
        <v>12540</v>
      </c>
      <c r="U102" s="30" t="str">
        <f>"－"</f>
        <v>－</v>
      </c>
      <c r="V102" s="30">
        <f>20804500</f>
        <v>20804500</v>
      </c>
      <c r="W102" s="30" t="str">
        <f>"－"</f>
        <v>－</v>
      </c>
      <c r="X102" s="34">
        <f>20</f>
        <v>20</v>
      </c>
    </row>
    <row r="103" spans="1:24" x14ac:dyDescent="0.15">
      <c r="A103" s="25" t="s">
        <v>1210</v>
      </c>
      <c r="B103" s="25" t="s">
        <v>372</v>
      </c>
      <c r="C103" s="25" t="s">
        <v>373</v>
      </c>
      <c r="D103" s="25" t="s">
        <v>374</v>
      </c>
      <c r="E103" s="26" t="s">
        <v>45</v>
      </c>
      <c r="F103" s="27" t="s">
        <v>45</v>
      </c>
      <c r="G103" s="28" t="s">
        <v>45</v>
      </c>
      <c r="H103" s="29"/>
      <c r="I103" s="29" t="s">
        <v>46</v>
      </c>
      <c r="J103" s="30">
        <v>1</v>
      </c>
      <c r="K103" s="31">
        <f>1835</f>
        <v>1835</v>
      </c>
      <c r="L103" s="32" t="s">
        <v>995</v>
      </c>
      <c r="M103" s="31">
        <f>1960</f>
        <v>1960</v>
      </c>
      <c r="N103" s="32" t="s">
        <v>80</v>
      </c>
      <c r="O103" s="31">
        <f>1835</f>
        <v>1835</v>
      </c>
      <c r="P103" s="32" t="s">
        <v>995</v>
      </c>
      <c r="Q103" s="31">
        <f>1937</f>
        <v>1937</v>
      </c>
      <c r="R103" s="32" t="s">
        <v>893</v>
      </c>
      <c r="S103" s="33">
        <f>1912.16</f>
        <v>1912.16</v>
      </c>
      <c r="T103" s="30">
        <f>404787</f>
        <v>404787</v>
      </c>
      <c r="U103" s="30">
        <f>400001</f>
        <v>400001</v>
      </c>
      <c r="V103" s="30">
        <f>773207624</f>
        <v>773207624</v>
      </c>
      <c r="W103" s="30">
        <f>764131933</f>
        <v>764131933</v>
      </c>
      <c r="X103" s="34">
        <f>19</f>
        <v>19</v>
      </c>
    </row>
    <row r="104" spans="1:24" x14ac:dyDescent="0.15">
      <c r="A104" s="25" t="s">
        <v>1210</v>
      </c>
      <c r="B104" s="25" t="s">
        <v>375</v>
      </c>
      <c r="C104" s="25" t="s">
        <v>376</v>
      </c>
      <c r="D104" s="25" t="s">
        <v>377</v>
      </c>
      <c r="E104" s="26" t="s">
        <v>45</v>
      </c>
      <c r="F104" s="27" t="s">
        <v>45</v>
      </c>
      <c r="G104" s="28" t="s">
        <v>45</v>
      </c>
      <c r="H104" s="29"/>
      <c r="I104" s="29" t="s">
        <v>46</v>
      </c>
      <c r="J104" s="30">
        <v>1</v>
      </c>
      <c r="K104" s="31">
        <f>20645</f>
        <v>20645</v>
      </c>
      <c r="L104" s="32" t="s">
        <v>995</v>
      </c>
      <c r="M104" s="31">
        <f>21780</f>
        <v>21780</v>
      </c>
      <c r="N104" s="32" t="s">
        <v>80</v>
      </c>
      <c r="O104" s="31">
        <f>20645</f>
        <v>20645</v>
      </c>
      <c r="P104" s="32" t="s">
        <v>995</v>
      </c>
      <c r="Q104" s="31">
        <f>21495</f>
        <v>21495</v>
      </c>
      <c r="R104" s="32" t="s">
        <v>893</v>
      </c>
      <c r="S104" s="33">
        <f>21308.5</f>
        <v>21308.5</v>
      </c>
      <c r="T104" s="30">
        <f>125477</f>
        <v>125477</v>
      </c>
      <c r="U104" s="30">
        <f>68060</f>
        <v>68060</v>
      </c>
      <c r="V104" s="30">
        <f>2697210858</f>
        <v>2697210858</v>
      </c>
      <c r="W104" s="30">
        <f>1465874328</f>
        <v>1465874328</v>
      </c>
      <c r="X104" s="34">
        <f>20</f>
        <v>20</v>
      </c>
    </row>
    <row r="105" spans="1:24" x14ac:dyDescent="0.15">
      <c r="A105" s="25" t="s">
        <v>1210</v>
      </c>
      <c r="B105" s="25" t="s">
        <v>378</v>
      </c>
      <c r="C105" s="25" t="s">
        <v>379</v>
      </c>
      <c r="D105" s="25" t="s">
        <v>380</v>
      </c>
      <c r="E105" s="26" t="s">
        <v>45</v>
      </c>
      <c r="F105" s="27" t="s">
        <v>45</v>
      </c>
      <c r="G105" s="28" t="s">
        <v>45</v>
      </c>
      <c r="H105" s="29"/>
      <c r="I105" s="29" t="s">
        <v>46</v>
      </c>
      <c r="J105" s="30">
        <v>1</v>
      </c>
      <c r="K105" s="31">
        <f>1907</f>
        <v>1907</v>
      </c>
      <c r="L105" s="32" t="s">
        <v>995</v>
      </c>
      <c r="M105" s="31">
        <f>2009</f>
        <v>2009</v>
      </c>
      <c r="N105" s="32" t="s">
        <v>80</v>
      </c>
      <c r="O105" s="31">
        <f>1904</f>
        <v>1904</v>
      </c>
      <c r="P105" s="32" t="s">
        <v>995</v>
      </c>
      <c r="Q105" s="31">
        <f>1983</f>
        <v>1983</v>
      </c>
      <c r="R105" s="32" t="s">
        <v>893</v>
      </c>
      <c r="S105" s="33">
        <f>1965.75</f>
        <v>1965.75</v>
      </c>
      <c r="T105" s="30">
        <f>142821</f>
        <v>142821</v>
      </c>
      <c r="U105" s="30">
        <f>105000</f>
        <v>105000</v>
      </c>
      <c r="V105" s="30">
        <f>275370276</f>
        <v>275370276</v>
      </c>
      <c r="W105" s="30">
        <f>201024846</f>
        <v>201024846</v>
      </c>
      <c r="X105" s="34">
        <f>20</f>
        <v>20</v>
      </c>
    </row>
    <row r="106" spans="1:24" x14ac:dyDescent="0.15">
      <c r="A106" s="25" t="s">
        <v>1210</v>
      </c>
      <c r="B106" s="25" t="s">
        <v>381</v>
      </c>
      <c r="C106" s="25" t="s">
        <v>382</v>
      </c>
      <c r="D106" s="25" t="s">
        <v>383</v>
      </c>
      <c r="E106" s="26" t="s">
        <v>45</v>
      </c>
      <c r="F106" s="27" t="s">
        <v>45</v>
      </c>
      <c r="G106" s="28" t="s">
        <v>45</v>
      </c>
      <c r="H106" s="29"/>
      <c r="I106" s="29" t="s">
        <v>46</v>
      </c>
      <c r="J106" s="30">
        <v>1</v>
      </c>
      <c r="K106" s="31">
        <f>21310</f>
        <v>21310</v>
      </c>
      <c r="L106" s="32" t="s">
        <v>995</v>
      </c>
      <c r="M106" s="31">
        <f>22470</f>
        <v>22470</v>
      </c>
      <c r="N106" s="32" t="s">
        <v>255</v>
      </c>
      <c r="O106" s="31">
        <f>21310</f>
        <v>21310</v>
      </c>
      <c r="P106" s="32" t="s">
        <v>995</v>
      </c>
      <c r="Q106" s="31">
        <f>22165</f>
        <v>22165</v>
      </c>
      <c r="R106" s="32" t="s">
        <v>893</v>
      </c>
      <c r="S106" s="33">
        <f>21984.25</f>
        <v>21984.25</v>
      </c>
      <c r="T106" s="30">
        <f>40773</f>
        <v>40773</v>
      </c>
      <c r="U106" s="30">
        <f>20000</f>
        <v>20000</v>
      </c>
      <c r="V106" s="30">
        <f>902311675</f>
        <v>902311675</v>
      </c>
      <c r="W106" s="30">
        <f>441642000</f>
        <v>441642000</v>
      </c>
      <c r="X106" s="34">
        <f>20</f>
        <v>20</v>
      </c>
    </row>
    <row r="107" spans="1:24" x14ac:dyDescent="0.15">
      <c r="A107" s="25" t="s">
        <v>1210</v>
      </c>
      <c r="B107" s="25" t="s">
        <v>384</v>
      </c>
      <c r="C107" s="25" t="s">
        <v>385</v>
      </c>
      <c r="D107" s="25" t="s">
        <v>386</v>
      </c>
      <c r="E107" s="26" t="s">
        <v>45</v>
      </c>
      <c r="F107" s="27" t="s">
        <v>45</v>
      </c>
      <c r="G107" s="28" t="s">
        <v>45</v>
      </c>
      <c r="H107" s="29"/>
      <c r="I107" s="29" t="s">
        <v>46</v>
      </c>
      <c r="J107" s="30">
        <v>10</v>
      </c>
      <c r="K107" s="31">
        <f>1864.5</f>
        <v>1864.5</v>
      </c>
      <c r="L107" s="32" t="s">
        <v>995</v>
      </c>
      <c r="M107" s="31">
        <f>1887</f>
        <v>1887</v>
      </c>
      <c r="N107" s="32" t="s">
        <v>78</v>
      </c>
      <c r="O107" s="31">
        <f>1833</f>
        <v>1833</v>
      </c>
      <c r="P107" s="32" t="s">
        <v>1004</v>
      </c>
      <c r="Q107" s="31">
        <f>1876.5</f>
        <v>1876.5</v>
      </c>
      <c r="R107" s="32" t="s">
        <v>893</v>
      </c>
      <c r="S107" s="33">
        <f>1863.73</f>
        <v>1863.73</v>
      </c>
      <c r="T107" s="30">
        <f>545280</f>
        <v>545280</v>
      </c>
      <c r="U107" s="30">
        <f>135000</f>
        <v>135000</v>
      </c>
      <c r="V107" s="30">
        <f>1013552560</f>
        <v>1013552560</v>
      </c>
      <c r="W107" s="30">
        <f>249480000</f>
        <v>249480000</v>
      </c>
      <c r="X107" s="34">
        <f>20</f>
        <v>20</v>
      </c>
    </row>
    <row r="108" spans="1:24" x14ac:dyDescent="0.15">
      <c r="A108" s="25" t="s">
        <v>1210</v>
      </c>
      <c r="B108" s="25" t="s">
        <v>387</v>
      </c>
      <c r="C108" s="25" t="s">
        <v>388</v>
      </c>
      <c r="D108" s="25" t="s">
        <v>389</v>
      </c>
      <c r="E108" s="26" t="s">
        <v>45</v>
      </c>
      <c r="F108" s="27" t="s">
        <v>45</v>
      </c>
      <c r="G108" s="28" t="s">
        <v>45</v>
      </c>
      <c r="H108" s="29"/>
      <c r="I108" s="29" t="s">
        <v>46</v>
      </c>
      <c r="J108" s="30">
        <v>10</v>
      </c>
      <c r="K108" s="31">
        <f>2000</f>
        <v>2000</v>
      </c>
      <c r="L108" s="32" t="s">
        <v>876</v>
      </c>
      <c r="M108" s="31">
        <f>2000</f>
        <v>2000</v>
      </c>
      <c r="N108" s="32" t="s">
        <v>876</v>
      </c>
      <c r="O108" s="31">
        <f>2000</f>
        <v>2000</v>
      </c>
      <c r="P108" s="32" t="s">
        <v>876</v>
      </c>
      <c r="Q108" s="31">
        <f>2000</f>
        <v>2000</v>
      </c>
      <c r="R108" s="32" t="s">
        <v>876</v>
      </c>
      <c r="S108" s="33">
        <f>2000</f>
        <v>2000</v>
      </c>
      <c r="T108" s="30">
        <f>10</f>
        <v>10</v>
      </c>
      <c r="U108" s="30" t="str">
        <f>"－"</f>
        <v>－</v>
      </c>
      <c r="V108" s="30">
        <f>20000</f>
        <v>20000</v>
      </c>
      <c r="W108" s="30" t="str">
        <f>"－"</f>
        <v>－</v>
      </c>
      <c r="X108" s="34">
        <f>1</f>
        <v>1</v>
      </c>
    </row>
    <row r="109" spans="1:24" x14ac:dyDescent="0.15">
      <c r="A109" s="25" t="s">
        <v>1210</v>
      </c>
      <c r="B109" s="25" t="s">
        <v>390</v>
      </c>
      <c r="C109" s="25" t="s">
        <v>391</v>
      </c>
      <c r="D109" s="25" t="s">
        <v>392</v>
      </c>
      <c r="E109" s="26" t="s">
        <v>45</v>
      </c>
      <c r="F109" s="27" t="s">
        <v>45</v>
      </c>
      <c r="G109" s="28" t="s">
        <v>45</v>
      </c>
      <c r="H109" s="29"/>
      <c r="I109" s="29" t="s">
        <v>46</v>
      </c>
      <c r="J109" s="30">
        <v>10</v>
      </c>
      <c r="K109" s="31">
        <f>1877.5</f>
        <v>1877.5</v>
      </c>
      <c r="L109" s="32" t="s">
        <v>995</v>
      </c>
      <c r="M109" s="31">
        <f>1902</f>
        <v>1902</v>
      </c>
      <c r="N109" s="32" t="s">
        <v>78</v>
      </c>
      <c r="O109" s="31">
        <f>1847.5</f>
        <v>1847.5</v>
      </c>
      <c r="P109" s="32" t="s">
        <v>1004</v>
      </c>
      <c r="Q109" s="31">
        <f>1889.5</f>
        <v>1889.5</v>
      </c>
      <c r="R109" s="32" t="s">
        <v>893</v>
      </c>
      <c r="S109" s="33">
        <f>1880.03</f>
        <v>1880.03</v>
      </c>
      <c r="T109" s="30">
        <f>3190510</f>
        <v>3190510</v>
      </c>
      <c r="U109" s="30">
        <f>932390</f>
        <v>932390</v>
      </c>
      <c r="V109" s="30">
        <f>5996261044</f>
        <v>5996261044</v>
      </c>
      <c r="W109" s="30">
        <f>1751174029</f>
        <v>1751174029</v>
      </c>
      <c r="X109" s="34">
        <f>20</f>
        <v>20</v>
      </c>
    </row>
    <row r="110" spans="1:24" x14ac:dyDescent="0.15">
      <c r="A110" s="25" t="s">
        <v>1210</v>
      </c>
      <c r="B110" s="25" t="s">
        <v>393</v>
      </c>
      <c r="C110" s="25" t="s">
        <v>1061</v>
      </c>
      <c r="D110" s="25" t="s">
        <v>1062</v>
      </c>
      <c r="E110" s="26" t="s">
        <v>45</v>
      </c>
      <c r="F110" s="27" t="s">
        <v>45</v>
      </c>
      <c r="G110" s="28" t="s">
        <v>45</v>
      </c>
      <c r="H110" s="29"/>
      <c r="I110" s="29" t="s">
        <v>46</v>
      </c>
      <c r="J110" s="30">
        <v>1</v>
      </c>
      <c r="K110" s="31">
        <f>21000</f>
        <v>21000</v>
      </c>
      <c r="L110" s="32" t="s">
        <v>995</v>
      </c>
      <c r="M110" s="31">
        <f>22210</f>
        <v>22210</v>
      </c>
      <c r="N110" s="32" t="s">
        <v>255</v>
      </c>
      <c r="O110" s="31">
        <f>21000</f>
        <v>21000</v>
      </c>
      <c r="P110" s="32" t="s">
        <v>995</v>
      </c>
      <c r="Q110" s="31">
        <f>21850</f>
        <v>21850</v>
      </c>
      <c r="R110" s="32" t="s">
        <v>893</v>
      </c>
      <c r="S110" s="33">
        <f>21756.18</f>
        <v>21756.18</v>
      </c>
      <c r="T110" s="30">
        <f>424</f>
        <v>424</v>
      </c>
      <c r="U110" s="30" t="str">
        <f>"－"</f>
        <v>－</v>
      </c>
      <c r="V110" s="30">
        <f>9237920</f>
        <v>9237920</v>
      </c>
      <c r="W110" s="30" t="str">
        <f>"－"</f>
        <v>－</v>
      </c>
      <c r="X110" s="34">
        <f>17</f>
        <v>17</v>
      </c>
    </row>
    <row r="111" spans="1:24" x14ac:dyDescent="0.15">
      <c r="A111" s="25" t="s">
        <v>1210</v>
      </c>
      <c r="B111" s="25" t="s">
        <v>396</v>
      </c>
      <c r="C111" s="25" t="s">
        <v>397</v>
      </c>
      <c r="D111" s="25" t="s">
        <v>398</v>
      </c>
      <c r="E111" s="26" t="s">
        <v>45</v>
      </c>
      <c r="F111" s="27" t="s">
        <v>45</v>
      </c>
      <c r="G111" s="28" t="s">
        <v>45</v>
      </c>
      <c r="H111" s="29"/>
      <c r="I111" s="29" t="s">
        <v>46</v>
      </c>
      <c r="J111" s="30">
        <v>100</v>
      </c>
      <c r="K111" s="31">
        <f>278.1</f>
        <v>278.10000000000002</v>
      </c>
      <c r="L111" s="32" t="s">
        <v>995</v>
      </c>
      <c r="M111" s="31">
        <f>286.3</f>
        <v>286.3</v>
      </c>
      <c r="N111" s="32" t="s">
        <v>999</v>
      </c>
      <c r="O111" s="31">
        <f>254.7</f>
        <v>254.7</v>
      </c>
      <c r="P111" s="32" t="s">
        <v>1004</v>
      </c>
      <c r="Q111" s="31">
        <f>271.8</f>
        <v>271.8</v>
      </c>
      <c r="R111" s="32" t="s">
        <v>893</v>
      </c>
      <c r="S111" s="33">
        <f>273.22</f>
        <v>273.22000000000003</v>
      </c>
      <c r="T111" s="30">
        <f>134037900</f>
        <v>134037900</v>
      </c>
      <c r="U111" s="30">
        <f>15867800</f>
        <v>15867800</v>
      </c>
      <c r="V111" s="30">
        <f>36554648521</f>
        <v>36554648521</v>
      </c>
      <c r="W111" s="30">
        <f>4293183281</f>
        <v>4293183281</v>
      </c>
      <c r="X111" s="34">
        <f>20</f>
        <v>20</v>
      </c>
    </row>
    <row r="112" spans="1:24" x14ac:dyDescent="0.15">
      <c r="A112" s="25" t="s">
        <v>1210</v>
      </c>
      <c r="B112" s="25" t="s">
        <v>399</v>
      </c>
      <c r="C112" s="25" t="s">
        <v>400</v>
      </c>
      <c r="D112" s="25" t="s">
        <v>401</v>
      </c>
      <c r="E112" s="26" t="s">
        <v>45</v>
      </c>
      <c r="F112" s="27" t="s">
        <v>45</v>
      </c>
      <c r="G112" s="28" t="s">
        <v>45</v>
      </c>
      <c r="H112" s="29"/>
      <c r="I112" s="29" t="s">
        <v>46</v>
      </c>
      <c r="J112" s="30">
        <v>1</v>
      </c>
      <c r="K112" s="31">
        <f>35810</f>
        <v>35810</v>
      </c>
      <c r="L112" s="32" t="s">
        <v>995</v>
      </c>
      <c r="M112" s="31">
        <f>36990</f>
        <v>36990</v>
      </c>
      <c r="N112" s="32" t="s">
        <v>1005</v>
      </c>
      <c r="O112" s="31">
        <f>35180</f>
        <v>35180</v>
      </c>
      <c r="P112" s="32" t="s">
        <v>999</v>
      </c>
      <c r="Q112" s="31">
        <f>35850</f>
        <v>35850</v>
      </c>
      <c r="R112" s="32" t="s">
        <v>893</v>
      </c>
      <c r="S112" s="33">
        <f>36315</f>
        <v>36315</v>
      </c>
      <c r="T112" s="30">
        <f>6183</f>
        <v>6183</v>
      </c>
      <c r="U112" s="30" t="str">
        <f t="shared" ref="U112:U118" si="0">"－"</f>
        <v>－</v>
      </c>
      <c r="V112" s="30">
        <f>223195950</f>
        <v>223195950</v>
      </c>
      <c r="W112" s="30" t="str">
        <f t="shared" ref="W112:W118" si="1">"－"</f>
        <v>－</v>
      </c>
      <c r="X112" s="34">
        <f>20</f>
        <v>20</v>
      </c>
    </row>
    <row r="113" spans="1:24" x14ac:dyDescent="0.15">
      <c r="A113" s="25" t="s">
        <v>1210</v>
      </c>
      <c r="B113" s="25" t="s">
        <v>402</v>
      </c>
      <c r="C113" s="25" t="s">
        <v>403</v>
      </c>
      <c r="D113" s="25" t="s">
        <v>404</v>
      </c>
      <c r="E113" s="26" t="s">
        <v>45</v>
      </c>
      <c r="F113" s="27" t="s">
        <v>45</v>
      </c>
      <c r="G113" s="28" t="s">
        <v>45</v>
      </c>
      <c r="H113" s="29"/>
      <c r="I113" s="29" t="s">
        <v>46</v>
      </c>
      <c r="J113" s="30">
        <v>1</v>
      </c>
      <c r="K113" s="31">
        <f>17720</f>
        <v>17720</v>
      </c>
      <c r="L113" s="32" t="s">
        <v>995</v>
      </c>
      <c r="M113" s="31">
        <f>18645</f>
        <v>18645</v>
      </c>
      <c r="N113" s="32" t="s">
        <v>80</v>
      </c>
      <c r="O113" s="31">
        <f>16480</f>
        <v>16480</v>
      </c>
      <c r="P113" s="32" t="s">
        <v>1004</v>
      </c>
      <c r="Q113" s="31">
        <f>18115</f>
        <v>18115</v>
      </c>
      <c r="R113" s="32" t="s">
        <v>893</v>
      </c>
      <c r="S113" s="33">
        <f>17820</f>
        <v>17820</v>
      </c>
      <c r="T113" s="30">
        <f>8508</f>
        <v>8508</v>
      </c>
      <c r="U113" s="30" t="str">
        <f t="shared" si="0"/>
        <v>－</v>
      </c>
      <c r="V113" s="30">
        <f>150543510</f>
        <v>150543510</v>
      </c>
      <c r="W113" s="30" t="str">
        <f t="shared" si="1"/>
        <v>－</v>
      </c>
      <c r="X113" s="34">
        <f>20</f>
        <v>20</v>
      </c>
    </row>
    <row r="114" spans="1:24" x14ac:dyDescent="0.15">
      <c r="A114" s="25" t="s">
        <v>1210</v>
      </c>
      <c r="B114" s="25" t="s">
        <v>405</v>
      </c>
      <c r="C114" s="25" t="s">
        <v>406</v>
      </c>
      <c r="D114" s="25" t="s">
        <v>407</v>
      </c>
      <c r="E114" s="26" t="s">
        <v>45</v>
      </c>
      <c r="F114" s="27" t="s">
        <v>45</v>
      </c>
      <c r="G114" s="28" t="s">
        <v>45</v>
      </c>
      <c r="H114" s="29"/>
      <c r="I114" s="29" t="s">
        <v>46</v>
      </c>
      <c r="J114" s="30">
        <v>1</v>
      </c>
      <c r="K114" s="31">
        <f>26345</f>
        <v>26345</v>
      </c>
      <c r="L114" s="32" t="s">
        <v>995</v>
      </c>
      <c r="M114" s="31">
        <f>26870</f>
        <v>26870</v>
      </c>
      <c r="N114" s="32" t="s">
        <v>999</v>
      </c>
      <c r="O114" s="31">
        <f>25750</f>
        <v>25750</v>
      </c>
      <c r="P114" s="32" t="s">
        <v>1000</v>
      </c>
      <c r="Q114" s="31">
        <f>26320</f>
        <v>26320</v>
      </c>
      <c r="R114" s="32" t="s">
        <v>893</v>
      </c>
      <c r="S114" s="33">
        <f>26338.25</f>
        <v>26338.25</v>
      </c>
      <c r="T114" s="30">
        <f>1240</f>
        <v>1240</v>
      </c>
      <c r="U114" s="30" t="str">
        <f t="shared" si="0"/>
        <v>－</v>
      </c>
      <c r="V114" s="30">
        <f>32642145</f>
        <v>32642145</v>
      </c>
      <c r="W114" s="30" t="str">
        <f t="shared" si="1"/>
        <v>－</v>
      </c>
      <c r="X114" s="34">
        <f>20</f>
        <v>20</v>
      </c>
    </row>
    <row r="115" spans="1:24" x14ac:dyDescent="0.15">
      <c r="A115" s="25" t="s">
        <v>1210</v>
      </c>
      <c r="B115" s="25" t="s">
        <v>408</v>
      </c>
      <c r="C115" s="25" t="s">
        <v>409</v>
      </c>
      <c r="D115" s="25" t="s">
        <v>410</v>
      </c>
      <c r="E115" s="26" t="s">
        <v>45</v>
      </c>
      <c r="F115" s="27" t="s">
        <v>45</v>
      </c>
      <c r="G115" s="28" t="s">
        <v>45</v>
      </c>
      <c r="H115" s="29"/>
      <c r="I115" s="29" t="s">
        <v>46</v>
      </c>
      <c r="J115" s="30">
        <v>1</v>
      </c>
      <c r="K115" s="31">
        <f>27220</f>
        <v>27220</v>
      </c>
      <c r="L115" s="32" t="s">
        <v>995</v>
      </c>
      <c r="M115" s="31">
        <f>28555</f>
        <v>28555</v>
      </c>
      <c r="N115" s="32" t="s">
        <v>255</v>
      </c>
      <c r="O115" s="31">
        <f>27180</f>
        <v>27180</v>
      </c>
      <c r="P115" s="32" t="s">
        <v>995</v>
      </c>
      <c r="Q115" s="31">
        <f>28030</f>
        <v>28030</v>
      </c>
      <c r="R115" s="32" t="s">
        <v>893</v>
      </c>
      <c r="S115" s="33">
        <f>27898</f>
        <v>27898</v>
      </c>
      <c r="T115" s="30">
        <f>966</f>
        <v>966</v>
      </c>
      <c r="U115" s="30" t="str">
        <f t="shared" si="0"/>
        <v>－</v>
      </c>
      <c r="V115" s="30">
        <f>26974410</f>
        <v>26974410</v>
      </c>
      <c r="W115" s="30" t="str">
        <f t="shared" si="1"/>
        <v>－</v>
      </c>
      <c r="X115" s="34">
        <f>20</f>
        <v>20</v>
      </c>
    </row>
    <row r="116" spans="1:24" x14ac:dyDescent="0.15">
      <c r="A116" s="25" t="s">
        <v>1210</v>
      </c>
      <c r="B116" s="25" t="s">
        <v>411</v>
      </c>
      <c r="C116" s="25" t="s">
        <v>412</v>
      </c>
      <c r="D116" s="25" t="s">
        <v>413</v>
      </c>
      <c r="E116" s="26" t="s">
        <v>45</v>
      </c>
      <c r="F116" s="27" t="s">
        <v>45</v>
      </c>
      <c r="G116" s="28" t="s">
        <v>45</v>
      </c>
      <c r="H116" s="29"/>
      <c r="I116" s="29" t="s">
        <v>46</v>
      </c>
      <c r="J116" s="30">
        <v>1</v>
      </c>
      <c r="K116" s="31">
        <f>25975</f>
        <v>25975</v>
      </c>
      <c r="L116" s="32" t="s">
        <v>995</v>
      </c>
      <c r="M116" s="31">
        <f>26565</f>
        <v>26565</v>
      </c>
      <c r="N116" s="32" t="s">
        <v>999</v>
      </c>
      <c r="O116" s="31">
        <f>25600</f>
        <v>25600</v>
      </c>
      <c r="P116" s="32" t="s">
        <v>792</v>
      </c>
      <c r="Q116" s="31">
        <f>26320</f>
        <v>26320</v>
      </c>
      <c r="R116" s="32" t="s">
        <v>893</v>
      </c>
      <c r="S116" s="33">
        <f>26080.5</f>
        <v>26080.5</v>
      </c>
      <c r="T116" s="30">
        <f>4304</f>
        <v>4304</v>
      </c>
      <c r="U116" s="30" t="str">
        <f t="shared" si="0"/>
        <v>－</v>
      </c>
      <c r="V116" s="30">
        <f>112263600</f>
        <v>112263600</v>
      </c>
      <c r="W116" s="30" t="str">
        <f t="shared" si="1"/>
        <v>－</v>
      </c>
      <c r="X116" s="34">
        <f>20</f>
        <v>20</v>
      </c>
    </row>
    <row r="117" spans="1:24" x14ac:dyDescent="0.15">
      <c r="A117" s="25" t="s">
        <v>1210</v>
      </c>
      <c r="B117" s="25" t="s">
        <v>414</v>
      </c>
      <c r="C117" s="25" t="s">
        <v>415</v>
      </c>
      <c r="D117" s="25" t="s">
        <v>416</v>
      </c>
      <c r="E117" s="26" t="s">
        <v>45</v>
      </c>
      <c r="F117" s="27" t="s">
        <v>45</v>
      </c>
      <c r="G117" s="28" t="s">
        <v>45</v>
      </c>
      <c r="H117" s="29"/>
      <c r="I117" s="29" t="s">
        <v>46</v>
      </c>
      <c r="J117" s="30">
        <v>1</v>
      </c>
      <c r="K117" s="31">
        <f>29560</f>
        <v>29560</v>
      </c>
      <c r="L117" s="32" t="s">
        <v>995</v>
      </c>
      <c r="M117" s="31">
        <f>31450</f>
        <v>31450</v>
      </c>
      <c r="N117" s="32" t="s">
        <v>80</v>
      </c>
      <c r="O117" s="31">
        <f>29345</f>
        <v>29345</v>
      </c>
      <c r="P117" s="32" t="s">
        <v>995</v>
      </c>
      <c r="Q117" s="31">
        <f>30340</f>
        <v>30340</v>
      </c>
      <c r="R117" s="32" t="s">
        <v>893</v>
      </c>
      <c r="S117" s="33">
        <f>30455.75</f>
        <v>30455.75</v>
      </c>
      <c r="T117" s="30">
        <f>15810</f>
        <v>15810</v>
      </c>
      <c r="U117" s="30" t="str">
        <f t="shared" si="0"/>
        <v>－</v>
      </c>
      <c r="V117" s="30">
        <f>481240110</f>
        <v>481240110</v>
      </c>
      <c r="W117" s="30" t="str">
        <f t="shared" si="1"/>
        <v>－</v>
      </c>
      <c r="X117" s="34">
        <f>20</f>
        <v>20</v>
      </c>
    </row>
    <row r="118" spans="1:24" x14ac:dyDescent="0.15">
      <c r="A118" s="25" t="s">
        <v>1210</v>
      </c>
      <c r="B118" s="25" t="s">
        <v>417</v>
      </c>
      <c r="C118" s="25" t="s">
        <v>418</v>
      </c>
      <c r="D118" s="25" t="s">
        <v>419</v>
      </c>
      <c r="E118" s="26" t="s">
        <v>45</v>
      </c>
      <c r="F118" s="27" t="s">
        <v>45</v>
      </c>
      <c r="G118" s="28" t="s">
        <v>45</v>
      </c>
      <c r="H118" s="29"/>
      <c r="I118" s="29" t="s">
        <v>46</v>
      </c>
      <c r="J118" s="30">
        <v>1</v>
      </c>
      <c r="K118" s="31">
        <f>22485</f>
        <v>22485</v>
      </c>
      <c r="L118" s="32" t="s">
        <v>995</v>
      </c>
      <c r="M118" s="31">
        <f>24025</f>
        <v>24025</v>
      </c>
      <c r="N118" s="32" t="s">
        <v>255</v>
      </c>
      <c r="O118" s="31">
        <f>22195</f>
        <v>22195</v>
      </c>
      <c r="P118" s="32" t="s">
        <v>999</v>
      </c>
      <c r="Q118" s="31">
        <f>23500</f>
        <v>23500</v>
      </c>
      <c r="R118" s="32" t="s">
        <v>893</v>
      </c>
      <c r="S118" s="33">
        <f>23204.5</f>
        <v>23204.5</v>
      </c>
      <c r="T118" s="30">
        <f>7404</f>
        <v>7404</v>
      </c>
      <c r="U118" s="30" t="str">
        <f t="shared" si="0"/>
        <v>－</v>
      </c>
      <c r="V118" s="30">
        <f>171754895</f>
        <v>171754895</v>
      </c>
      <c r="W118" s="30" t="str">
        <f t="shared" si="1"/>
        <v>－</v>
      </c>
      <c r="X118" s="34">
        <f>20</f>
        <v>20</v>
      </c>
    </row>
    <row r="119" spans="1:24" x14ac:dyDescent="0.15">
      <c r="A119" s="25" t="s">
        <v>1210</v>
      </c>
      <c r="B119" s="25" t="s">
        <v>420</v>
      </c>
      <c r="C119" s="25" t="s">
        <v>421</v>
      </c>
      <c r="D119" s="25" t="s">
        <v>422</v>
      </c>
      <c r="E119" s="26" t="s">
        <v>45</v>
      </c>
      <c r="F119" s="27" t="s">
        <v>45</v>
      </c>
      <c r="G119" s="28" t="s">
        <v>45</v>
      </c>
      <c r="H119" s="29"/>
      <c r="I119" s="29" t="s">
        <v>46</v>
      </c>
      <c r="J119" s="30">
        <v>1</v>
      </c>
      <c r="K119" s="31">
        <f>44600</f>
        <v>44600</v>
      </c>
      <c r="L119" s="32" t="s">
        <v>995</v>
      </c>
      <c r="M119" s="31">
        <f>48400</f>
        <v>48400</v>
      </c>
      <c r="N119" s="32" t="s">
        <v>80</v>
      </c>
      <c r="O119" s="31">
        <f>44600</f>
        <v>44600</v>
      </c>
      <c r="P119" s="32" t="s">
        <v>995</v>
      </c>
      <c r="Q119" s="31">
        <f>47300</f>
        <v>47300</v>
      </c>
      <c r="R119" s="32" t="s">
        <v>893</v>
      </c>
      <c r="S119" s="33">
        <f>46984.5</f>
        <v>46984.5</v>
      </c>
      <c r="T119" s="30">
        <f>2439</f>
        <v>2439</v>
      </c>
      <c r="U119" s="30">
        <f>1000</f>
        <v>1000</v>
      </c>
      <c r="V119" s="30">
        <f>114419330</f>
        <v>114419330</v>
      </c>
      <c r="W119" s="30">
        <f>47067000</f>
        <v>47067000</v>
      </c>
      <c r="X119" s="34">
        <f>20</f>
        <v>20</v>
      </c>
    </row>
    <row r="120" spans="1:24" x14ac:dyDescent="0.15">
      <c r="A120" s="25" t="s">
        <v>1210</v>
      </c>
      <c r="B120" s="25" t="s">
        <v>423</v>
      </c>
      <c r="C120" s="25" t="s">
        <v>424</v>
      </c>
      <c r="D120" s="25" t="s">
        <v>425</v>
      </c>
      <c r="E120" s="26" t="s">
        <v>45</v>
      </c>
      <c r="F120" s="27" t="s">
        <v>45</v>
      </c>
      <c r="G120" s="28" t="s">
        <v>45</v>
      </c>
      <c r="H120" s="29"/>
      <c r="I120" s="29" t="s">
        <v>46</v>
      </c>
      <c r="J120" s="30">
        <v>1</v>
      </c>
      <c r="K120" s="31">
        <f>30290</f>
        <v>30290</v>
      </c>
      <c r="L120" s="32" t="s">
        <v>995</v>
      </c>
      <c r="M120" s="31">
        <f>33230</f>
        <v>33230</v>
      </c>
      <c r="N120" s="32" t="s">
        <v>793</v>
      </c>
      <c r="O120" s="31">
        <f>30190</f>
        <v>30190</v>
      </c>
      <c r="P120" s="32" t="s">
        <v>995</v>
      </c>
      <c r="Q120" s="31">
        <f>32800</f>
        <v>32800</v>
      </c>
      <c r="R120" s="32" t="s">
        <v>893</v>
      </c>
      <c r="S120" s="33">
        <f>32059</f>
        <v>32059</v>
      </c>
      <c r="T120" s="30">
        <f>16410</f>
        <v>16410</v>
      </c>
      <c r="U120" s="30">
        <f>2500</f>
        <v>2500</v>
      </c>
      <c r="V120" s="30">
        <f>527759430</f>
        <v>527759430</v>
      </c>
      <c r="W120" s="30">
        <f>82716750</f>
        <v>82716750</v>
      </c>
      <c r="X120" s="34">
        <f>20</f>
        <v>20</v>
      </c>
    </row>
    <row r="121" spans="1:24" x14ac:dyDescent="0.15">
      <c r="A121" s="25" t="s">
        <v>1210</v>
      </c>
      <c r="B121" s="25" t="s">
        <v>426</v>
      </c>
      <c r="C121" s="25" t="s">
        <v>427</v>
      </c>
      <c r="D121" s="25" t="s">
        <v>428</v>
      </c>
      <c r="E121" s="26" t="s">
        <v>45</v>
      </c>
      <c r="F121" s="27" t="s">
        <v>45</v>
      </c>
      <c r="G121" s="28" t="s">
        <v>45</v>
      </c>
      <c r="H121" s="29"/>
      <c r="I121" s="29" t="s">
        <v>46</v>
      </c>
      <c r="J121" s="30">
        <v>1</v>
      </c>
      <c r="K121" s="31">
        <f>30010</f>
        <v>30010</v>
      </c>
      <c r="L121" s="32" t="s">
        <v>995</v>
      </c>
      <c r="M121" s="31">
        <f>31310</f>
        <v>31310</v>
      </c>
      <c r="N121" s="32" t="s">
        <v>255</v>
      </c>
      <c r="O121" s="31">
        <f>28690</f>
        <v>28690</v>
      </c>
      <c r="P121" s="32" t="s">
        <v>56</v>
      </c>
      <c r="Q121" s="31">
        <f>31070</f>
        <v>31070</v>
      </c>
      <c r="R121" s="32" t="s">
        <v>893</v>
      </c>
      <c r="S121" s="33">
        <f>30696</f>
        <v>30696</v>
      </c>
      <c r="T121" s="30">
        <f>1330</f>
        <v>1330</v>
      </c>
      <c r="U121" s="30">
        <f>1</f>
        <v>1</v>
      </c>
      <c r="V121" s="30">
        <f>40785085</f>
        <v>40785085</v>
      </c>
      <c r="W121" s="30">
        <f>31170</f>
        <v>31170</v>
      </c>
      <c r="X121" s="34">
        <f>20</f>
        <v>20</v>
      </c>
    </row>
    <row r="122" spans="1:24" x14ac:dyDescent="0.15">
      <c r="A122" s="25" t="s">
        <v>1210</v>
      </c>
      <c r="B122" s="25" t="s">
        <v>429</v>
      </c>
      <c r="C122" s="25" t="s">
        <v>430</v>
      </c>
      <c r="D122" s="25" t="s">
        <v>431</v>
      </c>
      <c r="E122" s="26" t="s">
        <v>45</v>
      </c>
      <c r="F122" s="27" t="s">
        <v>45</v>
      </c>
      <c r="G122" s="28" t="s">
        <v>45</v>
      </c>
      <c r="H122" s="29"/>
      <c r="I122" s="29" t="s">
        <v>46</v>
      </c>
      <c r="J122" s="30">
        <v>1</v>
      </c>
      <c r="K122" s="31">
        <f>7898</f>
        <v>7898</v>
      </c>
      <c r="L122" s="32" t="s">
        <v>995</v>
      </c>
      <c r="M122" s="31">
        <f>8320</f>
        <v>8320</v>
      </c>
      <c r="N122" s="32" t="s">
        <v>78</v>
      </c>
      <c r="O122" s="31">
        <f>7505</f>
        <v>7505</v>
      </c>
      <c r="P122" s="32" t="s">
        <v>1004</v>
      </c>
      <c r="Q122" s="31">
        <f>7849</f>
        <v>7849</v>
      </c>
      <c r="R122" s="32" t="s">
        <v>893</v>
      </c>
      <c r="S122" s="33">
        <f>7873.65</f>
        <v>7873.65</v>
      </c>
      <c r="T122" s="30">
        <f>18992</f>
        <v>18992</v>
      </c>
      <c r="U122" s="30" t="str">
        <f>"－"</f>
        <v>－</v>
      </c>
      <c r="V122" s="30">
        <f>150160291</f>
        <v>150160291</v>
      </c>
      <c r="W122" s="30" t="str">
        <f>"－"</f>
        <v>－</v>
      </c>
      <c r="X122" s="34">
        <f>20</f>
        <v>20</v>
      </c>
    </row>
    <row r="123" spans="1:24" x14ac:dyDescent="0.15">
      <c r="A123" s="25" t="s">
        <v>1210</v>
      </c>
      <c r="B123" s="25" t="s">
        <v>432</v>
      </c>
      <c r="C123" s="25" t="s">
        <v>433</v>
      </c>
      <c r="D123" s="25" t="s">
        <v>434</v>
      </c>
      <c r="E123" s="26" t="s">
        <v>45</v>
      </c>
      <c r="F123" s="27" t="s">
        <v>45</v>
      </c>
      <c r="G123" s="28" t="s">
        <v>45</v>
      </c>
      <c r="H123" s="29"/>
      <c r="I123" s="29" t="s">
        <v>46</v>
      </c>
      <c r="J123" s="30">
        <v>1</v>
      </c>
      <c r="K123" s="31">
        <f>17760</f>
        <v>17760</v>
      </c>
      <c r="L123" s="32" t="s">
        <v>995</v>
      </c>
      <c r="M123" s="31">
        <f>18150</f>
        <v>18150</v>
      </c>
      <c r="N123" s="32" t="s">
        <v>999</v>
      </c>
      <c r="O123" s="31">
        <f>17170</f>
        <v>17170</v>
      </c>
      <c r="P123" s="32" t="s">
        <v>1000</v>
      </c>
      <c r="Q123" s="31">
        <f>17880</f>
        <v>17880</v>
      </c>
      <c r="R123" s="32" t="s">
        <v>893</v>
      </c>
      <c r="S123" s="33">
        <f>17790.75</f>
        <v>17790.75</v>
      </c>
      <c r="T123" s="30">
        <f>12051</f>
        <v>12051</v>
      </c>
      <c r="U123" s="30" t="str">
        <f>"－"</f>
        <v>－</v>
      </c>
      <c r="V123" s="30">
        <f>214714505</f>
        <v>214714505</v>
      </c>
      <c r="W123" s="30" t="str">
        <f>"－"</f>
        <v>－</v>
      </c>
      <c r="X123" s="34">
        <f>20</f>
        <v>20</v>
      </c>
    </row>
    <row r="124" spans="1:24" x14ac:dyDescent="0.15">
      <c r="A124" s="25" t="s">
        <v>1210</v>
      </c>
      <c r="B124" s="25" t="s">
        <v>435</v>
      </c>
      <c r="C124" s="25" t="s">
        <v>436</v>
      </c>
      <c r="D124" s="25" t="s">
        <v>437</v>
      </c>
      <c r="E124" s="26" t="s">
        <v>45</v>
      </c>
      <c r="F124" s="27" t="s">
        <v>45</v>
      </c>
      <c r="G124" s="28" t="s">
        <v>45</v>
      </c>
      <c r="H124" s="29"/>
      <c r="I124" s="29" t="s">
        <v>46</v>
      </c>
      <c r="J124" s="30">
        <v>1</v>
      </c>
      <c r="K124" s="31">
        <f>70850</f>
        <v>70850</v>
      </c>
      <c r="L124" s="32" t="s">
        <v>995</v>
      </c>
      <c r="M124" s="31">
        <f>73830</f>
        <v>73830</v>
      </c>
      <c r="N124" s="32" t="s">
        <v>1002</v>
      </c>
      <c r="O124" s="31">
        <f>69900</f>
        <v>69900</v>
      </c>
      <c r="P124" s="32" t="s">
        <v>893</v>
      </c>
      <c r="Q124" s="31">
        <f>70850</f>
        <v>70850</v>
      </c>
      <c r="R124" s="32" t="s">
        <v>893</v>
      </c>
      <c r="S124" s="33">
        <f>71989</f>
        <v>71989</v>
      </c>
      <c r="T124" s="30">
        <f>13205</f>
        <v>13205</v>
      </c>
      <c r="U124" s="30" t="str">
        <f>"－"</f>
        <v>－</v>
      </c>
      <c r="V124" s="30">
        <f>950052820</f>
        <v>950052820</v>
      </c>
      <c r="W124" s="30" t="str">
        <f>"－"</f>
        <v>－</v>
      </c>
      <c r="X124" s="34">
        <f>20</f>
        <v>20</v>
      </c>
    </row>
    <row r="125" spans="1:24" x14ac:dyDescent="0.15">
      <c r="A125" s="25" t="s">
        <v>1210</v>
      </c>
      <c r="B125" s="25" t="s">
        <v>438</v>
      </c>
      <c r="C125" s="25" t="s">
        <v>439</v>
      </c>
      <c r="D125" s="25" t="s">
        <v>440</v>
      </c>
      <c r="E125" s="26" t="s">
        <v>45</v>
      </c>
      <c r="F125" s="27" t="s">
        <v>45</v>
      </c>
      <c r="G125" s="28" t="s">
        <v>45</v>
      </c>
      <c r="H125" s="29"/>
      <c r="I125" s="29" t="s">
        <v>46</v>
      </c>
      <c r="J125" s="30">
        <v>1</v>
      </c>
      <c r="K125" s="31">
        <f>26070</f>
        <v>26070</v>
      </c>
      <c r="L125" s="32" t="s">
        <v>995</v>
      </c>
      <c r="M125" s="31">
        <f>27070</f>
        <v>27070</v>
      </c>
      <c r="N125" s="32" t="s">
        <v>793</v>
      </c>
      <c r="O125" s="31">
        <f>25750</f>
        <v>25750</v>
      </c>
      <c r="P125" s="32" t="s">
        <v>999</v>
      </c>
      <c r="Q125" s="31">
        <f>26635</f>
        <v>26635</v>
      </c>
      <c r="R125" s="32" t="s">
        <v>893</v>
      </c>
      <c r="S125" s="33">
        <f>26430.5</f>
        <v>26430.5</v>
      </c>
      <c r="T125" s="30">
        <f>6174</f>
        <v>6174</v>
      </c>
      <c r="U125" s="30" t="str">
        <f>"－"</f>
        <v>－</v>
      </c>
      <c r="V125" s="30">
        <f>160832235</f>
        <v>160832235</v>
      </c>
      <c r="W125" s="30" t="str">
        <f>"－"</f>
        <v>－</v>
      </c>
      <c r="X125" s="34">
        <f>20</f>
        <v>20</v>
      </c>
    </row>
    <row r="126" spans="1:24" x14ac:dyDescent="0.15">
      <c r="A126" s="25" t="s">
        <v>1210</v>
      </c>
      <c r="B126" s="25" t="s">
        <v>441</v>
      </c>
      <c r="C126" s="25" t="s">
        <v>442</v>
      </c>
      <c r="D126" s="25" t="s">
        <v>443</v>
      </c>
      <c r="E126" s="26" t="s">
        <v>45</v>
      </c>
      <c r="F126" s="27" t="s">
        <v>45</v>
      </c>
      <c r="G126" s="28" t="s">
        <v>45</v>
      </c>
      <c r="H126" s="29"/>
      <c r="I126" s="29" t="s">
        <v>46</v>
      </c>
      <c r="J126" s="30">
        <v>1</v>
      </c>
      <c r="K126" s="31">
        <f>14635</f>
        <v>14635</v>
      </c>
      <c r="L126" s="32" t="s">
        <v>995</v>
      </c>
      <c r="M126" s="31">
        <f>15000</f>
        <v>15000</v>
      </c>
      <c r="N126" s="32" t="s">
        <v>999</v>
      </c>
      <c r="O126" s="31">
        <f>13375</f>
        <v>13375</v>
      </c>
      <c r="P126" s="32" t="s">
        <v>1004</v>
      </c>
      <c r="Q126" s="31">
        <f>14230</f>
        <v>14230</v>
      </c>
      <c r="R126" s="32" t="s">
        <v>893</v>
      </c>
      <c r="S126" s="33">
        <f>14333.75</f>
        <v>14333.75</v>
      </c>
      <c r="T126" s="30">
        <f>67855</f>
        <v>67855</v>
      </c>
      <c r="U126" s="30" t="str">
        <f>"－"</f>
        <v>－</v>
      </c>
      <c r="V126" s="30">
        <f>967977050</f>
        <v>967977050</v>
      </c>
      <c r="W126" s="30" t="str">
        <f>"－"</f>
        <v>－</v>
      </c>
      <c r="X126" s="34">
        <f>20</f>
        <v>20</v>
      </c>
    </row>
    <row r="127" spans="1:24" x14ac:dyDescent="0.15">
      <c r="A127" s="25" t="s">
        <v>1210</v>
      </c>
      <c r="B127" s="25" t="s">
        <v>444</v>
      </c>
      <c r="C127" s="25" t="s">
        <v>445</v>
      </c>
      <c r="D127" s="25" t="s">
        <v>446</v>
      </c>
      <c r="E127" s="26" t="s">
        <v>45</v>
      </c>
      <c r="F127" s="27" t="s">
        <v>45</v>
      </c>
      <c r="G127" s="28" t="s">
        <v>45</v>
      </c>
      <c r="H127" s="29"/>
      <c r="I127" s="29" t="s">
        <v>46</v>
      </c>
      <c r="J127" s="30">
        <v>1</v>
      </c>
      <c r="K127" s="31">
        <f>19900</f>
        <v>19900</v>
      </c>
      <c r="L127" s="32" t="s">
        <v>995</v>
      </c>
      <c r="M127" s="31">
        <f>20220</f>
        <v>20220</v>
      </c>
      <c r="N127" s="32" t="s">
        <v>255</v>
      </c>
      <c r="O127" s="31">
        <f>19005</f>
        <v>19005</v>
      </c>
      <c r="P127" s="32" t="s">
        <v>1004</v>
      </c>
      <c r="Q127" s="31">
        <f>19830</f>
        <v>19830</v>
      </c>
      <c r="R127" s="32" t="s">
        <v>893</v>
      </c>
      <c r="S127" s="33">
        <f>19803.25</f>
        <v>19803.25</v>
      </c>
      <c r="T127" s="30">
        <f>11942</f>
        <v>11942</v>
      </c>
      <c r="U127" s="30">
        <f>6001</f>
        <v>6001</v>
      </c>
      <c r="V127" s="30">
        <f>237736490</f>
        <v>237736490</v>
      </c>
      <c r="W127" s="30">
        <f>119927135</f>
        <v>119927135</v>
      </c>
      <c r="X127" s="34">
        <f>20</f>
        <v>20</v>
      </c>
    </row>
    <row r="128" spans="1:24" x14ac:dyDescent="0.15">
      <c r="A128" s="25" t="s">
        <v>1210</v>
      </c>
      <c r="B128" s="25" t="s">
        <v>447</v>
      </c>
      <c r="C128" s="25" t="s">
        <v>448</v>
      </c>
      <c r="D128" s="25" t="s">
        <v>449</v>
      </c>
      <c r="E128" s="26" t="s">
        <v>45</v>
      </c>
      <c r="F128" s="27" t="s">
        <v>45</v>
      </c>
      <c r="G128" s="28" t="s">
        <v>45</v>
      </c>
      <c r="H128" s="29"/>
      <c r="I128" s="29" t="s">
        <v>46</v>
      </c>
      <c r="J128" s="30">
        <v>1</v>
      </c>
      <c r="K128" s="31">
        <f>33440</f>
        <v>33440</v>
      </c>
      <c r="L128" s="32" t="s">
        <v>995</v>
      </c>
      <c r="M128" s="31">
        <f>34650</f>
        <v>34650</v>
      </c>
      <c r="N128" s="32" t="s">
        <v>255</v>
      </c>
      <c r="O128" s="31">
        <f>33120</f>
        <v>33120</v>
      </c>
      <c r="P128" s="32" t="s">
        <v>1000</v>
      </c>
      <c r="Q128" s="31">
        <f>34160</f>
        <v>34160</v>
      </c>
      <c r="R128" s="32" t="s">
        <v>893</v>
      </c>
      <c r="S128" s="33">
        <f>33939.5</f>
        <v>33939.5</v>
      </c>
      <c r="T128" s="30">
        <f>1431</f>
        <v>1431</v>
      </c>
      <c r="U128" s="30" t="str">
        <f>"－"</f>
        <v>－</v>
      </c>
      <c r="V128" s="30">
        <f>48722480</f>
        <v>48722480</v>
      </c>
      <c r="W128" s="30" t="str">
        <f>"－"</f>
        <v>－</v>
      </c>
      <c r="X128" s="34">
        <f>20</f>
        <v>20</v>
      </c>
    </row>
    <row r="129" spans="1:24" x14ac:dyDescent="0.15">
      <c r="A129" s="25" t="s">
        <v>1210</v>
      </c>
      <c r="B129" s="25" t="s">
        <v>450</v>
      </c>
      <c r="C129" s="25" t="s">
        <v>1063</v>
      </c>
      <c r="D129" s="25" t="s">
        <v>1064</v>
      </c>
      <c r="E129" s="26" t="s">
        <v>45</v>
      </c>
      <c r="F129" s="27" t="s">
        <v>45</v>
      </c>
      <c r="G129" s="28" t="s">
        <v>45</v>
      </c>
      <c r="H129" s="29"/>
      <c r="I129" s="29" t="s">
        <v>46</v>
      </c>
      <c r="J129" s="30">
        <v>10</v>
      </c>
      <c r="K129" s="31">
        <f>1664</f>
        <v>1664</v>
      </c>
      <c r="L129" s="32" t="s">
        <v>995</v>
      </c>
      <c r="M129" s="31">
        <f>1723</f>
        <v>1723</v>
      </c>
      <c r="N129" s="32" t="s">
        <v>999</v>
      </c>
      <c r="O129" s="31">
        <f>1635</f>
        <v>1635</v>
      </c>
      <c r="P129" s="32" t="s">
        <v>1004</v>
      </c>
      <c r="Q129" s="31">
        <f>1673</f>
        <v>1673</v>
      </c>
      <c r="R129" s="32" t="s">
        <v>893</v>
      </c>
      <c r="S129" s="33">
        <f>1684.58</f>
        <v>1684.58</v>
      </c>
      <c r="T129" s="30">
        <f>1082250</f>
        <v>1082250</v>
      </c>
      <c r="U129" s="30">
        <f>534600</f>
        <v>534600</v>
      </c>
      <c r="V129" s="30">
        <f>1821597086</f>
        <v>1821597086</v>
      </c>
      <c r="W129" s="30">
        <f>897778816</f>
        <v>897778816</v>
      </c>
      <c r="X129" s="34">
        <f>20</f>
        <v>20</v>
      </c>
    </row>
    <row r="130" spans="1:24" x14ac:dyDescent="0.15">
      <c r="A130" s="25" t="s">
        <v>1210</v>
      </c>
      <c r="B130" s="25" t="s">
        <v>453</v>
      </c>
      <c r="C130" s="25" t="s">
        <v>1065</v>
      </c>
      <c r="D130" s="25" t="s">
        <v>1066</v>
      </c>
      <c r="E130" s="26" t="s">
        <v>45</v>
      </c>
      <c r="F130" s="27" t="s">
        <v>45</v>
      </c>
      <c r="G130" s="28" t="s">
        <v>45</v>
      </c>
      <c r="H130" s="29"/>
      <c r="I130" s="29" t="s">
        <v>46</v>
      </c>
      <c r="J130" s="30">
        <v>10</v>
      </c>
      <c r="K130" s="31">
        <f>2619</f>
        <v>2619</v>
      </c>
      <c r="L130" s="32" t="s">
        <v>995</v>
      </c>
      <c r="M130" s="31">
        <f>2750</f>
        <v>2750</v>
      </c>
      <c r="N130" s="32" t="s">
        <v>255</v>
      </c>
      <c r="O130" s="31">
        <f>2619</f>
        <v>2619</v>
      </c>
      <c r="P130" s="32" t="s">
        <v>995</v>
      </c>
      <c r="Q130" s="31">
        <f>2714.5</f>
        <v>2714.5</v>
      </c>
      <c r="R130" s="32" t="s">
        <v>893</v>
      </c>
      <c r="S130" s="33">
        <f>2694.41</f>
        <v>2694.41</v>
      </c>
      <c r="T130" s="30">
        <f>6020</f>
        <v>6020</v>
      </c>
      <c r="U130" s="30" t="str">
        <f>"－"</f>
        <v>－</v>
      </c>
      <c r="V130" s="30">
        <f>16024200</f>
        <v>16024200</v>
      </c>
      <c r="W130" s="30" t="str">
        <f>"－"</f>
        <v>－</v>
      </c>
      <c r="X130" s="34">
        <f>17</f>
        <v>17</v>
      </c>
    </row>
    <row r="131" spans="1:24" x14ac:dyDescent="0.15">
      <c r="A131" s="25" t="s">
        <v>1210</v>
      </c>
      <c r="B131" s="25" t="s">
        <v>456</v>
      </c>
      <c r="C131" s="25" t="s">
        <v>1067</v>
      </c>
      <c r="D131" s="25" t="s">
        <v>1068</v>
      </c>
      <c r="E131" s="26" t="s">
        <v>45</v>
      </c>
      <c r="F131" s="27" t="s">
        <v>45</v>
      </c>
      <c r="G131" s="28" t="s">
        <v>45</v>
      </c>
      <c r="H131" s="29"/>
      <c r="I131" s="29" t="s">
        <v>46</v>
      </c>
      <c r="J131" s="30">
        <v>10</v>
      </c>
      <c r="K131" s="31">
        <f>2924</f>
        <v>2924</v>
      </c>
      <c r="L131" s="32" t="s">
        <v>999</v>
      </c>
      <c r="M131" s="31">
        <f>3050</f>
        <v>3050</v>
      </c>
      <c r="N131" s="32" t="s">
        <v>80</v>
      </c>
      <c r="O131" s="31">
        <f>2923</f>
        <v>2923</v>
      </c>
      <c r="P131" s="32" t="s">
        <v>999</v>
      </c>
      <c r="Q131" s="31">
        <f>3002</f>
        <v>3002</v>
      </c>
      <c r="R131" s="32" t="s">
        <v>893</v>
      </c>
      <c r="S131" s="33">
        <f>2996.11</f>
        <v>2996.11</v>
      </c>
      <c r="T131" s="30">
        <f>95390</f>
        <v>95390</v>
      </c>
      <c r="U131" s="30" t="str">
        <f>"－"</f>
        <v>－</v>
      </c>
      <c r="V131" s="30">
        <f>284016685</f>
        <v>284016685</v>
      </c>
      <c r="W131" s="30" t="str">
        <f>"－"</f>
        <v>－</v>
      </c>
      <c r="X131" s="34">
        <f>9</f>
        <v>9</v>
      </c>
    </row>
    <row r="132" spans="1:24" x14ac:dyDescent="0.15">
      <c r="A132" s="25" t="s">
        <v>1210</v>
      </c>
      <c r="B132" s="25" t="s">
        <v>459</v>
      </c>
      <c r="C132" s="25" t="s">
        <v>1069</v>
      </c>
      <c r="D132" s="25" t="s">
        <v>1070</v>
      </c>
      <c r="E132" s="26" t="s">
        <v>45</v>
      </c>
      <c r="F132" s="27" t="s">
        <v>45</v>
      </c>
      <c r="G132" s="28" t="s">
        <v>45</v>
      </c>
      <c r="H132" s="29"/>
      <c r="I132" s="29" t="s">
        <v>46</v>
      </c>
      <c r="J132" s="30">
        <v>10</v>
      </c>
      <c r="K132" s="31">
        <f>1851.5</f>
        <v>1851.5</v>
      </c>
      <c r="L132" s="32" t="s">
        <v>999</v>
      </c>
      <c r="M132" s="31">
        <f>1911.5</f>
        <v>1911.5</v>
      </c>
      <c r="N132" s="32" t="s">
        <v>80</v>
      </c>
      <c r="O132" s="31">
        <f>1830.5</f>
        <v>1830.5</v>
      </c>
      <c r="P132" s="32" t="s">
        <v>1000</v>
      </c>
      <c r="Q132" s="31">
        <f>1873</f>
        <v>1873</v>
      </c>
      <c r="R132" s="32" t="s">
        <v>893</v>
      </c>
      <c r="S132" s="33">
        <f>1878.33</f>
        <v>1878.33</v>
      </c>
      <c r="T132" s="30">
        <f>17130</f>
        <v>17130</v>
      </c>
      <c r="U132" s="30" t="str">
        <f>"－"</f>
        <v>－</v>
      </c>
      <c r="V132" s="30">
        <f>32102515</f>
        <v>32102515</v>
      </c>
      <c r="W132" s="30" t="str">
        <f>"－"</f>
        <v>－</v>
      </c>
      <c r="X132" s="34">
        <f>12</f>
        <v>12</v>
      </c>
    </row>
    <row r="133" spans="1:24" x14ac:dyDescent="0.15">
      <c r="A133" s="25" t="s">
        <v>1210</v>
      </c>
      <c r="B133" s="25" t="s">
        <v>462</v>
      </c>
      <c r="C133" s="25" t="s">
        <v>463</v>
      </c>
      <c r="D133" s="25" t="s">
        <v>464</v>
      </c>
      <c r="E133" s="26" t="s">
        <v>45</v>
      </c>
      <c r="F133" s="27" t="s">
        <v>45</v>
      </c>
      <c r="G133" s="28" t="s">
        <v>45</v>
      </c>
      <c r="H133" s="29"/>
      <c r="I133" s="29" t="s">
        <v>46</v>
      </c>
      <c r="J133" s="30">
        <v>10</v>
      </c>
      <c r="K133" s="31">
        <f>456.2</f>
        <v>456.2</v>
      </c>
      <c r="L133" s="32" t="s">
        <v>995</v>
      </c>
      <c r="M133" s="31">
        <f>492.4</f>
        <v>492.4</v>
      </c>
      <c r="N133" s="32" t="s">
        <v>793</v>
      </c>
      <c r="O133" s="31">
        <f>455.6</f>
        <v>455.6</v>
      </c>
      <c r="P133" s="32" t="s">
        <v>995</v>
      </c>
      <c r="Q133" s="31">
        <f>483.8</f>
        <v>483.8</v>
      </c>
      <c r="R133" s="32" t="s">
        <v>893</v>
      </c>
      <c r="S133" s="33">
        <f>480.54</f>
        <v>480.54</v>
      </c>
      <c r="T133" s="30">
        <f>36489260</f>
        <v>36489260</v>
      </c>
      <c r="U133" s="30">
        <f>951140</f>
        <v>951140</v>
      </c>
      <c r="V133" s="30">
        <f>17457295485</f>
        <v>17457295485</v>
      </c>
      <c r="W133" s="30">
        <f>458509252</f>
        <v>458509252</v>
      </c>
      <c r="X133" s="34">
        <f>20</f>
        <v>20</v>
      </c>
    </row>
    <row r="134" spans="1:24" x14ac:dyDescent="0.15">
      <c r="A134" s="25" t="s">
        <v>1210</v>
      </c>
      <c r="B134" s="25" t="s">
        <v>465</v>
      </c>
      <c r="C134" s="25" t="s">
        <v>466</v>
      </c>
      <c r="D134" s="25" t="s">
        <v>467</v>
      </c>
      <c r="E134" s="26" t="s">
        <v>45</v>
      </c>
      <c r="F134" s="27" t="s">
        <v>45</v>
      </c>
      <c r="G134" s="28" t="s">
        <v>45</v>
      </c>
      <c r="H134" s="29"/>
      <c r="I134" s="29" t="s">
        <v>46</v>
      </c>
      <c r="J134" s="30">
        <v>10</v>
      </c>
      <c r="K134" s="31">
        <f>281.9</f>
        <v>281.89999999999998</v>
      </c>
      <c r="L134" s="32" t="s">
        <v>995</v>
      </c>
      <c r="M134" s="31">
        <f>290.8</f>
        <v>290.8</v>
      </c>
      <c r="N134" s="32" t="s">
        <v>792</v>
      </c>
      <c r="O134" s="31">
        <f>281.1</f>
        <v>281.10000000000002</v>
      </c>
      <c r="P134" s="32" t="s">
        <v>995</v>
      </c>
      <c r="Q134" s="31">
        <f>287.2</f>
        <v>287.2</v>
      </c>
      <c r="R134" s="32" t="s">
        <v>893</v>
      </c>
      <c r="S134" s="33">
        <f>287.17</f>
        <v>287.17</v>
      </c>
      <c r="T134" s="30">
        <f>59849290</f>
        <v>59849290</v>
      </c>
      <c r="U134" s="30">
        <f>55057570</f>
        <v>55057570</v>
      </c>
      <c r="V134" s="30">
        <f>17253072747</f>
        <v>17253072747</v>
      </c>
      <c r="W134" s="30">
        <f>15872615125</f>
        <v>15872615125</v>
      </c>
      <c r="X134" s="34">
        <f>20</f>
        <v>20</v>
      </c>
    </row>
    <row r="135" spans="1:24" x14ac:dyDescent="0.15">
      <c r="A135" s="25" t="s">
        <v>1210</v>
      </c>
      <c r="B135" s="25" t="s">
        <v>468</v>
      </c>
      <c r="C135" s="25" t="s">
        <v>1120</v>
      </c>
      <c r="D135" s="25" t="s">
        <v>470</v>
      </c>
      <c r="E135" s="26" t="s">
        <v>45</v>
      </c>
      <c r="F135" s="27" t="s">
        <v>45</v>
      </c>
      <c r="G135" s="28" t="s">
        <v>45</v>
      </c>
      <c r="H135" s="29"/>
      <c r="I135" s="29" t="s">
        <v>46</v>
      </c>
      <c r="J135" s="30">
        <v>1</v>
      </c>
      <c r="K135" s="31">
        <f>3885</f>
        <v>3885</v>
      </c>
      <c r="L135" s="32" t="s">
        <v>995</v>
      </c>
      <c r="M135" s="31">
        <f>4195</f>
        <v>4195</v>
      </c>
      <c r="N135" s="32" t="s">
        <v>876</v>
      </c>
      <c r="O135" s="31">
        <f>3880</f>
        <v>3880</v>
      </c>
      <c r="P135" s="32" t="s">
        <v>995</v>
      </c>
      <c r="Q135" s="31">
        <f>4130</f>
        <v>4130</v>
      </c>
      <c r="R135" s="32" t="s">
        <v>893</v>
      </c>
      <c r="S135" s="33">
        <f>4091</f>
        <v>4091</v>
      </c>
      <c r="T135" s="30">
        <f>117355</f>
        <v>117355</v>
      </c>
      <c r="U135" s="30">
        <f>77982</f>
        <v>77982</v>
      </c>
      <c r="V135" s="30">
        <f>467473971</f>
        <v>467473971</v>
      </c>
      <c r="W135" s="30">
        <f>306195076</f>
        <v>306195076</v>
      </c>
      <c r="X135" s="34">
        <f>20</f>
        <v>20</v>
      </c>
    </row>
    <row r="136" spans="1:24" x14ac:dyDescent="0.15">
      <c r="A136" s="25" t="s">
        <v>1210</v>
      </c>
      <c r="B136" s="25" t="s">
        <v>471</v>
      </c>
      <c r="C136" s="25" t="s">
        <v>472</v>
      </c>
      <c r="D136" s="25" t="s">
        <v>473</v>
      </c>
      <c r="E136" s="26" t="s">
        <v>45</v>
      </c>
      <c r="F136" s="27" t="s">
        <v>45</v>
      </c>
      <c r="G136" s="28" t="s">
        <v>45</v>
      </c>
      <c r="H136" s="29"/>
      <c r="I136" s="29" t="s">
        <v>46</v>
      </c>
      <c r="J136" s="30">
        <v>1</v>
      </c>
      <c r="K136" s="31">
        <f>2337</f>
        <v>2337</v>
      </c>
      <c r="L136" s="32" t="s">
        <v>995</v>
      </c>
      <c r="M136" s="31">
        <f>2532</f>
        <v>2532</v>
      </c>
      <c r="N136" s="32" t="s">
        <v>876</v>
      </c>
      <c r="O136" s="31">
        <f>2315</f>
        <v>2315</v>
      </c>
      <c r="P136" s="32" t="s">
        <v>995</v>
      </c>
      <c r="Q136" s="31">
        <f>2441</f>
        <v>2441</v>
      </c>
      <c r="R136" s="32" t="s">
        <v>893</v>
      </c>
      <c r="S136" s="33">
        <f>2444.5</f>
        <v>2444.5</v>
      </c>
      <c r="T136" s="30">
        <f>100977</f>
        <v>100977</v>
      </c>
      <c r="U136" s="30">
        <f>4079</f>
        <v>4079</v>
      </c>
      <c r="V136" s="30">
        <f>247724347</f>
        <v>247724347</v>
      </c>
      <c r="W136" s="30">
        <f>10015850</f>
        <v>10015850</v>
      </c>
      <c r="X136" s="34">
        <f>20</f>
        <v>20</v>
      </c>
    </row>
    <row r="137" spans="1:24" x14ac:dyDescent="0.15">
      <c r="A137" s="25" t="s">
        <v>1210</v>
      </c>
      <c r="B137" s="25" t="s">
        <v>474</v>
      </c>
      <c r="C137" s="25" t="s">
        <v>475</v>
      </c>
      <c r="D137" s="25" t="s">
        <v>476</v>
      </c>
      <c r="E137" s="26" t="s">
        <v>45</v>
      </c>
      <c r="F137" s="27" t="s">
        <v>45</v>
      </c>
      <c r="G137" s="28" t="s">
        <v>45</v>
      </c>
      <c r="H137" s="29"/>
      <c r="I137" s="29" t="s">
        <v>46</v>
      </c>
      <c r="J137" s="30">
        <v>1</v>
      </c>
      <c r="K137" s="31">
        <f>2541</f>
        <v>2541</v>
      </c>
      <c r="L137" s="32" t="s">
        <v>995</v>
      </c>
      <c r="M137" s="31">
        <f>2727</f>
        <v>2727</v>
      </c>
      <c r="N137" s="32" t="s">
        <v>876</v>
      </c>
      <c r="O137" s="31">
        <f>2538</f>
        <v>2538</v>
      </c>
      <c r="P137" s="32" t="s">
        <v>995</v>
      </c>
      <c r="Q137" s="31">
        <f>2697</f>
        <v>2697</v>
      </c>
      <c r="R137" s="32" t="s">
        <v>893</v>
      </c>
      <c r="S137" s="33">
        <f>2655.05</f>
        <v>2655.05</v>
      </c>
      <c r="T137" s="30">
        <f>152772</f>
        <v>152772</v>
      </c>
      <c r="U137" s="30">
        <f>42</f>
        <v>42</v>
      </c>
      <c r="V137" s="30">
        <f>405751702</f>
        <v>405751702</v>
      </c>
      <c r="W137" s="30">
        <f>97355</f>
        <v>97355</v>
      </c>
      <c r="X137" s="34">
        <f>20</f>
        <v>20</v>
      </c>
    </row>
    <row r="138" spans="1:24" x14ac:dyDescent="0.15">
      <c r="A138" s="25" t="s">
        <v>1210</v>
      </c>
      <c r="B138" s="25" t="s">
        <v>477</v>
      </c>
      <c r="C138" s="25" t="s">
        <v>478</v>
      </c>
      <c r="D138" s="25" t="s">
        <v>479</v>
      </c>
      <c r="E138" s="26" t="s">
        <v>45</v>
      </c>
      <c r="F138" s="27" t="s">
        <v>45</v>
      </c>
      <c r="G138" s="28" t="s">
        <v>45</v>
      </c>
      <c r="H138" s="29"/>
      <c r="I138" s="29" t="s">
        <v>46</v>
      </c>
      <c r="J138" s="30">
        <v>1</v>
      </c>
      <c r="K138" s="31">
        <f>10520</f>
        <v>10520</v>
      </c>
      <c r="L138" s="32" t="s">
        <v>995</v>
      </c>
      <c r="M138" s="31">
        <f>10645</f>
        <v>10645</v>
      </c>
      <c r="N138" s="32" t="s">
        <v>78</v>
      </c>
      <c r="O138" s="31">
        <f>10285</f>
        <v>10285</v>
      </c>
      <c r="P138" s="32" t="s">
        <v>1004</v>
      </c>
      <c r="Q138" s="31">
        <f>10540</f>
        <v>10540</v>
      </c>
      <c r="R138" s="32" t="s">
        <v>893</v>
      </c>
      <c r="S138" s="33">
        <f>10490.25</f>
        <v>10490.25</v>
      </c>
      <c r="T138" s="30">
        <f>98689</f>
        <v>98689</v>
      </c>
      <c r="U138" s="30">
        <f>18910</f>
        <v>18910</v>
      </c>
      <c r="V138" s="30">
        <f>1036856105</f>
        <v>1036856105</v>
      </c>
      <c r="W138" s="30">
        <f>199316790</f>
        <v>199316790</v>
      </c>
      <c r="X138" s="34">
        <f>20</f>
        <v>20</v>
      </c>
    </row>
    <row r="139" spans="1:24" x14ac:dyDescent="0.15">
      <c r="A139" s="25" t="s">
        <v>1210</v>
      </c>
      <c r="B139" s="25" t="s">
        <v>480</v>
      </c>
      <c r="C139" s="25" t="s">
        <v>481</v>
      </c>
      <c r="D139" s="25" t="s">
        <v>482</v>
      </c>
      <c r="E139" s="26" t="s">
        <v>45</v>
      </c>
      <c r="F139" s="27" t="s">
        <v>45</v>
      </c>
      <c r="G139" s="28" t="s">
        <v>45</v>
      </c>
      <c r="H139" s="29"/>
      <c r="I139" s="29" t="s">
        <v>46</v>
      </c>
      <c r="J139" s="30">
        <v>1</v>
      </c>
      <c r="K139" s="31">
        <f>3135</f>
        <v>3135</v>
      </c>
      <c r="L139" s="32" t="s">
        <v>995</v>
      </c>
      <c r="M139" s="31">
        <f>3145</f>
        <v>3145</v>
      </c>
      <c r="N139" s="32" t="s">
        <v>995</v>
      </c>
      <c r="O139" s="31">
        <f>2822</f>
        <v>2822</v>
      </c>
      <c r="P139" s="32" t="s">
        <v>792</v>
      </c>
      <c r="Q139" s="31">
        <f>2964</f>
        <v>2964</v>
      </c>
      <c r="R139" s="32" t="s">
        <v>893</v>
      </c>
      <c r="S139" s="33">
        <f>2977.3</f>
        <v>2977.3</v>
      </c>
      <c r="T139" s="30">
        <f>6638229</f>
        <v>6638229</v>
      </c>
      <c r="U139" s="30">
        <f>110</f>
        <v>110</v>
      </c>
      <c r="V139" s="30">
        <f>19695008257</f>
        <v>19695008257</v>
      </c>
      <c r="W139" s="30">
        <f>336800</f>
        <v>336800</v>
      </c>
      <c r="X139" s="34">
        <f>20</f>
        <v>20</v>
      </c>
    </row>
    <row r="140" spans="1:24" x14ac:dyDescent="0.15">
      <c r="A140" s="25" t="s">
        <v>1210</v>
      </c>
      <c r="B140" s="25" t="s">
        <v>483</v>
      </c>
      <c r="C140" s="25" t="s">
        <v>484</v>
      </c>
      <c r="D140" s="25" t="s">
        <v>485</v>
      </c>
      <c r="E140" s="26" t="s">
        <v>45</v>
      </c>
      <c r="F140" s="27" t="s">
        <v>45</v>
      </c>
      <c r="G140" s="28" t="s">
        <v>45</v>
      </c>
      <c r="H140" s="29"/>
      <c r="I140" s="29" t="s">
        <v>46</v>
      </c>
      <c r="J140" s="30">
        <v>1</v>
      </c>
      <c r="K140" s="31">
        <f>28085</f>
        <v>28085</v>
      </c>
      <c r="L140" s="32" t="s">
        <v>995</v>
      </c>
      <c r="M140" s="31">
        <f>28230</f>
        <v>28230</v>
      </c>
      <c r="N140" s="32" t="s">
        <v>893</v>
      </c>
      <c r="O140" s="31">
        <f>27510</f>
        <v>27510</v>
      </c>
      <c r="P140" s="32" t="s">
        <v>998</v>
      </c>
      <c r="Q140" s="31">
        <f>28160</f>
        <v>28160</v>
      </c>
      <c r="R140" s="32" t="s">
        <v>893</v>
      </c>
      <c r="S140" s="33">
        <f>27851.5</f>
        <v>27851.5</v>
      </c>
      <c r="T140" s="30">
        <f>6469</f>
        <v>6469</v>
      </c>
      <c r="U140" s="30" t="str">
        <f>"－"</f>
        <v>－</v>
      </c>
      <c r="V140" s="30">
        <f>180194720</f>
        <v>180194720</v>
      </c>
      <c r="W140" s="30" t="str">
        <f>"－"</f>
        <v>－</v>
      </c>
      <c r="X140" s="34">
        <f>20</f>
        <v>20</v>
      </c>
    </row>
    <row r="141" spans="1:24" x14ac:dyDescent="0.15">
      <c r="A141" s="25" t="s">
        <v>1210</v>
      </c>
      <c r="B141" s="25" t="s">
        <v>486</v>
      </c>
      <c r="C141" s="25" t="s">
        <v>487</v>
      </c>
      <c r="D141" s="25" t="s">
        <v>488</v>
      </c>
      <c r="E141" s="26" t="s">
        <v>45</v>
      </c>
      <c r="F141" s="27" t="s">
        <v>45</v>
      </c>
      <c r="G141" s="28" t="s">
        <v>45</v>
      </c>
      <c r="H141" s="29"/>
      <c r="I141" s="29" t="s">
        <v>46</v>
      </c>
      <c r="J141" s="30">
        <v>10</v>
      </c>
      <c r="K141" s="31">
        <f>3180</f>
        <v>3180</v>
      </c>
      <c r="L141" s="32" t="s">
        <v>995</v>
      </c>
      <c r="M141" s="31">
        <f>3416</f>
        <v>3416</v>
      </c>
      <c r="N141" s="32" t="s">
        <v>255</v>
      </c>
      <c r="O141" s="31">
        <f>3083</f>
        <v>3083</v>
      </c>
      <c r="P141" s="32" t="s">
        <v>56</v>
      </c>
      <c r="Q141" s="31">
        <f>3389</f>
        <v>3389</v>
      </c>
      <c r="R141" s="32" t="s">
        <v>893</v>
      </c>
      <c r="S141" s="33">
        <f>3234.7</f>
        <v>3234.7</v>
      </c>
      <c r="T141" s="30">
        <f>24840</f>
        <v>24840</v>
      </c>
      <c r="U141" s="30" t="str">
        <f>"－"</f>
        <v>－</v>
      </c>
      <c r="V141" s="30">
        <f>81322230</f>
        <v>81322230</v>
      </c>
      <c r="W141" s="30" t="str">
        <f>"－"</f>
        <v>－</v>
      </c>
      <c r="X141" s="34">
        <f>20</f>
        <v>20</v>
      </c>
    </row>
    <row r="142" spans="1:24" x14ac:dyDescent="0.15">
      <c r="A142" s="25" t="s">
        <v>1210</v>
      </c>
      <c r="B142" s="25" t="s">
        <v>489</v>
      </c>
      <c r="C142" s="25" t="s">
        <v>490</v>
      </c>
      <c r="D142" s="25" t="s">
        <v>491</v>
      </c>
      <c r="E142" s="26" t="s">
        <v>45</v>
      </c>
      <c r="F142" s="27" t="s">
        <v>45</v>
      </c>
      <c r="G142" s="28" t="s">
        <v>45</v>
      </c>
      <c r="H142" s="29"/>
      <c r="I142" s="29" t="s">
        <v>46</v>
      </c>
      <c r="J142" s="30">
        <v>1</v>
      </c>
      <c r="K142" s="31">
        <f>13035</f>
        <v>13035</v>
      </c>
      <c r="L142" s="32" t="s">
        <v>995</v>
      </c>
      <c r="M142" s="31">
        <f>13075</f>
        <v>13075</v>
      </c>
      <c r="N142" s="32" t="s">
        <v>999</v>
      </c>
      <c r="O142" s="31">
        <f>11850</f>
        <v>11850</v>
      </c>
      <c r="P142" s="32" t="s">
        <v>56</v>
      </c>
      <c r="Q142" s="31">
        <f>12680</f>
        <v>12680</v>
      </c>
      <c r="R142" s="32" t="s">
        <v>893</v>
      </c>
      <c r="S142" s="33">
        <f>12561</f>
        <v>12561</v>
      </c>
      <c r="T142" s="30">
        <f>9242</f>
        <v>9242</v>
      </c>
      <c r="U142" s="30" t="str">
        <f>"－"</f>
        <v>－</v>
      </c>
      <c r="V142" s="30">
        <f>116488455</f>
        <v>116488455</v>
      </c>
      <c r="W142" s="30" t="str">
        <f>"－"</f>
        <v>－</v>
      </c>
      <c r="X142" s="34">
        <f>20</f>
        <v>20</v>
      </c>
    </row>
    <row r="143" spans="1:24" x14ac:dyDescent="0.15">
      <c r="A143" s="25" t="s">
        <v>1210</v>
      </c>
      <c r="B143" s="25" t="s">
        <v>492</v>
      </c>
      <c r="C143" s="25" t="s">
        <v>493</v>
      </c>
      <c r="D143" s="25" t="s">
        <v>494</v>
      </c>
      <c r="E143" s="26" t="s">
        <v>45</v>
      </c>
      <c r="F143" s="27" t="s">
        <v>45</v>
      </c>
      <c r="G143" s="28" t="s">
        <v>45</v>
      </c>
      <c r="H143" s="29"/>
      <c r="I143" s="29" t="s">
        <v>46</v>
      </c>
      <c r="J143" s="30">
        <v>1</v>
      </c>
      <c r="K143" s="31">
        <f>15620</f>
        <v>15620</v>
      </c>
      <c r="L143" s="32" t="s">
        <v>995</v>
      </c>
      <c r="M143" s="31">
        <f>15785</f>
        <v>15785</v>
      </c>
      <c r="N143" s="32" t="s">
        <v>999</v>
      </c>
      <c r="O143" s="31">
        <f>13540</f>
        <v>13540</v>
      </c>
      <c r="P143" s="32" t="s">
        <v>56</v>
      </c>
      <c r="Q143" s="31">
        <f>14000</f>
        <v>14000</v>
      </c>
      <c r="R143" s="32" t="s">
        <v>893</v>
      </c>
      <c r="S143" s="33">
        <f>14707.5</f>
        <v>14707.5</v>
      </c>
      <c r="T143" s="30">
        <f>6502</f>
        <v>6502</v>
      </c>
      <c r="U143" s="30" t="str">
        <f>"－"</f>
        <v>－</v>
      </c>
      <c r="V143" s="30">
        <f>95299560</f>
        <v>95299560</v>
      </c>
      <c r="W143" s="30" t="str">
        <f>"－"</f>
        <v>－</v>
      </c>
      <c r="X143" s="34">
        <f>20</f>
        <v>20</v>
      </c>
    </row>
    <row r="144" spans="1:24" x14ac:dyDescent="0.15">
      <c r="A144" s="25" t="s">
        <v>1210</v>
      </c>
      <c r="B144" s="25" t="s">
        <v>495</v>
      </c>
      <c r="C144" s="25" t="s">
        <v>496</v>
      </c>
      <c r="D144" s="25" t="s">
        <v>497</v>
      </c>
      <c r="E144" s="26" t="s">
        <v>45</v>
      </c>
      <c r="F144" s="27" t="s">
        <v>45</v>
      </c>
      <c r="G144" s="28" t="s">
        <v>45</v>
      </c>
      <c r="H144" s="29"/>
      <c r="I144" s="29" t="s">
        <v>46</v>
      </c>
      <c r="J144" s="30">
        <v>1</v>
      </c>
      <c r="K144" s="31">
        <f>19700</f>
        <v>19700</v>
      </c>
      <c r="L144" s="32" t="s">
        <v>995</v>
      </c>
      <c r="M144" s="31">
        <f>19995</f>
        <v>19995</v>
      </c>
      <c r="N144" s="32" t="s">
        <v>997</v>
      </c>
      <c r="O144" s="31">
        <f>18615</f>
        <v>18615</v>
      </c>
      <c r="P144" s="32" t="s">
        <v>875</v>
      </c>
      <c r="Q144" s="31">
        <f>19310</f>
        <v>19310</v>
      </c>
      <c r="R144" s="32" t="s">
        <v>997</v>
      </c>
      <c r="S144" s="33">
        <f>19258.93</f>
        <v>19258.93</v>
      </c>
      <c r="T144" s="30">
        <f>674</f>
        <v>674</v>
      </c>
      <c r="U144" s="30" t="str">
        <f>"－"</f>
        <v>－</v>
      </c>
      <c r="V144" s="30">
        <f>13219775</f>
        <v>13219775</v>
      </c>
      <c r="W144" s="30" t="str">
        <f>"－"</f>
        <v>－</v>
      </c>
      <c r="X144" s="34">
        <f>14</f>
        <v>14</v>
      </c>
    </row>
    <row r="145" spans="1:24" x14ac:dyDescent="0.15">
      <c r="A145" s="25" t="s">
        <v>1210</v>
      </c>
      <c r="B145" s="25" t="s">
        <v>498</v>
      </c>
      <c r="C145" s="25" t="s">
        <v>499</v>
      </c>
      <c r="D145" s="25" t="s">
        <v>500</v>
      </c>
      <c r="E145" s="26" t="s">
        <v>45</v>
      </c>
      <c r="F145" s="27" t="s">
        <v>45</v>
      </c>
      <c r="G145" s="28" t="s">
        <v>45</v>
      </c>
      <c r="H145" s="29"/>
      <c r="I145" s="29" t="s">
        <v>46</v>
      </c>
      <c r="J145" s="30">
        <v>10</v>
      </c>
      <c r="K145" s="31">
        <f>52440</f>
        <v>52440</v>
      </c>
      <c r="L145" s="32" t="s">
        <v>995</v>
      </c>
      <c r="M145" s="31">
        <f>54250</f>
        <v>54250</v>
      </c>
      <c r="N145" s="32" t="s">
        <v>1002</v>
      </c>
      <c r="O145" s="31">
        <f>52440</f>
        <v>52440</v>
      </c>
      <c r="P145" s="32" t="s">
        <v>995</v>
      </c>
      <c r="Q145" s="31">
        <f>53740</f>
        <v>53740</v>
      </c>
      <c r="R145" s="32" t="s">
        <v>893</v>
      </c>
      <c r="S145" s="33">
        <f>53536.5</f>
        <v>53536.5</v>
      </c>
      <c r="T145" s="30">
        <f>31360</f>
        <v>31360</v>
      </c>
      <c r="U145" s="30">
        <f>26450</f>
        <v>26450</v>
      </c>
      <c r="V145" s="30">
        <f>1692326420</f>
        <v>1692326420</v>
      </c>
      <c r="W145" s="30">
        <f>1429770620</f>
        <v>1429770620</v>
      </c>
      <c r="X145" s="34">
        <f>20</f>
        <v>20</v>
      </c>
    </row>
    <row r="146" spans="1:24" x14ac:dyDescent="0.15">
      <c r="A146" s="25" t="s">
        <v>1210</v>
      </c>
      <c r="B146" s="25" t="s">
        <v>501</v>
      </c>
      <c r="C146" s="25" t="s">
        <v>1121</v>
      </c>
      <c r="D146" s="25" t="s">
        <v>503</v>
      </c>
      <c r="E146" s="26" t="s">
        <v>45</v>
      </c>
      <c r="F146" s="27" t="s">
        <v>45</v>
      </c>
      <c r="G146" s="28" t="s">
        <v>45</v>
      </c>
      <c r="H146" s="29"/>
      <c r="I146" s="29" t="s">
        <v>46</v>
      </c>
      <c r="J146" s="30">
        <v>10</v>
      </c>
      <c r="K146" s="31">
        <f>305.6</f>
        <v>305.60000000000002</v>
      </c>
      <c r="L146" s="32" t="s">
        <v>995</v>
      </c>
      <c r="M146" s="31">
        <f>318.4</f>
        <v>318.39999999999998</v>
      </c>
      <c r="N146" s="32" t="s">
        <v>876</v>
      </c>
      <c r="O146" s="31">
        <f>305</f>
        <v>305</v>
      </c>
      <c r="P146" s="32" t="s">
        <v>995</v>
      </c>
      <c r="Q146" s="31">
        <f>313.5</f>
        <v>313.5</v>
      </c>
      <c r="R146" s="32" t="s">
        <v>893</v>
      </c>
      <c r="S146" s="33">
        <f>312.22</f>
        <v>312.22000000000003</v>
      </c>
      <c r="T146" s="30">
        <f>21257000</f>
        <v>21257000</v>
      </c>
      <c r="U146" s="30">
        <f>350720</f>
        <v>350720</v>
      </c>
      <c r="V146" s="30">
        <f>6636519646</f>
        <v>6636519646</v>
      </c>
      <c r="W146" s="30">
        <f>108975967</f>
        <v>108975967</v>
      </c>
      <c r="X146" s="34">
        <f>20</f>
        <v>20</v>
      </c>
    </row>
    <row r="147" spans="1:24" x14ac:dyDescent="0.15">
      <c r="A147" s="25" t="s">
        <v>1210</v>
      </c>
      <c r="B147" s="25" t="s">
        <v>504</v>
      </c>
      <c r="C147" s="25" t="s">
        <v>1122</v>
      </c>
      <c r="D147" s="25" t="s">
        <v>506</v>
      </c>
      <c r="E147" s="26" t="s">
        <v>45</v>
      </c>
      <c r="F147" s="27" t="s">
        <v>45</v>
      </c>
      <c r="G147" s="28" t="s">
        <v>45</v>
      </c>
      <c r="H147" s="29"/>
      <c r="I147" s="29" t="s">
        <v>46</v>
      </c>
      <c r="J147" s="30">
        <v>10</v>
      </c>
      <c r="K147" s="31">
        <f>42430</f>
        <v>42430</v>
      </c>
      <c r="L147" s="32" t="s">
        <v>995</v>
      </c>
      <c r="M147" s="31">
        <f>45050</f>
        <v>45050</v>
      </c>
      <c r="N147" s="32" t="s">
        <v>876</v>
      </c>
      <c r="O147" s="31">
        <f>42420</f>
        <v>42420</v>
      </c>
      <c r="P147" s="32" t="s">
        <v>995</v>
      </c>
      <c r="Q147" s="31">
        <f>44570</f>
        <v>44570</v>
      </c>
      <c r="R147" s="32" t="s">
        <v>893</v>
      </c>
      <c r="S147" s="33">
        <f>44095.26</f>
        <v>44095.26</v>
      </c>
      <c r="T147" s="30">
        <f>3890</f>
        <v>3890</v>
      </c>
      <c r="U147" s="30" t="str">
        <f t="shared" ref="U147:U167" si="2">"－"</f>
        <v>－</v>
      </c>
      <c r="V147" s="30">
        <f>172205900</f>
        <v>172205900</v>
      </c>
      <c r="W147" s="30" t="str">
        <f t="shared" ref="W147:W167" si="3">"－"</f>
        <v>－</v>
      </c>
      <c r="X147" s="34">
        <f>19</f>
        <v>19</v>
      </c>
    </row>
    <row r="148" spans="1:24" x14ac:dyDescent="0.15">
      <c r="A148" s="25" t="s">
        <v>1210</v>
      </c>
      <c r="B148" s="25" t="s">
        <v>507</v>
      </c>
      <c r="C148" s="25" t="s">
        <v>508</v>
      </c>
      <c r="D148" s="25" t="s">
        <v>1123</v>
      </c>
      <c r="E148" s="26" t="s">
        <v>45</v>
      </c>
      <c r="F148" s="27" t="s">
        <v>45</v>
      </c>
      <c r="G148" s="28" t="s">
        <v>45</v>
      </c>
      <c r="H148" s="29"/>
      <c r="I148" s="29" t="s">
        <v>46</v>
      </c>
      <c r="J148" s="30">
        <v>10</v>
      </c>
      <c r="K148" s="31">
        <f>4463</f>
        <v>4463</v>
      </c>
      <c r="L148" s="32" t="s">
        <v>995</v>
      </c>
      <c r="M148" s="31">
        <f>4814</f>
        <v>4814</v>
      </c>
      <c r="N148" s="32" t="s">
        <v>793</v>
      </c>
      <c r="O148" s="31">
        <f>4459</f>
        <v>4459</v>
      </c>
      <c r="P148" s="32" t="s">
        <v>995</v>
      </c>
      <c r="Q148" s="31">
        <f>4747</f>
        <v>4747</v>
      </c>
      <c r="R148" s="32" t="s">
        <v>893</v>
      </c>
      <c r="S148" s="33">
        <f>4697.4</f>
        <v>4697.3999999999996</v>
      </c>
      <c r="T148" s="30">
        <f>56770</f>
        <v>56770</v>
      </c>
      <c r="U148" s="30" t="str">
        <f t="shared" si="2"/>
        <v>－</v>
      </c>
      <c r="V148" s="30">
        <f>267149070</f>
        <v>267149070</v>
      </c>
      <c r="W148" s="30" t="str">
        <f t="shared" si="3"/>
        <v>－</v>
      </c>
      <c r="X148" s="34">
        <f>20</f>
        <v>20</v>
      </c>
    </row>
    <row r="149" spans="1:24" x14ac:dyDescent="0.15">
      <c r="A149" s="25" t="s">
        <v>1210</v>
      </c>
      <c r="B149" s="25" t="s">
        <v>510</v>
      </c>
      <c r="C149" s="25" t="s">
        <v>1124</v>
      </c>
      <c r="D149" s="25" t="s">
        <v>1125</v>
      </c>
      <c r="E149" s="26" t="s">
        <v>45</v>
      </c>
      <c r="F149" s="27" t="s">
        <v>45</v>
      </c>
      <c r="G149" s="28" t="s">
        <v>45</v>
      </c>
      <c r="H149" s="29"/>
      <c r="I149" s="29" t="s">
        <v>46</v>
      </c>
      <c r="J149" s="30">
        <v>10</v>
      </c>
      <c r="K149" s="31">
        <f>1760</f>
        <v>1760</v>
      </c>
      <c r="L149" s="32" t="s">
        <v>995</v>
      </c>
      <c r="M149" s="31">
        <f>1898.5</f>
        <v>1898.5</v>
      </c>
      <c r="N149" s="32" t="s">
        <v>876</v>
      </c>
      <c r="O149" s="31">
        <f>1751</f>
        <v>1751</v>
      </c>
      <c r="P149" s="32" t="s">
        <v>995</v>
      </c>
      <c r="Q149" s="31">
        <f>1836</f>
        <v>1836</v>
      </c>
      <c r="R149" s="32" t="s">
        <v>893</v>
      </c>
      <c r="S149" s="33">
        <f>1839.08</f>
        <v>1839.08</v>
      </c>
      <c r="T149" s="30">
        <f>168010</f>
        <v>168010</v>
      </c>
      <c r="U149" s="30" t="str">
        <f t="shared" si="2"/>
        <v>－</v>
      </c>
      <c r="V149" s="30">
        <f>309830835</f>
        <v>309830835</v>
      </c>
      <c r="W149" s="30" t="str">
        <f t="shared" si="3"/>
        <v>－</v>
      </c>
      <c r="X149" s="34">
        <f>20</f>
        <v>20</v>
      </c>
    </row>
    <row r="150" spans="1:24" x14ac:dyDescent="0.15">
      <c r="A150" s="25" t="s">
        <v>1210</v>
      </c>
      <c r="B150" s="25" t="s">
        <v>513</v>
      </c>
      <c r="C150" s="25" t="s">
        <v>514</v>
      </c>
      <c r="D150" s="25" t="s">
        <v>515</v>
      </c>
      <c r="E150" s="26" t="s">
        <v>45</v>
      </c>
      <c r="F150" s="27" t="s">
        <v>45</v>
      </c>
      <c r="G150" s="28" t="s">
        <v>45</v>
      </c>
      <c r="H150" s="29"/>
      <c r="I150" s="29" t="s">
        <v>46</v>
      </c>
      <c r="J150" s="30">
        <v>100</v>
      </c>
      <c r="K150" s="31">
        <f>239.9</f>
        <v>239.9</v>
      </c>
      <c r="L150" s="32" t="s">
        <v>995</v>
      </c>
      <c r="M150" s="31">
        <f>240.2</f>
        <v>240.2</v>
      </c>
      <c r="N150" s="32" t="s">
        <v>995</v>
      </c>
      <c r="O150" s="31">
        <f>222.9</f>
        <v>222.9</v>
      </c>
      <c r="P150" s="32" t="s">
        <v>56</v>
      </c>
      <c r="Q150" s="31">
        <f>233</f>
        <v>233</v>
      </c>
      <c r="R150" s="32" t="s">
        <v>893</v>
      </c>
      <c r="S150" s="33">
        <f>232.37</f>
        <v>232.37</v>
      </c>
      <c r="T150" s="30">
        <f>167600</f>
        <v>167600</v>
      </c>
      <c r="U150" s="30" t="str">
        <f t="shared" si="2"/>
        <v>－</v>
      </c>
      <c r="V150" s="30">
        <f>38833570</f>
        <v>38833570</v>
      </c>
      <c r="W150" s="30" t="str">
        <f t="shared" si="3"/>
        <v>－</v>
      </c>
      <c r="X150" s="34">
        <f>20</f>
        <v>20</v>
      </c>
    </row>
    <row r="151" spans="1:24" x14ac:dyDescent="0.15">
      <c r="A151" s="25" t="s">
        <v>1210</v>
      </c>
      <c r="B151" s="25" t="s">
        <v>516</v>
      </c>
      <c r="C151" s="25" t="s">
        <v>517</v>
      </c>
      <c r="D151" s="25" t="s">
        <v>518</v>
      </c>
      <c r="E151" s="26" t="s">
        <v>45</v>
      </c>
      <c r="F151" s="27" t="s">
        <v>45</v>
      </c>
      <c r="G151" s="28" t="s">
        <v>45</v>
      </c>
      <c r="H151" s="29"/>
      <c r="I151" s="29" t="s">
        <v>46</v>
      </c>
      <c r="J151" s="30">
        <v>10</v>
      </c>
      <c r="K151" s="31">
        <f>1683.5</f>
        <v>1683.5</v>
      </c>
      <c r="L151" s="32" t="s">
        <v>995</v>
      </c>
      <c r="M151" s="31">
        <f>1702.5</f>
        <v>1702.5</v>
      </c>
      <c r="N151" s="32" t="s">
        <v>1002</v>
      </c>
      <c r="O151" s="31">
        <f>1611</f>
        <v>1611</v>
      </c>
      <c r="P151" s="32" t="s">
        <v>997</v>
      </c>
      <c r="Q151" s="31">
        <f>1658</f>
        <v>1658</v>
      </c>
      <c r="R151" s="32" t="s">
        <v>893</v>
      </c>
      <c r="S151" s="33">
        <f>1662.71</f>
        <v>1662.71</v>
      </c>
      <c r="T151" s="30">
        <f>2290</f>
        <v>2290</v>
      </c>
      <c r="U151" s="30" t="str">
        <f t="shared" si="2"/>
        <v>－</v>
      </c>
      <c r="V151" s="30">
        <f>3799450</f>
        <v>3799450</v>
      </c>
      <c r="W151" s="30" t="str">
        <f t="shared" si="3"/>
        <v>－</v>
      </c>
      <c r="X151" s="34">
        <f>14</f>
        <v>14</v>
      </c>
    </row>
    <row r="152" spans="1:24" x14ac:dyDescent="0.15">
      <c r="A152" s="25" t="s">
        <v>1210</v>
      </c>
      <c r="B152" s="25" t="s">
        <v>519</v>
      </c>
      <c r="C152" s="25" t="s">
        <v>520</v>
      </c>
      <c r="D152" s="25" t="s">
        <v>521</v>
      </c>
      <c r="E152" s="26" t="s">
        <v>45</v>
      </c>
      <c r="F152" s="27" t="s">
        <v>45</v>
      </c>
      <c r="G152" s="28" t="s">
        <v>45</v>
      </c>
      <c r="H152" s="29"/>
      <c r="I152" s="29" t="s">
        <v>46</v>
      </c>
      <c r="J152" s="30">
        <v>10</v>
      </c>
      <c r="K152" s="31">
        <f>638.6</f>
        <v>638.6</v>
      </c>
      <c r="L152" s="32" t="s">
        <v>995</v>
      </c>
      <c r="M152" s="31">
        <f>640.1</f>
        <v>640.1</v>
      </c>
      <c r="N152" s="32" t="s">
        <v>995</v>
      </c>
      <c r="O152" s="31">
        <f>565.2</f>
        <v>565.20000000000005</v>
      </c>
      <c r="P152" s="32" t="s">
        <v>255</v>
      </c>
      <c r="Q152" s="31">
        <f>573.1</f>
        <v>573.1</v>
      </c>
      <c r="R152" s="32" t="s">
        <v>893</v>
      </c>
      <c r="S152" s="33">
        <f>589.99</f>
        <v>589.99</v>
      </c>
      <c r="T152" s="30">
        <f>26260</f>
        <v>26260</v>
      </c>
      <c r="U152" s="30" t="str">
        <f t="shared" si="2"/>
        <v>－</v>
      </c>
      <c r="V152" s="30">
        <f>15431424</f>
        <v>15431424</v>
      </c>
      <c r="W152" s="30" t="str">
        <f t="shared" si="3"/>
        <v>－</v>
      </c>
      <c r="X152" s="34">
        <f>20</f>
        <v>20</v>
      </c>
    </row>
    <row r="153" spans="1:24" x14ac:dyDescent="0.15">
      <c r="A153" s="25" t="s">
        <v>1210</v>
      </c>
      <c r="B153" s="25" t="s">
        <v>522</v>
      </c>
      <c r="C153" s="25" t="s">
        <v>523</v>
      </c>
      <c r="D153" s="25" t="s">
        <v>524</v>
      </c>
      <c r="E153" s="26" t="s">
        <v>45</v>
      </c>
      <c r="F153" s="27" t="s">
        <v>45</v>
      </c>
      <c r="G153" s="28" t="s">
        <v>45</v>
      </c>
      <c r="H153" s="29"/>
      <c r="I153" s="29" t="s">
        <v>46</v>
      </c>
      <c r="J153" s="30">
        <v>10</v>
      </c>
      <c r="K153" s="31">
        <f>2105.5</f>
        <v>2105.5</v>
      </c>
      <c r="L153" s="32" t="s">
        <v>995</v>
      </c>
      <c r="M153" s="31">
        <f>2133</f>
        <v>2133</v>
      </c>
      <c r="N153" s="32" t="s">
        <v>876</v>
      </c>
      <c r="O153" s="31">
        <f>1989.5</f>
        <v>1989.5</v>
      </c>
      <c r="P153" s="32" t="s">
        <v>997</v>
      </c>
      <c r="Q153" s="31">
        <f>2053.5</f>
        <v>2053.5</v>
      </c>
      <c r="R153" s="32" t="s">
        <v>893</v>
      </c>
      <c r="S153" s="33">
        <f>2097.48</f>
        <v>2097.48</v>
      </c>
      <c r="T153" s="30">
        <f>5190</f>
        <v>5190</v>
      </c>
      <c r="U153" s="30" t="str">
        <f t="shared" si="2"/>
        <v>－</v>
      </c>
      <c r="V153" s="30">
        <f>10854180</f>
        <v>10854180</v>
      </c>
      <c r="W153" s="30" t="str">
        <f t="shared" si="3"/>
        <v>－</v>
      </c>
      <c r="X153" s="34">
        <f>20</f>
        <v>20</v>
      </c>
    </row>
    <row r="154" spans="1:24" x14ac:dyDescent="0.15">
      <c r="A154" s="25" t="s">
        <v>1210</v>
      </c>
      <c r="B154" s="25" t="s">
        <v>525</v>
      </c>
      <c r="C154" s="25" t="s">
        <v>526</v>
      </c>
      <c r="D154" s="25" t="s">
        <v>527</v>
      </c>
      <c r="E154" s="26" t="s">
        <v>45</v>
      </c>
      <c r="F154" s="27" t="s">
        <v>45</v>
      </c>
      <c r="G154" s="28" t="s">
        <v>45</v>
      </c>
      <c r="H154" s="29"/>
      <c r="I154" s="29" t="s">
        <v>46</v>
      </c>
      <c r="J154" s="30">
        <v>10</v>
      </c>
      <c r="K154" s="31">
        <f>988.4</f>
        <v>988.4</v>
      </c>
      <c r="L154" s="32" t="s">
        <v>995</v>
      </c>
      <c r="M154" s="31">
        <f>1028</f>
        <v>1028</v>
      </c>
      <c r="N154" s="32" t="s">
        <v>876</v>
      </c>
      <c r="O154" s="31">
        <f>969.1</f>
        <v>969.1</v>
      </c>
      <c r="P154" s="32" t="s">
        <v>1017</v>
      </c>
      <c r="Q154" s="31">
        <f>978.3</f>
        <v>978.3</v>
      </c>
      <c r="R154" s="32" t="s">
        <v>893</v>
      </c>
      <c r="S154" s="33">
        <f>994.35</f>
        <v>994.35</v>
      </c>
      <c r="T154" s="30">
        <f>34280</f>
        <v>34280</v>
      </c>
      <c r="U154" s="30" t="str">
        <f t="shared" si="2"/>
        <v>－</v>
      </c>
      <c r="V154" s="30">
        <f>34347700</f>
        <v>34347700</v>
      </c>
      <c r="W154" s="30" t="str">
        <f t="shared" si="3"/>
        <v>－</v>
      </c>
      <c r="X154" s="34">
        <f>20</f>
        <v>20</v>
      </c>
    </row>
    <row r="155" spans="1:24" x14ac:dyDescent="0.15">
      <c r="A155" s="25" t="s">
        <v>1210</v>
      </c>
      <c r="B155" s="25" t="s">
        <v>528</v>
      </c>
      <c r="C155" s="25" t="s">
        <v>529</v>
      </c>
      <c r="D155" s="25" t="s">
        <v>530</v>
      </c>
      <c r="E155" s="26" t="s">
        <v>45</v>
      </c>
      <c r="F155" s="27" t="s">
        <v>45</v>
      </c>
      <c r="G155" s="28" t="s">
        <v>45</v>
      </c>
      <c r="H155" s="29"/>
      <c r="I155" s="29" t="s">
        <v>46</v>
      </c>
      <c r="J155" s="30">
        <v>10</v>
      </c>
      <c r="K155" s="31">
        <f>642.4</f>
        <v>642.4</v>
      </c>
      <c r="L155" s="32" t="s">
        <v>995</v>
      </c>
      <c r="M155" s="31">
        <f>665.9</f>
        <v>665.9</v>
      </c>
      <c r="N155" s="32" t="s">
        <v>1005</v>
      </c>
      <c r="O155" s="31">
        <f>620.3</f>
        <v>620.29999999999995</v>
      </c>
      <c r="P155" s="32" t="s">
        <v>997</v>
      </c>
      <c r="Q155" s="31">
        <f>628.5</f>
        <v>628.5</v>
      </c>
      <c r="R155" s="32" t="s">
        <v>893</v>
      </c>
      <c r="S155" s="33">
        <f>645.15</f>
        <v>645.15</v>
      </c>
      <c r="T155" s="30">
        <f>155150</f>
        <v>155150</v>
      </c>
      <c r="U155" s="30" t="str">
        <f t="shared" si="2"/>
        <v>－</v>
      </c>
      <c r="V155" s="30">
        <f>100827064</f>
        <v>100827064</v>
      </c>
      <c r="W155" s="30" t="str">
        <f t="shared" si="3"/>
        <v>－</v>
      </c>
      <c r="X155" s="34">
        <f>20</f>
        <v>20</v>
      </c>
    </row>
    <row r="156" spans="1:24" x14ac:dyDescent="0.15">
      <c r="A156" s="25" t="s">
        <v>1210</v>
      </c>
      <c r="B156" s="25" t="s">
        <v>531</v>
      </c>
      <c r="C156" s="25" t="s">
        <v>532</v>
      </c>
      <c r="D156" s="25" t="s">
        <v>533</v>
      </c>
      <c r="E156" s="26" t="s">
        <v>1211</v>
      </c>
      <c r="F156" s="27" t="s">
        <v>1212</v>
      </c>
      <c r="G156" s="28" t="s">
        <v>45</v>
      </c>
      <c r="H156" s="29"/>
      <c r="I156" s="29" t="s">
        <v>46</v>
      </c>
      <c r="J156" s="30">
        <v>100</v>
      </c>
      <c r="K156" s="31">
        <f>1.3</f>
        <v>1.3</v>
      </c>
      <c r="L156" s="32" t="s">
        <v>995</v>
      </c>
      <c r="M156" s="31">
        <f>1.4</f>
        <v>1.4</v>
      </c>
      <c r="N156" s="32" t="s">
        <v>995</v>
      </c>
      <c r="O156" s="31">
        <f>1</f>
        <v>1</v>
      </c>
      <c r="P156" s="32" t="s">
        <v>998</v>
      </c>
      <c r="Q156" s="31">
        <f>1</f>
        <v>1</v>
      </c>
      <c r="R156" s="32" t="s">
        <v>1017</v>
      </c>
      <c r="S156" s="33">
        <f>1.15</f>
        <v>1.1499999999999999</v>
      </c>
      <c r="T156" s="30">
        <f>2873820000</f>
        <v>2873820000</v>
      </c>
      <c r="U156" s="30" t="str">
        <f t="shared" si="2"/>
        <v>－</v>
      </c>
      <c r="V156" s="30">
        <f>3262820000</f>
        <v>3262820000</v>
      </c>
      <c r="W156" s="30" t="str">
        <f t="shared" si="3"/>
        <v>－</v>
      </c>
      <c r="X156" s="34">
        <f>19</f>
        <v>19</v>
      </c>
    </row>
    <row r="157" spans="1:24" x14ac:dyDescent="0.15">
      <c r="A157" s="25" t="s">
        <v>1210</v>
      </c>
      <c r="B157" s="25" t="s">
        <v>531</v>
      </c>
      <c r="C157" s="25" t="s">
        <v>532</v>
      </c>
      <c r="D157" s="25" t="s">
        <v>533</v>
      </c>
      <c r="E157" s="26" t="s">
        <v>1211</v>
      </c>
      <c r="F157" s="27" t="s">
        <v>1212</v>
      </c>
      <c r="G157" s="28" t="s">
        <v>45</v>
      </c>
      <c r="H157" s="29"/>
      <c r="I157" s="29" t="s">
        <v>46</v>
      </c>
      <c r="J157" s="30">
        <v>100</v>
      </c>
      <c r="K157" s="31" t="str">
        <f>"－"</f>
        <v>－</v>
      </c>
      <c r="L157" s="32"/>
      <c r="M157" s="31" t="str">
        <f>"－"</f>
        <v>－</v>
      </c>
      <c r="N157" s="32"/>
      <c r="O157" s="31" t="str">
        <f>"－"</f>
        <v>－</v>
      </c>
      <c r="P157" s="32"/>
      <c r="Q157" s="31" t="str">
        <f>"－"</f>
        <v>－</v>
      </c>
      <c r="R157" s="32"/>
      <c r="S157" s="33" t="str">
        <f>"－"</f>
        <v>－</v>
      </c>
      <c r="T157" s="30" t="str">
        <f>"－"</f>
        <v>－</v>
      </c>
      <c r="U157" s="30" t="str">
        <f t="shared" si="2"/>
        <v>－</v>
      </c>
      <c r="V157" s="30" t="str">
        <f>"－"</f>
        <v>－</v>
      </c>
      <c r="W157" s="30" t="str">
        <f t="shared" si="3"/>
        <v>－</v>
      </c>
      <c r="X157" s="34" t="str">
        <f>"－"</f>
        <v>－</v>
      </c>
    </row>
    <row r="158" spans="1:24" x14ac:dyDescent="0.15">
      <c r="A158" s="25" t="s">
        <v>1210</v>
      </c>
      <c r="B158" s="25" t="s">
        <v>534</v>
      </c>
      <c r="C158" s="25" t="s">
        <v>535</v>
      </c>
      <c r="D158" s="25" t="s">
        <v>536</v>
      </c>
      <c r="E158" s="26" t="s">
        <v>45</v>
      </c>
      <c r="F158" s="27" t="s">
        <v>45</v>
      </c>
      <c r="G158" s="28" t="s">
        <v>45</v>
      </c>
      <c r="H158" s="29"/>
      <c r="I158" s="29" t="s">
        <v>46</v>
      </c>
      <c r="J158" s="30">
        <v>10</v>
      </c>
      <c r="K158" s="31">
        <f>1512</f>
        <v>1512</v>
      </c>
      <c r="L158" s="32" t="s">
        <v>995</v>
      </c>
      <c r="M158" s="31">
        <f>1512</f>
        <v>1512</v>
      </c>
      <c r="N158" s="32" t="s">
        <v>995</v>
      </c>
      <c r="O158" s="31">
        <f>1375</f>
        <v>1375</v>
      </c>
      <c r="P158" s="32" t="s">
        <v>792</v>
      </c>
      <c r="Q158" s="31">
        <f>1433</f>
        <v>1433</v>
      </c>
      <c r="R158" s="32" t="s">
        <v>893</v>
      </c>
      <c r="S158" s="33">
        <f>1440.6</f>
        <v>1440.6</v>
      </c>
      <c r="T158" s="30">
        <f>106930</f>
        <v>106930</v>
      </c>
      <c r="U158" s="30" t="str">
        <f t="shared" si="2"/>
        <v>－</v>
      </c>
      <c r="V158" s="30">
        <f>152772390</f>
        <v>152772390</v>
      </c>
      <c r="W158" s="30" t="str">
        <f t="shared" si="3"/>
        <v>－</v>
      </c>
      <c r="X158" s="34">
        <f>20</f>
        <v>20</v>
      </c>
    </row>
    <row r="159" spans="1:24" x14ac:dyDescent="0.15">
      <c r="A159" s="25" t="s">
        <v>1210</v>
      </c>
      <c r="B159" s="25" t="s">
        <v>537</v>
      </c>
      <c r="C159" s="25" t="s">
        <v>538</v>
      </c>
      <c r="D159" s="25" t="s">
        <v>539</v>
      </c>
      <c r="E159" s="26" t="s">
        <v>45</v>
      </c>
      <c r="F159" s="27" t="s">
        <v>45</v>
      </c>
      <c r="G159" s="28" t="s">
        <v>45</v>
      </c>
      <c r="H159" s="29"/>
      <c r="I159" s="29" t="s">
        <v>46</v>
      </c>
      <c r="J159" s="30">
        <v>1</v>
      </c>
      <c r="K159" s="31">
        <f>7940</f>
        <v>7940</v>
      </c>
      <c r="L159" s="32" t="s">
        <v>995</v>
      </c>
      <c r="M159" s="31">
        <f>7977</f>
        <v>7977</v>
      </c>
      <c r="N159" s="32" t="s">
        <v>1005</v>
      </c>
      <c r="O159" s="31">
        <f>7288</f>
        <v>7288</v>
      </c>
      <c r="P159" s="32" t="s">
        <v>792</v>
      </c>
      <c r="Q159" s="31">
        <f>7760</f>
        <v>7760</v>
      </c>
      <c r="R159" s="32" t="s">
        <v>893</v>
      </c>
      <c r="S159" s="33">
        <f>7643.79</f>
        <v>7643.79</v>
      </c>
      <c r="T159" s="30">
        <f>1783</f>
        <v>1783</v>
      </c>
      <c r="U159" s="30" t="str">
        <f t="shared" si="2"/>
        <v>－</v>
      </c>
      <c r="V159" s="30">
        <f>13583248</f>
        <v>13583248</v>
      </c>
      <c r="W159" s="30" t="str">
        <f t="shared" si="3"/>
        <v>－</v>
      </c>
      <c r="X159" s="34">
        <f>19</f>
        <v>19</v>
      </c>
    </row>
    <row r="160" spans="1:24" x14ac:dyDescent="0.15">
      <c r="A160" s="25" t="s">
        <v>1210</v>
      </c>
      <c r="B160" s="25" t="s">
        <v>540</v>
      </c>
      <c r="C160" s="25" t="s">
        <v>541</v>
      </c>
      <c r="D160" s="25" t="s">
        <v>542</v>
      </c>
      <c r="E160" s="26" t="s">
        <v>45</v>
      </c>
      <c r="F160" s="27" t="s">
        <v>45</v>
      </c>
      <c r="G160" s="28" t="s">
        <v>45</v>
      </c>
      <c r="H160" s="29"/>
      <c r="I160" s="29" t="s">
        <v>46</v>
      </c>
      <c r="J160" s="30">
        <v>100</v>
      </c>
      <c r="K160" s="31">
        <f>457.5</f>
        <v>457.5</v>
      </c>
      <c r="L160" s="32" t="s">
        <v>995</v>
      </c>
      <c r="M160" s="31">
        <f>457.5</f>
        <v>457.5</v>
      </c>
      <c r="N160" s="32" t="s">
        <v>995</v>
      </c>
      <c r="O160" s="31">
        <f>430</f>
        <v>430</v>
      </c>
      <c r="P160" s="32" t="s">
        <v>997</v>
      </c>
      <c r="Q160" s="31">
        <f>431.6</f>
        <v>431.6</v>
      </c>
      <c r="R160" s="32" t="s">
        <v>893</v>
      </c>
      <c r="S160" s="33">
        <f>446.51</f>
        <v>446.51</v>
      </c>
      <c r="T160" s="30">
        <f>63800</f>
        <v>63800</v>
      </c>
      <c r="U160" s="30" t="str">
        <f t="shared" si="2"/>
        <v>－</v>
      </c>
      <c r="V160" s="30">
        <f>28534850</f>
        <v>28534850</v>
      </c>
      <c r="W160" s="30" t="str">
        <f t="shared" si="3"/>
        <v>－</v>
      </c>
      <c r="X160" s="34">
        <f>19</f>
        <v>19</v>
      </c>
    </row>
    <row r="161" spans="1:24" x14ac:dyDescent="0.15">
      <c r="A161" s="25" t="s">
        <v>1210</v>
      </c>
      <c r="B161" s="25" t="s">
        <v>543</v>
      </c>
      <c r="C161" s="25" t="s">
        <v>544</v>
      </c>
      <c r="D161" s="25" t="s">
        <v>545</v>
      </c>
      <c r="E161" s="26" t="s">
        <v>45</v>
      </c>
      <c r="F161" s="27" t="s">
        <v>45</v>
      </c>
      <c r="G161" s="28" t="s">
        <v>45</v>
      </c>
      <c r="H161" s="29"/>
      <c r="I161" s="29" t="s">
        <v>46</v>
      </c>
      <c r="J161" s="30">
        <v>10</v>
      </c>
      <c r="K161" s="31">
        <f>4941</f>
        <v>4941</v>
      </c>
      <c r="L161" s="32" t="s">
        <v>995</v>
      </c>
      <c r="M161" s="31">
        <f>5079</f>
        <v>5079</v>
      </c>
      <c r="N161" s="32" t="s">
        <v>997</v>
      </c>
      <c r="O161" s="31">
        <f>4872</f>
        <v>4872</v>
      </c>
      <c r="P161" s="32" t="s">
        <v>56</v>
      </c>
      <c r="Q161" s="31">
        <f>5001</f>
        <v>5001</v>
      </c>
      <c r="R161" s="32" t="s">
        <v>893</v>
      </c>
      <c r="S161" s="33">
        <f>4974.7</f>
        <v>4974.7</v>
      </c>
      <c r="T161" s="30">
        <f>28220</f>
        <v>28220</v>
      </c>
      <c r="U161" s="30" t="str">
        <f t="shared" si="2"/>
        <v>－</v>
      </c>
      <c r="V161" s="30">
        <f>140121580</f>
        <v>140121580</v>
      </c>
      <c r="W161" s="30" t="str">
        <f t="shared" si="3"/>
        <v>－</v>
      </c>
      <c r="X161" s="34">
        <f>20</f>
        <v>20</v>
      </c>
    </row>
    <row r="162" spans="1:24" x14ac:dyDescent="0.15">
      <c r="A162" s="25" t="s">
        <v>1210</v>
      </c>
      <c r="B162" s="25" t="s">
        <v>546</v>
      </c>
      <c r="C162" s="25" t="s">
        <v>547</v>
      </c>
      <c r="D162" s="25" t="s">
        <v>548</v>
      </c>
      <c r="E162" s="26" t="s">
        <v>45</v>
      </c>
      <c r="F162" s="27" t="s">
        <v>45</v>
      </c>
      <c r="G162" s="28" t="s">
        <v>45</v>
      </c>
      <c r="H162" s="29"/>
      <c r="I162" s="29" t="s">
        <v>46</v>
      </c>
      <c r="J162" s="30">
        <v>10</v>
      </c>
      <c r="K162" s="31">
        <f>2512.5</f>
        <v>2512.5</v>
      </c>
      <c r="L162" s="32" t="s">
        <v>995</v>
      </c>
      <c r="M162" s="31">
        <f>2542.5</f>
        <v>2542.5</v>
      </c>
      <c r="N162" s="32" t="s">
        <v>1003</v>
      </c>
      <c r="O162" s="31">
        <f>2170.5</f>
        <v>2170.5</v>
      </c>
      <c r="P162" s="32" t="s">
        <v>255</v>
      </c>
      <c r="Q162" s="31">
        <f>2280</f>
        <v>2280</v>
      </c>
      <c r="R162" s="32" t="s">
        <v>893</v>
      </c>
      <c r="S162" s="33">
        <f>2385.85</f>
        <v>2385.85</v>
      </c>
      <c r="T162" s="30">
        <f>29450</f>
        <v>29450</v>
      </c>
      <c r="U162" s="30" t="str">
        <f t="shared" si="2"/>
        <v>－</v>
      </c>
      <c r="V162" s="30">
        <f>68317955</f>
        <v>68317955</v>
      </c>
      <c r="W162" s="30" t="str">
        <f t="shared" si="3"/>
        <v>－</v>
      </c>
      <c r="X162" s="34">
        <f>20</f>
        <v>20</v>
      </c>
    </row>
    <row r="163" spans="1:24" x14ac:dyDescent="0.15">
      <c r="A163" s="25" t="s">
        <v>1210</v>
      </c>
      <c r="B163" s="25" t="s">
        <v>549</v>
      </c>
      <c r="C163" s="25" t="s">
        <v>550</v>
      </c>
      <c r="D163" s="25" t="s">
        <v>551</v>
      </c>
      <c r="E163" s="26" t="s">
        <v>1211</v>
      </c>
      <c r="F163" s="27" t="s">
        <v>1212</v>
      </c>
      <c r="G163" s="28" t="s">
        <v>45</v>
      </c>
      <c r="H163" s="29"/>
      <c r="I163" s="29" t="s">
        <v>46</v>
      </c>
      <c r="J163" s="30">
        <v>100</v>
      </c>
      <c r="K163" s="31">
        <f>78.3</f>
        <v>78.3</v>
      </c>
      <c r="L163" s="32" t="s">
        <v>995</v>
      </c>
      <c r="M163" s="31">
        <f>82.7</f>
        <v>82.7</v>
      </c>
      <c r="N163" s="32" t="s">
        <v>1004</v>
      </c>
      <c r="O163" s="31">
        <f>74.5</f>
        <v>74.5</v>
      </c>
      <c r="P163" s="32" t="s">
        <v>997</v>
      </c>
      <c r="Q163" s="31">
        <f>75.7</f>
        <v>75.7</v>
      </c>
      <c r="R163" s="32" t="s">
        <v>1017</v>
      </c>
      <c r="S163" s="33">
        <f>78.71</f>
        <v>78.709999999999994</v>
      </c>
      <c r="T163" s="30">
        <f>13161700</f>
        <v>13161700</v>
      </c>
      <c r="U163" s="30" t="str">
        <f t="shared" si="2"/>
        <v>－</v>
      </c>
      <c r="V163" s="30">
        <f>1032113320</f>
        <v>1032113320</v>
      </c>
      <c r="W163" s="30" t="str">
        <f t="shared" si="3"/>
        <v>－</v>
      </c>
      <c r="X163" s="34">
        <f>19</f>
        <v>19</v>
      </c>
    </row>
    <row r="164" spans="1:24" x14ac:dyDescent="0.15">
      <c r="A164" s="25" t="s">
        <v>1210</v>
      </c>
      <c r="B164" s="25" t="s">
        <v>549</v>
      </c>
      <c r="C164" s="25" t="s">
        <v>550</v>
      </c>
      <c r="D164" s="25" t="s">
        <v>551</v>
      </c>
      <c r="E164" s="26" t="s">
        <v>1211</v>
      </c>
      <c r="F164" s="27" t="s">
        <v>1212</v>
      </c>
      <c r="G164" s="28" t="s">
        <v>45</v>
      </c>
      <c r="H164" s="29"/>
      <c r="I164" s="29" t="s">
        <v>46</v>
      </c>
      <c r="J164" s="30">
        <v>100</v>
      </c>
      <c r="K164" s="31" t="str">
        <f>"－"</f>
        <v>－</v>
      </c>
      <c r="L164" s="32"/>
      <c r="M164" s="31" t="str">
        <f>"－"</f>
        <v>－</v>
      </c>
      <c r="N164" s="32"/>
      <c r="O164" s="31" t="str">
        <f>"－"</f>
        <v>－</v>
      </c>
      <c r="P164" s="32"/>
      <c r="Q164" s="31" t="str">
        <f>"－"</f>
        <v>－</v>
      </c>
      <c r="R164" s="32"/>
      <c r="S164" s="33" t="str">
        <f>"－"</f>
        <v>－</v>
      </c>
      <c r="T164" s="30" t="str">
        <f>"－"</f>
        <v>－</v>
      </c>
      <c r="U164" s="30" t="str">
        <f t="shared" si="2"/>
        <v>－</v>
      </c>
      <c r="V164" s="30" t="str">
        <f>"－"</f>
        <v>－</v>
      </c>
      <c r="W164" s="30" t="str">
        <f t="shared" si="3"/>
        <v>－</v>
      </c>
      <c r="X164" s="34" t="str">
        <f>"－"</f>
        <v>－</v>
      </c>
    </row>
    <row r="165" spans="1:24" x14ac:dyDescent="0.15">
      <c r="A165" s="25" t="s">
        <v>1210</v>
      </c>
      <c r="B165" s="25" t="s">
        <v>552</v>
      </c>
      <c r="C165" s="25" t="s">
        <v>553</v>
      </c>
      <c r="D165" s="25" t="s">
        <v>554</v>
      </c>
      <c r="E165" s="26" t="s">
        <v>1211</v>
      </c>
      <c r="F165" s="27" t="s">
        <v>1212</v>
      </c>
      <c r="G165" s="28" t="s">
        <v>45</v>
      </c>
      <c r="H165" s="29"/>
      <c r="I165" s="29" t="s">
        <v>46</v>
      </c>
      <c r="J165" s="30">
        <v>100</v>
      </c>
      <c r="K165" s="31">
        <f>171.6</f>
        <v>171.6</v>
      </c>
      <c r="L165" s="32" t="s">
        <v>995</v>
      </c>
      <c r="M165" s="31">
        <f>172.1</f>
        <v>172.1</v>
      </c>
      <c r="N165" s="32" t="s">
        <v>1005</v>
      </c>
      <c r="O165" s="31">
        <f>160.3</f>
        <v>160.30000000000001</v>
      </c>
      <c r="P165" s="32" t="s">
        <v>1017</v>
      </c>
      <c r="Q165" s="31">
        <f>160.8</f>
        <v>160.80000000000001</v>
      </c>
      <c r="R165" s="32" t="s">
        <v>1017</v>
      </c>
      <c r="S165" s="33">
        <f>168.07</f>
        <v>168.07</v>
      </c>
      <c r="T165" s="30">
        <f>923100</f>
        <v>923100</v>
      </c>
      <c r="U165" s="30" t="str">
        <f t="shared" si="2"/>
        <v>－</v>
      </c>
      <c r="V165" s="30">
        <f>154214170</f>
        <v>154214170</v>
      </c>
      <c r="W165" s="30" t="str">
        <f t="shared" si="3"/>
        <v>－</v>
      </c>
      <c r="X165" s="34">
        <f>19</f>
        <v>19</v>
      </c>
    </row>
    <row r="166" spans="1:24" x14ac:dyDescent="0.15">
      <c r="A166" s="25" t="s">
        <v>1210</v>
      </c>
      <c r="B166" s="25" t="s">
        <v>552</v>
      </c>
      <c r="C166" s="25" t="s">
        <v>553</v>
      </c>
      <c r="D166" s="25" t="s">
        <v>554</v>
      </c>
      <c r="E166" s="26" t="s">
        <v>1211</v>
      </c>
      <c r="F166" s="27" t="s">
        <v>1212</v>
      </c>
      <c r="G166" s="28" t="s">
        <v>45</v>
      </c>
      <c r="H166" s="29"/>
      <c r="I166" s="29" t="s">
        <v>46</v>
      </c>
      <c r="J166" s="30">
        <v>100</v>
      </c>
      <c r="K166" s="31" t="str">
        <f>"－"</f>
        <v>－</v>
      </c>
      <c r="L166" s="32"/>
      <c r="M166" s="31" t="str">
        <f>"－"</f>
        <v>－</v>
      </c>
      <c r="N166" s="32"/>
      <c r="O166" s="31" t="str">
        <f>"－"</f>
        <v>－</v>
      </c>
      <c r="P166" s="32"/>
      <c r="Q166" s="31" t="str">
        <f>"－"</f>
        <v>－</v>
      </c>
      <c r="R166" s="32"/>
      <c r="S166" s="33" t="str">
        <f>"－"</f>
        <v>－</v>
      </c>
      <c r="T166" s="30" t="str">
        <f>"－"</f>
        <v>－</v>
      </c>
      <c r="U166" s="30" t="str">
        <f t="shared" si="2"/>
        <v>－</v>
      </c>
      <c r="V166" s="30" t="str">
        <f>"－"</f>
        <v>－</v>
      </c>
      <c r="W166" s="30" t="str">
        <f t="shared" si="3"/>
        <v>－</v>
      </c>
      <c r="X166" s="34" t="str">
        <f>"－"</f>
        <v>－</v>
      </c>
    </row>
    <row r="167" spans="1:24" x14ac:dyDescent="0.15">
      <c r="A167" s="25" t="s">
        <v>1210</v>
      </c>
      <c r="B167" s="25" t="s">
        <v>555</v>
      </c>
      <c r="C167" s="25" t="s">
        <v>556</v>
      </c>
      <c r="D167" s="25" t="s">
        <v>557</v>
      </c>
      <c r="E167" s="26" t="s">
        <v>45</v>
      </c>
      <c r="F167" s="27" t="s">
        <v>45</v>
      </c>
      <c r="G167" s="28" t="s">
        <v>45</v>
      </c>
      <c r="H167" s="29"/>
      <c r="I167" s="29" t="s">
        <v>46</v>
      </c>
      <c r="J167" s="30">
        <v>10</v>
      </c>
      <c r="K167" s="31">
        <f>4755</f>
        <v>4755</v>
      </c>
      <c r="L167" s="32" t="s">
        <v>995</v>
      </c>
      <c r="M167" s="31">
        <f>5071</f>
        <v>5071</v>
      </c>
      <c r="N167" s="32" t="s">
        <v>876</v>
      </c>
      <c r="O167" s="31">
        <f>4604</f>
        <v>4604</v>
      </c>
      <c r="P167" s="32" t="s">
        <v>997</v>
      </c>
      <c r="Q167" s="31">
        <f>4785</f>
        <v>4785</v>
      </c>
      <c r="R167" s="32" t="s">
        <v>893</v>
      </c>
      <c r="S167" s="33">
        <f>4897.9</f>
        <v>4897.8999999999996</v>
      </c>
      <c r="T167" s="30">
        <f>10150</f>
        <v>10150</v>
      </c>
      <c r="U167" s="30" t="str">
        <f t="shared" si="2"/>
        <v>－</v>
      </c>
      <c r="V167" s="30">
        <f>49935740</f>
        <v>49935740</v>
      </c>
      <c r="W167" s="30" t="str">
        <f t="shared" si="3"/>
        <v>－</v>
      </c>
      <c r="X167" s="34">
        <f>20</f>
        <v>20</v>
      </c>
    </row>
    <row r="168" spans="1:24" x14ac:dyDescent="0.15">
      <c r="A168" s="25" t="s">
        <v>1210</v>
      </c>
      <c r="B168" s="25" t="s">
        <v>558</v>
      </c>
      <c r="C168" s="25" t="s">
        <v>559</v>
      </c>
      <c r="D168" s="25" t="s">
        <v>1126</v>
      </c>
      <c r="E168" s="26" t="s">
        <v>45</v>
      </c>
      <c r="F168" s="27" t="s">
        <v>45</v>
      </c>
      <c r="G168" s="28" t="s">
        <v>45</v>
      </c>
      <c r="H168" s="29"/>
      <c r="I168" s="29" t="s">
        <v>46</v>
      </c>
      <c r="J168" s="30">
        <v>10</v>
      </c>
      <c r="K168" s="31">
        <f>2594.5</f>
        <v>2594.5</v>
      </c>
      <c r="L168" s="32" t="s">
        <v>995</v>
      </c>
      <c r="M168" s="31">
        <f>2656</f>
        <v>2656</v>
      </c>
      <c r="N168" s="32" t="s">
        <v>255</v>
      </c>
      <c r="O168" s="31">
        <f>2539</f>
        <v>2539</v>
      </c>
      <c r="P168" s="32" t="s">
        <v>1000</v>
      </c>
      <c r="Q168" s="31">
        <f>2641</f>
        <v>2641</v>
      </c>
      <c r="R168" s="32" t="s">
        <v>893</v>
      </c>
      <c r="S168" s="33">
        <f>2615.63</f>
        <v>2615.63</v>
      </c>
      <c r="T168" s="30">
        <f>198210</f>
        <v>198210</v>
      </c>
      <c r="U168" s="30">
        <f>17650</f>
        <v>17650</v>
      </c>
      <c r="V168" s="30">
        <f>519326091</f>
        <v>519326091</v>
      </c>
      <c r="W168" s="30">
        <f>45876471</f>
        <v>45876471</v>
      </c>
      <c r="X168" s="34">
        <f>20</f>
        <v>20</v>
      </c>
    </row>
    <row r="169" spans="1:24" x14ac:dyDescent="0.15">
      <c r="A169" s="25" t="s">
        <v>1210</v>
      </c>
      <c r="B169" s="25" t="s">
        <v>561</v>
      </c>
      <c r="C169" s="25" t="s">
        <v>1127</v>
      </c>
      <c r="D169" s="25" t="s">
        <v>1128</v>
      </c>
      <c r="E169" s="26" t="s">
        <v>45</v>
      </c>
      <c r="F169" s="27" t="s">
        <v>45</v>
      </c>
      <c r="G169" s="28" t="s">
        <v>45</v>
      </c>
      <c r="H169" s="29"/>
      <c r="I169" s="29" t="s">
        <v>46</v>
      </c>
      <c r="J169" s="30">
        <v>10</v>
      </c>
      <c r="K169" s="31">
        <f>413.5</f>
        <v>413.5</v>
      </c>
      <c r="L169" s="32" t="s">
        <v>995</v>
      </c>
      <c r="M169" s="31">
        <f>414.4</f>
        <v>414.4</v>
      </c>
      <c r="N169" s="32" t="s">
        <v>995</v>
      </c>
      <c r="O169" s="31">
        <f>377.9</f>
        <v>377.9</v>
      </c>
      <c r="P169" s="32" t="s">
        <v>792</v>
      </c>
      <c r="Q169" s="31">
        <f>394.7</f>
        <v>394.7</v>
      </c>
      <c r="R169" s="32" t="s">
        <v>893</v>
      </c>
      <c r="S169" s="33">
        <f>396.26</f>
        <v>396.26</v>
      </c>
      <c r="T169" s="30">
        <f>13242060</f>
        <v>13242060</v>
      </c>
      <c r="U169" s="30">
        <f>1670</f>
        <v>1670</v>
      </c>
      <c r="V169" s="30">
        <f>5210777087</f>
        <v>5210777087</v>
      </c>
      <c r="W169" s="30">
        <f>656976</f>
        <v>656976</v>
      </c>
      <c r="X169" s="34">
        <f>20</f>
        <v>20</v>
      </c>
    </row>
    <row r="170" spans="1:24" x14ac:dyDescent="0.15">
      <c r="A170" s="25" t="s">
        <v>1210</v>
      </c>
      <c r="B170" s="25" t="s">
        <v>1213</v>
      </c>
      <c r="C170" s="25" t="s">
        <v>1214</v>
      </c>
      <c r="D170" s="25" t="s">
        <v>1215</v>
      </c>
      <c r="E170" s="26" t="s">
        <v>782</v>
      </c>
      <c r="F170" s="27" t="s">
        <v>783</v>
      </c>
      <c r="G170" s="28" t="s">
        <v>1216</v>
      </c>
      <c r="H170" s="29"/>
      <c r="I170" s="29" t="s">
        <v>46</v>
      </c>
      <c r="J170" s="30">
        <v>10</v>
      </c>
      <c r="K170" s="31">
        <f>505.8</f>
        <v>505.8</v>
      </c>
      <c r="L170" s="32" t="s">
        <v>1017</v>
      </c>
      <c r="M170" s="31">
        <f>505.8</f>
        <v>505.8</v>
      </c>
      <c r="N170" s="32" t="s">
        <v>1017</v>
      </c>
      <c r="O170" s="31">
        <f>496</f>
        <v>496</v>
      </c>
      <c r="P170" s="32" t="s">
        <v>893</v>
      </c>
      <c r="Q170" s="31">
        <f>500.6</f>
        <v>500.6</v>
      </c>
      <c r="R170" s="32" t="s">
        <v>893</v>
      </c>
      <c r="S170" s="33">
        <f>499.5</f>
        <v>499.5</v>
      </c>
      <c r="T170" s="30">
        <f>167110</f>
        <v>167110</v>
      </c>
      <c r="U170" s="30" t="str">
        <f>"－"</f>
        <v>－</v>
      </c>
      <c r="V170" s="30">
        <f>83298302</f>
        <v>83298302</v>
      </c>
      <c r="W170" s="30" t="str">
        <f>"－"</f>
        <v>－</v>
      </c>
      <c r="X170" s="34">
        <f>2</f>
        <v>2</v>
      </c>
    </row>
    <row r="171" spans="1:24" x14ac:dyDescent="0.15">
      <c r="A171" s="25" t="s">
        <v>1210</v>
      </c>
      <c r="B171" s="25" t="s">
        <v>564</v>
      </c>
      <c r="C171" s="25" t="s">
        <v>565</v>
      </c>
      <c r="D171" s="25" t="s">
        <v>566</v>
      </c>
      <c r="E171" s="26" t="s">
        <v>45</v>
      </c>
      <c r="F171" s="27" t="s">
        <v>45</v>
      </c>
      <c r="G171" s="28" t="s">
        <v>45</v>
      </c>
      <c r="H171" s="29"/>
      <c r="I171" s="29" t="s">
        <v>567</v>
      </c>
      <c r="J171" s="30">
        <v>1</v>
      </c>
      <c r="K171" s="31">
        <f>4580</f>
        <v>4580</v>
      </c>
      <c r="L171" s="32" t="s">
        <v>995</v>
      </c>
      <c r="M171" s="31">
        <f>5150</f>
        <v>5150</v>
      </c>
      <c r="N171" s="32" t="s">
        <v>876</v>
      </c>
      <c r="O171" s="31">
        <f>4305</f>
        <v>4305</v>
      </c>
      <c r="P171" s="32" t="s">
        <v>893</v>
      </c>
      <c r="Q171" s="31">
        <f>4355</f>
        <v>4355</v>
      </c>
      <c r="R171" s="32" t="s">
        <v>893</v>
      </c>
      <c r="S171" s="33">
        <f>4742</f>
        <v>4742</v>
      </c>
      <c r="T171" s="30">
        <f>55074</f>
        <v>55074</v>
      </c>
      <c r="U171" s="30">
        <f>4</f>
        <v>4</v>
      </c>
      <c r="V171" s="30">
        <f>259865100</f>
        <v>259865100</v>
      </c>
      <c r="W171" s="30">
        <f>19070</f>
        <v>19070</v>
      </c>
      <c r="X171" s="34">
        <f>20</f>
        <v>20</v>
      </c>
    </row>
    <row r="172" spans="1:24" x14ac:dyDescent="0.15">
      <c r="A172" s="25" t="s">
        <v>1210</v>
      </c>
      <c r="B172" s="25" t="s">
        <v>568</v>
      </c>
      <c r="C172" s="25" t="s">
        <v>569</v>
      </c>
      <c r="D172" s="25" t="s">
        <v>570</v>
      </c>
      <c r="E172" s="26" t="s">
        <v>45</v>
      </c>
      <c r="F172" s="27" t="s">
        <v>45</v>
      </c>
      <c r="G172" s="28" t="s">
        <v>45</v>
      </c>
      <c r="H172" s="29"/>
      <c r="I172" s="29" t="s">
        <v>567</v>
      </c>
      <c r="J172" s="30">
        <v>1</v>
      </c>
      <c r="K172" s="31">
        <f>9628</f>
        <v>9628</v>
      </c>
      <c r="L172" s="32" t="s">
        <v>995</v>
      </c>
      <c r="M172" s="31">
        <f>9705</f>
        <v>9705</v>
      </c>
      <c r="N172" s="32" t="s">
        <v>995</v>
      </c>
      <c r="O172" s="31">
        <f>8920</f>
        <v>8920</v>
      </c>
      <c r="P172" s="32" t="s">
        <v>998</v>
      </c>
      <c r="Q172" s="31">
        <f>9439</f>
        <v>9439</v>
      </c>
      <c r="R172" s="32" t="s">
        <v>893</v>
      </c>
      <c r="S172" s="33">
        <f>9361.4</f>
        <v>9361.4</v>
      </c>
      <c r="T172" s="30">
        <f>9340</f>
        <v>9340</v>
      </c>
      <c r="U172" s="30" t="str">
        <f>"－"</f>
        <v>－</v>
      </c>
      <c r="V172" s="30">
        <f>87005458</f>
        <v>87005458</v>
      </c>
      <c r="W172" s="30" t="str">
        <f>"－"</f>
        <v>－</v>
      </c>
      <c r="X172" s="34">
        <f>20</f>
        <v>20</v>
      </c>
    </row>
    <row r="173" spans="1:24" x14ac:dyDescent="0.15">
      <c r="A173" s="25" t="s">
        <v>1210</v>
      </c>
      <c r="B173" s="25" t="s">
        <v>571</v>
      </c>
      <c r="C173" s="25" t="s">
        <v>572</v>
      </c>
      <c r="D173" s="25" t="s">
        <v>573</v>
      </c>
      <c r="E173" s="26" t="s">
        <v>45</v>
      </c>
      <c r="F173" s="27" t="s">
        <v>45</v>
      </c>
      <c r="G173" s="28" t="s">
        <v>45</v>
      </c>
      <c r="H173" s="29"/>
      <c r="I173" s="29" t="s">
        <v>567</v>
      </c>
      <c r="J173" s="30">
        <v>1</v>
      </c>
      <c r="K173" s="31">
        <f>10370</f>
        <v>10370</v>
      </c>
      <c r="L173" s="32" t="s">
        <v>995</v>
      </c>
      <c r="M173" s="31">
        <f>12670</f>
        <v>12670</v>
      </c>
      <c r="N173" s="32" t="s">
        <v>998</v>
      </c>
      <c r="O173" s="31">
        <f>10300</f>
        <v>10300</v>
      </c>
      <c r="P173" s="32" t="s">
        <v>995</v>
      </c>
      <c r="Q173" s="31">
        <f>12190</f>
        <v>12190</v>
      </c>
      <c r="R173" s="32" t="s">
        <v>893</v>
      </c>
      <c r="S173" s="33">
        <f>11907.89</f>
        <v>11907.89</v>
      </c>
      <c r="T173" s="30">
        <f>1282</f>
        <v>1282</v>
      </c>
      <c r="U173" s="30" t="str">
        <f>"－"</f>
        <v>－</v>
      </c>
      <c r="V173" s="30">
        <f>14773425</f>
        <v>14773425</v>
      </c>
      <c r="W173" s="30" t="str">
        <f>"－"</f>
        <v>－</v>
      </c>
      <c r="X173" s="34">
        <f>19</f>
        <v>19</v>
      </c>
    </row>
    <row r="174" spans="1:24" x14ac:dyDescent="0.15">
      <c r="A174" s="25" t="s">
        <v>1210</v>
      </c>
      <c r="B174" s="25" t="s">
        <v>574</v>
      </c>
      <c r="C174" s="25" t="s">
        <v>575</v>
      </c>
      <c r="D174" s="25" t="s">
        <v>576</v>
      </c>
      <c r="E174" s="26" t="s">
        <v>45</v>
      </c>
      <c r="F174" s="27" t="s">
        <v>45</v>
      </c>
      <c r="G174" s="28" t="s">
        <v>45</v>
      </c>
      <c r="H174" s="29"/>
      <c r="I174" s="29" t="s">
        <v>567</v>
      </c>
      <c r="J174" s="30">
        <v>1</v>
      </c>
      <c r="K174" s="31">
        <f>9134</f>
        <v>9134</v>
      </c>
      <c r="L174" s="32" t="s">
        <v>995</v>
      </c>
      <c r="M174" s="31">
        <f>9134</f>
        <v>9134</v>
      </c>
      <c r="N174" s="32" t="s">
        <v>995</v>
      </c>
      <c r="O174" s="31">
        <f>8316</f>
        <v>8316</v>
      </c>
      <c r="P174" s="32" t="s">
        <v>998</v>
      </c>
      <c r="Q174" s="31">
        <f>8452</f>
        <v>8452</v>
      </c>
      <c r="R174" s="32" t="s">
        <v>893</v>
      </c>
      <c r="S174" s="33">
        <f>8632.7</f>
        <v>8632.7000000000007</v>
      </c>
      <c r="T174" s="30">
        <f>8167</f>
        <v>8167</v>
      </c>
      <c r="U174" s="30" t="str">
        <f>"－"</f>
        <v>－</v>
      </c>
      <c r="V174" s="30">
        <f>70573969</f>
        <v>70573969</v>
      </c>
      <c r="W174" s="30" t="str">
        <f>"－"</f>
        <v>－</v>
      </c>
      <c r="X174" s="34">
        <f>20</f>
        <v>20</v>
      </c>
    </row>
    <row r="175" spans="1:24" x14ac:dyDescent="0.15">
      <c r="A175" s="25" t="s">
        <v>1210</v>
      </c>
      <c r="B175" s="25" t="s">
        <v>577</v>
      </c>
      <c r="C175" s="25" t="s">
        <v>578</v>
      </c>
      <c r="D175" s="25" t="s">
        <v>579</v>
      </c>
      <c r="E175" s="26" t="s">
        <v>45</v>
      </c>
      <c r="F175" s="27" t="s">
        <v>45</v>
      </c>
      <c r="G175" s="28" t="s">
        <v>45</v>
      </c>
      <c r="H175" s="29"/>
      <c r="I175" s="29" t="s">
        <v>567</v>
      </c>
      <c r="J175" s="30">
        <v>1</v>
      </c>
      <c r="K175" s="31">
        <f>38620</f>
        <v>38620</v>
      </c>
      <c r="L175" s="32" t="s">
        <v>995</v>
      </c>
      <c r="M175" s="31">
        <f>39210</f>
        <v>39210</v>
      </c>
      <c r="N175" s="32" t="s">
        <v>1017</v>
      </c>
      <c r="O175" s="31">
        <f>36860</f>
        <v>36860</v>
      </c>
      <c r="P175" s="32" t="s">
        <v>56</v>
      </c>
      <c r="Q175" s="31">
        <f>38530</f>
        <v>38530</v>
      </c>
      <c r="R175" s="32" t="s">
        <v>893</v>
      </c>
      <c r="S175" s="33">
        <f>37872.5</f>
        <v>37872.5</v>
      </c>
      <c r="T175" s="30">
        <f>34828</f>
        <v>34828</v>
      </c>
      <c r="U175" s="30">
        <f>17</f>
        <v>17</v>
      </c>
      <c r="V175" s="30">
        <f>1321643860</f>
        <v>1321643860</v>
      </c>
      <c r="W175" s="30">
        <f>636560</f>
        <v>636560</v>
      </c>
      <c r="X175" s="34">
        <f>20</f>
        <v>20</v>
      </c>
    </row>
    <row r="176" spans="1:24" x14ac:dyDescent="0.15">
      <c r="A176" s="25" t="s">
        <v>1210</v>
      </c>
      <c r="B176" s="25" t="s">
        <v>580</v>
      </c>
      <c r="C176" s="25" t="s">
        <v>581</v>
      </c>
      <c r="D176" s="25" t="s">
        <v>582</v>
      </c>
      <c r="E176" s="26" t="s">
        <v>45</v>
      </c>
      <c r="F176" s="27" t="s">
        <v>45</v>
      </c>
      <c r="G176" s="28" t="s">
        <v>45</v>
      </c>
      <c r="H176" s="29"/>
      <c r="I176" s="29" t="s">
        <v>567</v>
      </c>
      <c r="J176" s="30">
        <v>1</v>
      </c>
      <c r="K176" s="31">
        <f>3500</f>
        <v>3500</v>
      </c>
      <c r="L176" s="32" t="s">
        <v>995</v>
      </c>
      <c r="M176" s="31">
        <f>3580</f>
        <v>3580</v>
      </c>
      <c r="N176" s="32" t="s">
        <v>1004</v>
      </c>
      <c r="O176" s="31">
        <f>3480</f>
        <v>3480</v>
      </c>
      <c r="P176" s="32" t="s">
        <v>1000</v>
      </c>
      <c r="Q176" s="31">
        <f>3500</f>
        <v>3500</v>
      </c>
      <c r="R176" s="32" t="s">
        <v>893</v>
      </c>
      <c r="S176" s="33">
        <f>3531</f>
        <v>3531</v>
      </c>
      <c r="T176" s="30">
        <f>11105</f>
        <v>11105</v>
      </c>
      <c r="U176" s="30" t="str">
        <f>"－"</f>
        <v>－</v>
      </c>
      <c r="V176" s="30">
        <f>39158345</f>
        <v>39158345</v>
      </c>
      <c r="W176" s="30" t="str">
        <f>"－"</f>
        <v>－</v>
      </c>
      <c r="X176" s="34">
        <f>20</f>
        <v>20</v>
      </c>
    </row>
    <row r="177" spans="1:24" x14ac:dyDescent="0.15">
      <c r="A177" s="25" t="s">
        <v>1210</v>
      </c>
      <c r="B177" s="25" t="s">
        <v>583</v>
      </c>
      <c r="C177" s="25" t="s">
        <v>584</v>
      </c>
      <c r="D177" s="25" t="s">
        <v>585</v>
      </c>
      <c r="E177" s="26" t="s">
        <v>45</v>
      </c>
      <c r="F177" s="27" t="s">
        <v>45</v>
      </c>
      <c r="G177" s="28" t="s">
        <v>45</v>
      </c>
      <c r="H177" s="29"/>
      <c r="I177" s="29" t="s">
        <v>567</v>
      </c>
      <c r="J177" s="30">
        <v>1</v>
      </c>
      <c r="K177" s="31">
        <f>2089</f>
        <v>2089</v>
      </c>
      <c r="L177" s="32" t="s">
        <v>995</v>
      </c>
      <c r="M177" s="31">
        <f>2097</f>
        <v>2097</v>
      </c>
      <c r="N177" s="32" t="s">
        <v>995</v>
      </c>
      <c r="O177" s="31">
        <f>1777</f>
        <v>1777</v>
      </c>
      <c r="P177" s="32" t="s">
        <v>792</v>
      </c>
      <c r="Q177" s="31">
        <f>1932</f>
        <v>1932</v>
      </c>
      <c r="R177" s="32" t="s">
        <v>893</v>
      </c>
      <c r="S177" s="33">
        <f>1932.6</f>
        <v>1932.6</v>
      </c>
      <c r="T177" s="30">
        <f>14248548</f>
        <v>14248548</v>
      </c>
      <c r="U177" s="30">
        <f>2980</f>
        <v>2980</v>
      </c>
      <c r="V177" s="30">
        <f>27358777361</f>
        <v>27358777361</v>
      </c>
      <c r="W177" s="30">
        <f>5608285</f>
        <v>5608285</v>
      </c>
      <c r="X177" s="34">
        <f>20</f>
        <v>20</v>
      </c>
    </row>
    <row r="178" spans="1:24" x14ac:dyDescent="0.15">
      <c r="A178" s="25" t="s">
        <v>1210</v>
      </c>
      <c r="B178" s="25" t="s">
        <v>586</v>
      </c>
      <c r="C178" s="25" t="s">
        <v>587</v>
      </c>
      <c r="D178" s="25" t="s">
        <v>588</v>
      </c>
      <c r="E178" s="26" t="s">
        <v>45</v>
      </c>
      <c r="F178" s="27" t="s">
        <v>45</v>
      </c>
      <c r="G178" s="28" t="s">
        <v>45</v>
      </c>
      <c r="H178" s="29"/>
      <c r="I178" s="29" t="s">
        <v>567</v>
      </c>
      <c r="J178" s="30">
        <v>1</v>
      </c>
      <c r="K178" s="31">
        <f>1039</f>
        <v>1039</v>
      </c>
      <c r="L178" s="32" t="s">
        <v>995</v>
      </c>
      <c r="M178" s="31">
        <f>1112</f>
        <v>1112</v>
      </c>
      <c r="N178" s="32" t="s">
        <v>792</v>
      </c>
      <c r="O178" s="31">
        <f>1034</f>
        <v>1034</v>
      </c>
      <c r="P178" s="32" t="s">
        <v>995</v>
      </c>
      <c r="Q178" s="31">
        <f>1065</f>
        <v>1065</v>
      </c>
      <c r="R178" s="32" t="s">
        <v>893</v>
      </c>
      <c r="S178" s="33">
        <f>1069.65</f>
        <v>1069.6500000000001</v>
      </c>
      <c r="T178" s="30">
        <f>1285456</f>
        <v>1285456</v>
      </c>
      <c r="U178" s="30">
        <f>40</f>
        <v>40</v>
      </c>
      <c r="V178" s="30">
        <f>1382805450</f>
        <v>1382805450</v>
      </c>
      <c r="W178" s="30">
        <f>39720</f>
        <v>39720</v>
      </c>
      <c r="X178" s="34">
        <f>20</f>
        <v>20</v>
      </c>
    </row>
    <row r="179" spans="1:24" x14ac:dyDescent="0.15">
      <c r="A179" s="25" t="s">
        <v>1210</v>
      </c>
      <c r="B179" s="25" t="s">
        <v>589</v>
      </c>
      <c r="C179" s="25" t="s">
        <v>590</v>
      </c>
      <c r="D179" s="25" t="s">
        <v>591</v>
      </c>
      <c r="E179" s="26" t="s">
        <v>45</v>
      </c>
      <c r="F179" s="27" t="s">
        <v>45</v>
      </c>
      <c r="G179" s="28" t="s">
        <v>45</v>
      </c>
      <c r="H179" s="29"/>
      <c r="I179" s="29" t="s">
        <v>567</v>
      </c>
      <c r="J179" s="30">
        <v>1</v>
      </c>
      <c r="K179" s="31">
        <f>22195</f>
        <v>22195</v>
      </c>
      <c r="L179" s="32" t="s">
        <v>995</v>
      </c>
      <c r="M179" s="31">
        <f>25020</f>
        <v>25020</v>
      </c>
      <c r="N179" s="32" t="s">
        <v>893</v>
      </c>
      <c r="O179" s="31">
        <f>22100</f>
        <v>22100</v>
      </c>
      <c r="P179" s="32" t="s">
        <v>995</v>
      </c>
      <c r="Q179" s="31">
        <f>25000</f>
        <v>25000</v>
      </c>
      <c r="R179" s="32" t="s">
        <v>893</v>
      </c>
      <c r="S179" s="33">
        <f>23886.5</f>
        <v>23886.5</v>
      </c>
      <c r="T179" s="30">
        <f>59657</f>
        <v>59657</v>
      </c>
      <c r="U179" s="30">
        <f>76</f>
        <v>76</v>
      </c>
      <c r="V179" s="30">
        <f>1425421235</f>
        <v>1425421235</v>
      </c>
      <c r="W179" s="30">
        <f>1814370</f>
        <v>1814370</v>
      </c>
      <c r="X179" s="34">
        <f>20</f>
        <v>20</v>
      </c>
    </row>
    <row r="180" spans="1:24" x14ac:dyDescent="0.15">
      <c r="A180" s="25" t="s">
        <v>1210</v>
      </c>
      <c r="B180" s="25" t="s">
        <v>592</v>
      </c>
      <c r="C180" s="25" t="s">
        <v>593</v>
      </c>
      <c r="D180" s="25" t="s">
        <v>594</v>
      </c>
      <c r="E180" s="26" t="s">
        <v>45</v>
      </c>
      <c r="F180" s="27" t="s">
        <v>45</v>
      </c>
      <c r="G180" s="28" t="s">
        <v>45</v>
      </c>
      <c r="H180" s="29"/>
      <c r="I180" s="29" t="s">
        <v>567</v>
      </c>
      <c r="J180" s="30">
        <v>1</v>
      </c>
      <c r="K180" s="31">
        <f>2980</f>
        <v>2980</v>
      </c>
      <c r="L180" s="32" t="s">
        <v>995</v>
      </c>
      <c r="M180" s="31">
        <f>2984</f>
        <v>2984</v>
      </c>
      <c r="N180" s="32" t="s">
        <v>995</v>
      </c>
      <c r="O180" s="31">
        <f>2783</f>
        <v>2783</v>
      </c>
      <c r="P180" s="32" t="s">
        <v>893</v>
      </c>
      <c r="Q180" s="31">
        <f>2786</f>
        <v>2786</v>
      </c>
      <c r="R180" s="32" t="s">
        <v>893</v>
      </c>
      <c r="S180" s="33">
        <f>2854.65</f>
        <v>2854.65</v>
      </c>
      <c r="T180" s="30">
        <f>187327</f>
        <v>187327</v>
      </c>
      <c r="U180" s="30">
        <f>48</f>
        <v>48</v>
      </c>
      <c r="V180" s="30">
        <f>535526871</f>
        <v>535526871</v>
      </c>
      <c r="W180" s="30">
        <f>137626</f>
        <v>137626</v>
      </c>
      <c r="X180" s="34">
        <f>20</f>
        <v>20</v>
      </c>
    </row>
    <row r="181" spans="1:24" x14ac:dyDescent="0.15">
      <c r="A181" s="25" t="s">
        <v>1210</v>
      </c>
      <c r="B181" s="25" t="s">
        <v>595</v>
      </c>
      <c r="C181" s="25" t="s">
        <v>1217</v>
      </c>
      <c r="D181" s="25" t="s">
        <v>1218</v>
      </c>
      <c r="E181" s="26" t="s">
        <v>45</v>
      </c>
      <c r="F181" s="27" t="s">
        <v>45</v>
      </c>
      <c r="G181" s="28" t="s">
        <v>45</v>
      </c>
      <c r="H181" s="29"/>
      <c r="I181" s="29" t="s">
        <v>567</v>
      </c>
      <c r="J181" s="30">
        <v>1</v>
      </c>
      <c r="K181" s="31">
        <f>6998</f>
        <v>6998</v>
      </c>
      <c r="L181" s="32" t="s">
        <v>995</v>
      </c>
      <c r="M181" s="31">
        <f>7746</f>
        <v>7746</v>
      </c>
      <c r="N181" s="32" t="s">
        <v>255</v>
      </c>
      <c r="O181" s="31">
        <f>6812</f>
        <v>6812</v>
      </c>
      <c r="P181" s="32" t="s">
        <v>995</v>
      </c>
      <c r="Q181" s="31">
        <f>7592</f>
        <v>7592</v>
      </c>
      <c r="R181" s="32" t="s">
        <v>893</v>
      </c>
      <c r="S181" s="33">
        <f>7375.15</f>
        <v>7375.15</v>
      </c>
      <c r="T181" s="30">
        <f>81015</f>
        <v>81015</v>
      </c>
      <c r="U181" s="30">
        <f>4112</f>
        <v>4112</v>
      </c>
      <c r="V181" s="30">
        <f>598648788</f>
        <v>598648788</v>
      </c>
      <c r="W181" s="30">
        <f>29141580</f>
        <v>29141580</v>
      </c>
      <c r="X181" s="34">
        <f>20</f>
        <v>20</v>
      </c>
    </row>
    <row r="182" spans="1:24" x14ac:dyDescent="0.15">
      <c r="A182" s="25" t="s">
        <v>1210</v>
      </c>
      <c r="B182" s="25" t="s">
        <v>598</v>
      </c>
      <c r="C182" s="25" t="s">
        <v>599</v>
      </c>
      <c r="D182" s="25" t="s">
        <v>600</v>
      </c>
      <c r="E182" s="26" t="s">
        <v>45</v>
      </c>
      <c r="F182" s="27" t="s">
        <v>45</v>
      </c>
      <c r="G182" s="28" t="s">
        <v>45</v>
      </c>
      <c r="H182" s="29"/>
      <c r="I182" s="29" t="s">
        <v>567</v>
      </c>
      <c r="J182" s="30">
        <v>1</v>
      </c>
      <c r="K182" s="31">
        <f>17420</f>
        <v>17420</v>
      </c>
      <c r="L182" s="32" t="s">
        <v>995</v>
      </c>
      <c r="M182" s="31">
        <f>17800</f>
        <v>17800</v>
      </c>
      <c r="N182" s="32" t="s">
        <v>792</v>
      </c>
      <c r="O182" s="31">
        <f>16990</f>
        <v>16990</v>
      </c>
      <c r="P182" s="32" t="s">
        <v>999</v>
      </c>
      <c r="Q182" s="31">
        <f>17530</f>
        <v>17530</v>
      </c>
      <c r="R182" s="32" t="s">
        <v>893</v>
      </c>
      <c r="S182" s="33">
        <f>17555.33</f>
        <v>17555.330000000002</v>
      </c>
      <c r="T182" s="30">
        <f>217</f>
        <v>217</v>
      </c>
      <c r="U182" s="30" t="str">
        <f t="shared" ref="U182:U190" si="4">"－"</f>
        <v>－</v>
      </c>
      <c r="V182" s="30">
        <f>3788680</f>
        <v>3788680</v>
      </c>
      <c r="W182" s="30" t="str">
        <f t="shared" ref="W182:W190" si="5">"－"</f>
        <v>－</v>
      </c>
      <c r="X182" s="34">
        <f>15</f>
        <v>15</v>
      </c>
    </row>
    <row r="183" spans="1:24" x14ac:dyDescent="0.15">
      <c r="A183" s="25" t="s">
        <v>1210</v>
      </c>
      <c r="B183" s="25" t="s">
        <v>601</v>
      </c>
      <c r="C183" s="25" t="s">
        <v>602</v>
      </c>
      <c r="D183" s="25" t="s">
        <v>603</v>
      </c>
      <c r="E183" s="26" t="s">
        <v>45</v>
      </c>
      <c r="F183" s="27" t="s">
        <v>45</v>
      </c>
      <c r="G183" s="28" t="s">
        <v>45</v>
      </c>
      <c r="H183" s="29"/>
      <c r="I183" s="29" t="s">
        <v>567</v>
      </c>
      <c r="J183" s="30">
        <v>1</v>
      </c>
      <c r="K183" s="31">
        <f>24315</f>
        <v>24315</v>
      </c>
      <c r="L183" s="32" t="s">
        <v>995</v>
      </c>
      <c r="M183" s="31">
        <f>25550</f>
        <v>25550</v>
      </c>
      <c r="N183" s="32" t="s">
        <v>876</v>
      </c>
      <c r="O183" s="31">
        <f>24315</f>
        <v>24315</v>
      </c>
      <c r="P183" s="32" t="s">
        <v>995</v>
      </c>
      <c r="Q183" s="31">
        <f>25000</f>
        <v>25000</v>
      </c>
      <c r="R183" s="32" t="s">
        <v>893</v>
      </c>
      <c r="S183" s="33">
        <f>25055</f>
        <v>25055</v>
      </c>
      <c r="T183" s="30">
        <f>15224</f>
        <v>15224</v>
      </c>
      <c r="U183" s="30" t="str">
        <f t="shared" si="4"/>
        <v>－</v>
      </c>
      <c r="V183" s="30">
        <f>381795205</f>
        <v>381795205</v>
      </c>
      <c r="W183" s="30" t="str">
        <f t="shared" si="5"/>
        <v>－</v>
      </c>
      <c r="X183" s="34">
        <f>20</f>
        <v>20</v>
      </c>
    </row>
    <row r="184" spans="1:24" x14ac:dyDescent="0.15">
      <c r="A184" s="25" t="s">
        <v>1210</v>
      </c>
      <c r="B184" s="25" t="s">
        <v>604</v>
      </c>
      <c r="C184" s="25" t="s">
        <v>605</v>
      </c>
      <c r="D184" s="25" t="s">
        <v>606</v>
      </c>
      <c r="E184" s="26" t="s">
        <v>45</v>
      </c>
      <c r="F184" s="27" t="s">
        <v>45</v>
      </c>
      <c r="G184" s="28" t="s">
        <v>45</v>
      </c>
      <c r="H184" s="29"/>
      <c r="I184" s="29" t="s">
        <v>567</v>
      </c>
      <c r="J184" s="30">
        <v>1</v>
      </c>
      <c r="K184" s="31">
        <f>14700</f>
        <v>14700</v>
      </c>
      <c r="L184" s="32" t="s">
        <v>995</v>
      </c>
      <c r="M184" s="31">
        <f>16100</f>
        <v>16100</v>
      </c>
      <c r="N184" s="32" t="s">
        <v>793</v>
      </c>
      <c r="O184" s="31">
        <f>14700</f>
        <v>14700</v>
      </c>
      <c r="P184" s="32" t="s">
        <v>995</v>
      </c>
      <c r="Q184" s="31">
        <f>15835</f>
        <v>15835</v>
      </c>
      <c r="R184" s="32" t="s">
        <v>893</v>
      </c>
      <c r="S184" s="33">
        <f>15597.86</f>
        <v>15597.86</v>
      </c>
      <c r="T184" s="30">
        <f>457</f>
        <v>457</v>
      </c>
      <c r="U184" s="30" t="str">
        <f t="shared" si="4"/>
        <v>－</v>
      </c>
      <c r="V184" s="30">
        <f>7110795</f>
        <v>7110795</v>
      </c>
      <c r="W184" s="30" t="str">
        <f t="shared" si="5"/>
        <v>－</v>
      </c>
      <c r="X184" s="34">
        <f>14</f>
        <v>14</v>
      </c>
    </row>
    <row r="185" spans="1:24" x14ac:dyDescent="0.15">
      <c r="A185" s="25" t="s">
        <v>1210</v>
      </c>
      <c r="B185" s="25" t="s">
        <v>607</v>
      </c>
      <c r="C185" s="25" t="s">
        <v>608</v>
      </c>
      <c r="D185" s="25" t="s">
        <v>609</v>
      </c>
      <c r="E185" s="26" t="s">
        <v>45</v>
      </c>
      <c r="F185" s="27" t="s">
        <v>45</v>
      </c>
      <c r="G185" s="28" t="s">
        <v>45</v>
      </c>
      <c r="H185" s="29"/>
      <c r="I185" s="29" t="s">
        <v>567</v>
      </c>
      <c r="J185" s="30">
        <v>1</v>
      </c>
      <c r="K185" s="31">
        <f>22300</f>
        <v>22300</v>
      </c>
      <c r="L185" s="32" t="s">
        <v>995</v>
      </c>
      <c r="M185" s="31">
        <f>23485</f>
        <v>23485</v>
      </c>
      <c r="N185" s="32" t="s">
        <v>792</v>
      </c>
      <c r="O185" s="31">
        <f>21610</f>
        <v>21610</v>
      </c>
      <c r="P185" s="32" t="s">
        <v>999</v>
      </c>
      <c r="Q185" s="31">
        <f>23290</f>
        <v>23290</v>
      </c>
      <c r="R185" s="32" t="s">
        <v>893</v>
      </c>
      <c r="S185" s="33">
        <f>22861</f>
        <v>22861</v>
      </c>
      <c r="T185" s="30">
        <f>33606</f>
        <v>33606</v>
      </c>
      <c r="U185" s="30" t="str">
        <f t="shared" si="4"/>
        <v>－</v>
      </c>
      <c r="V185" s="30">
        <f>765952485</f>
        <v>765952485</v>
      </c>
      <c r="W185" s="30" t="str">
        <f t="shared" si="5"/>
        <v>－</v>
      </c>
      <c r="X185" s="34">
        <f>20</f>
        <v>20</v>
      </c>
    </row>
    <row r="186" spans="1:24" x14ac:dyDescent="0.15">
      <c r="A186" s="25" t="s">
        <v>1210</v>
      </c>
      <c r="B186" s="25" t="s">
        <v>610</v>
      </c>
      <c r="C186" s="25" t="s">
        <v>611</v>
      </c>
      <c r="D186" s="25" t="s">
        <v>612</v>
      </c>
      <c r="E186" s="26" t="s">
        <v>45</v>
      </c>
      <c r="F186" s="27" t="s">
        <v>45</v>
      </c>
      <c r="G186" s="28" t="s">
        <v>45</v>
      </c>
      <c r="H186" s="29"/>
      <c r="I186" s="29" t="s">
        <v>567</v>
      </c>
      <c r="J186" s="30">
        <v>1</v>
      </c>
      <c r="K186" s="31">
        <f>4530</f>
        <v>4530</v>
      </c>
      <c r="L186" s="32" t="s">
        <v>995</v>
      </c>
      <c r="M186" s="31">
        <f>4545</f>
        <v>4545</v>
      </c>
      <c r="N186" s="32" t="s">
        <v>995</v>
      </c>
      <c r="O186" s="31">
        <f>4115</f>
        <v>4115</v>
      </c>
      <c r="P186" s="32" t="s">
        <v>893</v>
      </c>
      <c r="Q186" s="31">
        <f>4155</f>
        <v>4155</v>
      </c>
      <c r="R186" s="32" t="s">
        <v>893</v>
      </c>
      <c r="S186" s="33">
        <f>4341</f>
        <v>4341</v>
      </c>
      <c r="T186" s="30">
        <f>4022</f>
        <v>4022</v>
      </c>
      <c r="U186" s="30" t="str">
        <f t="shared" si="4"/>
        <v>－</v>
      </c>
      <c r="V186" s="30">
        <f>17314110</f>
        <v>17314110</v>
      </c>
      <c r="W186" s="30" t="str">
        <f t="shared" si="5"/>
        <v>－</v>
      </c>
      <c r="X186" s="34">
        <f>20</f>
        <v>20</v>
      </c>
    </row>
    <row r="187" spans="1:24" x14ac:dyDescent="0.15">
      <c r="A187" s="25" t="s">
        <v>1210</v>
      </c>
      <c r="B187" s="25" t="s">
        <v>613</v>
      </c>
      <c r="C187" s="25" t="s">
        <v>614</v>
      </c>
      <c r="D187" s="25" t="s">
        <v>615</v>
      </c>
      <c r="E187" s="26" t="s">
        <v>45</v>
      </c>
      <c r="F187" s="27" t="s">
        <v>45</v>
      </c>
      <c r="G187" s="28" t="s">
        <v>45</v>
      </c>
      <c r="H187" s="29"/>
      <c r="I187" s="29" t="s">
        <v>567</v>
      </c>
      <c r="J187" s="30">
        <v>1</v>
      </c>
      <c r="K187" s="31">
        <f>24000</f>
        <v>24000</v>
      </c>
      <c r="L187" s="32" t="s">
        <v>995</v>
      </c>
      <c r="M187" s="31">
        <f>24710</f>
        <v>24710</v>
      </c>
      <c r="N187" s="32" t="s">
        <v>255</v>
      </c>
      <c r="O187" s="31">
        <f>23525</f>
        <v>23525</v>
      </c>
      <c r="P187" s="32" t="s">
        <v>1004</v>
      </c>
      <c r="Q187" s="31">
        <f>23750</f>
        <v>23750</v>
      </c>
      <c r="R187" s="32" t="s">
        <v>893</v>
      </c>
      <c r="S187" s="33">
        <f>24169</f>
        <v>24169</v>
      </c>
      <c r="T187" s="30">
        <f>763</f>
        <v>763</v>
      </c>
      <c r="U187" s="30" t="str">
        <f t="shared" si="4"/>
        <v>－</v>
      </c>
      <c r="V187" s="30">
        <f>18480895</f>
        <v>18480895</v>
      </c>
      <c r="W187" s="30" t="str">
        <f t="shared" si="5"/>
        <v>－</v>
      </c>
      <c r="X187" s="34">
        <f>15</f>
        <v>15</v>
      </c>
    </row>
    <row r="188" spans="1:24" x14ac:dyDescent="0.15">
      <c r="A188" s="25" t="s">
        <v>1210</v>
      </c>
      <c r="B188" s="25" t="s">
        <v>616</v>
      </c>
      <c r="C188" s="25" t="s">
        <v>617</v>
      </c>
      <c r="D188" s="25" t="s">
        <v>618</v>
      </c>
      <c r="E188" s="26" t="s">
        <v>45</v>
      </c>
      <c r="F188" s="27" t="s">
        <v>45</v>
      </c>
      <c r="G188" s="28" t="s">
        <v>45</v>
      </c>
      <c r="H188" s="29"/>
      <c r="I188" s="29" t="s">
        <v>567</v>
      </c>
      <c r="J188" s="30">
        <v>1</v>
      </c>
      <c r="K188" s="31">
        <f>15815</f>
        <v>15815</v>
      </c>
      <c r="L188" s="32" t="s">
        <v>995</v>
      </c>
      <c r="M188" s="31">
        <f>16305</f>
        <v>16305</v>
      </c>
      <c r="N188" s="32" t="s">
        <v>1017</v>
      </c>
      <c r="O188" s="31">
        <f>15815</f>
        <v>15815</v>
      </c>
      <c r="P188" s="32" t="s">
        <v>995</v>
      </c>
      <c r="Q188" s="31">
        <f>16305</f>
        <v>16305</v>
      </c>
      <c r="R188" s="32" t="s">
        <v>1017</v>
      </c>
      <c r="S188" s="33">
        <f>16037.5</f>
        <v>16037.5</v>
      </c>
      <c r="T188" s="30">
        <f>33</f>
        <v>33</v>
      </c>
      <c r="U188" s="30" t="str">
        <f t="shared" si="4"/>
        <v>－</v>
      </c>
      <c r="V188" s="30">
        <f>530075</f>
        <v>530075</v>
      </c>
      <c r="W188" s="30" t="str">
        <f t="shared" si="5"/>
        <v>－</v>
      </c>
      <c r="X188" s="34">
        <f>6</f>
        <v>6</v>
      </c>
    </row>
    <row r="189" spans="1:24" x14ac:dyDescent="0.15">
      <c r="A189" s="25" t="s">
        <v>1210</v>
      </c>
      <c r="B189" s="25" t="s">
        <v>619</v>
      </c>
      <c r="C189" s="25" t="s">
        <v>620</v>
      </c>
      <c r="D189" s="25" t="s">
        <v>621</v>
      </c>
      <c r="E189" s="26" t="s">
        <v>45</v>
      </c>
      <c r="F189" s="27" t="s">
        <v>45</v>
      </c>
      <c r="G189" s="28" t="s">
        <v>45</v>
      </c>
      <c r="H189" s="29"/>
      <c r="I189" s="29" t="s">
        <v>567</v>
      </c>
      <c r="J189" s="30">
        <v>1</v>
      </c>
      <c r="K189" s="31">
        <f>28120</f>
        <v>28120</v>
      </c>
      <c r="L189" s="32" t="s">
        <v>995</v>
      </c>
      <c r="M189" s="31">
        <f>28405</f>
        <v>28405</v>
      </c>
      <c r="N189" s="32" t="s">
        <v>999</v>
      </c>
      <c r="O189" s="31">
        <f>27200</f>
        <v>27200</v>
      </c>
      <c r="P189" s="32" t="s">
        <v>1004</v>
      </c>
      <c r="Q189" s="31">
        <f>28135</f>
        <v>28135</v>
      </c>
      <c r="R189" s="32" t="s">
        <v>255</v>
      </c>
      <c r="S189" s="33">
        <f>27846.54</f>
        <v>27846.54</v>
      </c>
      <c r="T189" s="30">
        <f>138</f>
        <v>138</v>
      </c>
      <c r="U189" s="30" t="str">
        <f t="shared" si="4"/>
        <v>－</v>
      </c>
      <c r="V189" s="30">
        <f>3834575</f>
        <v>3834575</v>
      </c>
      <c r="W189" s="30" t="str">
        <f t="shared" si="5"/>
        <v>－</v>
      </c>
      <c r="X189" s="34">
        <f>13</f>
        <v>13</v>
      </c>
    </row>
    <row r="190" spans="1:24" x14ac:dyDescent="0.15">
      <c r="A190" s="25" t="s">
        <v>1210</v>
      </c>
      <c r="B190" s="25" t="s">
        <v>622</v>
      </c>
      <c r="C190" s="25" t="s">
        <v>623</v>
      </c>
      <c r="D190" s="25" t="s">
        <v>624</v>
      </c>
      <c r="E190" s="26" t="s">
        <v>45</v>
      </c>
      <c r="F190" s="27" t="s">
        <v>45</v>
      </c>
      <c r="G190" s="28" t="s">
        <v>45</v>
      </c>
      <c r="H190" s="29"/>
      <c r="I190" s="29" t="s">
        <v>567</v>
      </c>
      <c r="J190" s="30">
        <v>1</v>
      </c>
      <c r="K190" s="31">
        <f>18655</f>
        <v>18655</v>
      </c>
      <c r="L190" s="32" t="s">
        <v>1000</v>
      </c>
      <c r="M190" s="31">
        <f>18840</f>
        <v>18840</v>
      </c>
      <c r="N190" s="32" t="s">
        <v>80</v>
      </c>
      <c r="O190" s="31">
        <f>18655</f>
        <v>18655</v>
      </c>
      <c r="P190" s="32" t="s">
        <v>1000</v>
      </c>
      <c r="Q190" s="31">
        <f>18840</f>
        <v>18840</v>
      </c>
      <c r="R190" s="32" t="s">
        <v>80</v>
      </c>
      <c r="S190" s="33">
        <f>18747.5</f>
        <v>18747.5</v>
      </c>
      <c r="T190" s="30">
        <f>4</f>
        <v>4</v>
      </c>
      <c r="U190" s="30" t="str">
        <f t="shared" si="4"/>
        <v>－</v>
      </c>
      <c r="V190" s="30">
        <f>75175</f>
        <v>75175</v>
      </c>
      <c r="W190" s="30" t="str">
        <f t="shared" si="5"/>
        <v>－</v>
      </c>
      <c r="X190" s="34">
        <f>2</f>
        <v>2</v>
      </c>
    </row>
    <row r="191" spans="1:24" x14ac:dyDescent="0.15">
      <c r="A191" s="25" t="s">
        <v>1210</v>
      </c>
      <c r="B191" s="25" t="s">
        <v>625</v>
      </c>
      <c r="C191" s="25" t="s">
        <v>626</v>
      </c>
      <c r="D191" s="25" t="s">
        <v>627</v>
      </c>
      <c r="E191" s="26" t="s">
        <v>45</v>
      </c>
      <c r="F191" s="27" t="s">
        <v>45</v>
      </c>
      <c r="G191" s="28" t="s">
        <v>45</v>
      </c>
      <c r="H191" s="29"/>
      <c r="I191" s="29" t="s">
        <v>567</v>
      </c>
      <c r="J191" s="30">
        <v>1</v>
      </c>
      <c r="K191" s="31">
        <f>16085</f>
        <v>16085</v>
      </c>
      <c r="L191" s="32" t="s">
        <v>995</v>
      </c>
      <c r="M191" s="31">
        <f>16870</f>
        <v>16870</v>
      </c>
      <c r="N191" s="32" t="s">
        <v>80</v>
      </c>
      <c r="O191" s="31">
        <f>16085</f>
        <v>16085</v>
      </c>
      <c r="P191" s="32" t="s">
        <v>995</v>
      </c>
      <c r="Q191" s="31">
        <f>16540</f>
        <v>16540</v>
      </c>
      <c r="R191" s="32" t="s">
        <v>893</v>
      </c>
      <c r="S191" s="33">
        <f>16544.44</f>
        <v>16544.439999999999</v>
      </c>
      <c r="T191" s="30">
        <f>535</f>
        <v>535</v>
      </c>
      <c r="U191" s="30">
        <f>3</f>
        <v>3</v>
      </c>
      <c r="V191" s="30">
        <f>8866980</f>
        <v>8866980</v>
      </c>
      <c r="W191" s="30">
        <f>49855</f>
        <v>49855</v>
      </c>
      <c r="X191" s="34">
        <f>18</f>
        <v>18</v>
      </c>
    </row>
    <row r="192" spans="1:24" x14ac:dyDescent="0.15">
      <c r="A192" s="25" t="s">
        <v>1210</v>
      </c>
      <c r="B192" s="25" t="s">
        <v>628</v>
      </c>
      <c r="C192" s="25" t="s">
        <v>629</v>
      </c>
      <c r="D192" s="25" t="s">
        <v>630</v>
      </c>
      <c r="E192" s="26" t="s">
        <v>45</v>
      </c>
      <c r="F192" s="27" t="s">
        <v>45</v>
      </c>
      <c r="G192" s="28" t="s">
        <v>45</v>
      </c>
      <c r="H192" s="29"/>
      <c r="I192" s="29" t="s">
        <v>567</v>
      </c>
      <c r="J192" s="30">
        <v>1</v>
      </c>
      <c r="K192" s="31">
        <f>18845</f>
        <v>18845</v>
      </c>
      <c r="L192" s="32" t="s">
        <v>995</v>
      </c>
      <c r="M192" s="31">
        <f>18845</f>
        <v>18845</v>
      </c>
      <c r="N192" s="32" t="s">
        <v>995</v>
      </c>
      <c r="O192" s="31">
        <f>18845</f>
        <v>18845</v>
      </c>
      <c r="P192" s="32" t="s">
        <v>995</v>
      </c>
      <c r="Q192" s="31">
        <f>18845</f>
        <v>18845</v>
      </c>
      <c r="R192" s="32" t="s">
        <v>995</v>
      </c>
      <c r="S192" s="33">
        <f>18845</f>
        <v>18845</v>
      </c>
      <c r="T192" s="30">
        <f>1</f>
        <v>1</v>
      </c>
      <c r="U192" s="30" t="str">
        <f t="shared" ref="U192:U197" si="6">"－"</f>
        <v>－</v>
      </c>
      <c r="V192" s="30">
        <f>18845</f>
        <v>18845</v>
      </c>
      <c r="W192" s="30" t="str">
        <f t="shared" ref="W192:W197" si="7">"－"</f>
        <v>－</v>
      </c>
      <c r="X192" s="34">
        <f>1</f>
        <v>1</v>
      </c>
    </row>
    <row r="193" spans="1:24" x14ac:dyDescent="0.15">
      <c r="A193" s="25" t="s">
        <v>1210</v>
      </c>
      <c r="B193" s="25" t="s">
        <v>631</v>
      </c>
      <c r="C193" s="25" t="s">
        <v>632</v>
      </c>
      <c r="D193" s="25" t="s">
        <v>633</v>
      </c>
      <c r="E193" s="26" t="s">
        <v>45</v>
      </c>
      <c r="F193" s="27" t="s">
        <v>45</v>
      </c>
      <c r="G193" s="28" t="s">
        <v>45</v>
      </c>
      <c r="H193" s="29"/>
      <c r="I193" s="29" t="s">
        <v>567</v>
      </c>
      <c r="J193" s="30">
        <v>1</v>
      </c>
      <c r="K193" s="31" t="str">
        <f>"－"</f>
        <v>－</v>
      </c>
      <c r="L193" s="32"/>
      <c r="M193" s="31" t="str">
        <f>"－"</f>
        <v>－</v>
      </c>
      <c r="N193" s="32"/>
      <c r="O193" s="31" t="str">
        <f>"－"</f>
        <v>－</v>
      </c>
      <c r="P193" s="32"/>
      <c r="Q193" s="31" t="str">
        <f>"－"</f>
        <v>－</v>
      </c>
      <c r="R193" s="32"/>
      <c r="S193" s="33" t="str">
        <f>"－"</f>
        <v>－</v>
      </c>
      <c r="T193" s="30" t="str">
        <f>"－"</f>
        <v>－</v>
      </c>
      <c r="U193" s="30" t="str">
        <f t="shared" si="6"/>
        <v>－</v>
      </c>
      <c r="V193" s="30" t="str">
        <f>"－"</f>
        <v>－</v>
      </c>
      <c r="W193" s="30" t="str">
        <f t="shared" si="7"/>
        <v>－</v>
      </c>
      <c r="X193" s="34" t="str">
        <f>"－"</f>
        <v>－</v>
      </c>
    </row>
    <row r="194" spans="1:24" x14ac:dyDescent="0.15">
      <c r="A194" s="25" t="s">
        <v>1210</v>
      </c>
      <c r="B194" s="25" t="s">
        <v>634</v>
      </c>
      <c r="C194" s="25" t="s">
        <v>635</v>
      </c>
      <c r="D194" s="25" t="s">
        <v>636</v>
      </c>
      <c r="E194" s="26" t="s">
        <v>45</v>
      </c>
      <c r="F194" s="27" t="s">
        <v>45</v>
      </c>
      <c r="G194" s="28" t="s">
        <v>45</v>
      </c>
      <c r="H194" s="29"/>
      <c r="I194" s="29" t="s">
        <v>567</v>
      </c>
      <c r="J194" s="30">
        <v>1</v>
      </c>
      <c r="K194" s="31">
        <f>10425</f>
        <v>10425</v>
      </c>
      <c r="L194" s="32" t="s">
        <v>1003</v>
      </c>
      <c r="M194" s="31">
        <f>10735</f>
        <v>10735</v>
      </c>
      <c r="N194" s="32" t="s">
        <v>255</v>
      </c>
      <c r="O194" s="31">
        <f>10300</f>
        <v>10300</v>
      </c>
      <c r="P194" s="32" t="s">
        <v>1000</v>
      </c>
      <c r="Q194" s="31">
        <f>10595</f>
        <v>10595</v>
      </c>
      <c r="R194" s="32" t="s">
        <v>893</v>
      </c>
      <c r="S194" s="33">
        <f>10496.11</f>
        <v>10496.11</v>
      </c>
      <c r="T194" s="30">
        <f>4752</f>
        <v>4752</v>
      </c>
      <c r="U194" s="30" t="str">
        <f t="shared" si="6"/>
        <v>－</v>
      </c>
      <c r="V194" s="30">
        <f>49972220</f>
        <v>49972220</v>
      </c>
      <c r="W194" s="30" t="str">
        <f t="shared" si="7"/>
        <v>－</v>
      </c>
      <c r="X194" s="34">
        <f>9</f>
        <v>9</v>
      </c>
    </row>
    <row r="195" spans="1:24" x14ac:dyDescent="0.15">
      <c r="A195" s="25" t="s">
        <v>1210</v>
      </c>
      <c r="B195" s="25" t="s">
        <v>637</v>
      </c>
      <c r="C195" s="25" t="s">
        <v>638</v>
      </c>
      <c r="D195" s="25" t="s">
        <v>639</v>
      </c>
      <c r="E195" s="26" t="s">
        <v>45</v>
      </c>
      <c r="F195" s="27" t="s">
        <v>45</v>
      </c>
      <c r="G195" s="28" t="s">
        <v>45</v>
      </c>
      <c r="H195" s="29"/>
      <c r="I195" s="29" t="s">
        <v>567</v>
      </c>
      <c r="J195" s="30">
        <v>1</v>
      </c>
      <c r="K195" s="31">
        <f>11320</f>
        <v>11320</v>
      </c>
      <c r="L195" s="32" t="s">
        <v>999</v>
      </c>
      <c r="M195" s="31">
        <f>12165</f>
        <v>12165</v>
      </c>
      <c r="N195" s="32" t="s">
        <v>255</v>
      </c>
      <c r="O195" s="31">
        <f>11320</f>
        <v>11320</v>
      </c>
      <c r="P195" s="32" t="s">
        <v>999</v>
      </c>
      <c r="Q195" s="31">
        <f>12100</f>
        <v>12100</v>
      </c>
      <c r="R195" s="32" t="s">
        <v>893</v>
      </c>
      <c r="S195" s="33">
        <f>11829.74</f>
        <v>11829.74</v>
      </c>
      <c r="T195" s="30">
        <f>28712</f>
        <v>28712</v>
      </c>
      <c r="U195" s="30" t="str">
        <f t="shared" si="6"/>
        <v>－</v>
      </c>
      <c r="V195" s="30">
        <f>340779060</f>
        <v>340779060</v>
      </c>
      <c r="W195" s="30" t="str">
        <f t="shared" si="7"/>
        <v>－</v>
      </c>
      <c r="X195" s="34">
        <f>19</f>
        <v>19</v>
      </c>
    </row>
    <row r="196" spans="1:24" x14ac:dyDescent="0.15">
      <c r="A196" s="25" t="s">
        <v>1210</v>
      </c>
      <c r="B196" s="25" t="s">
        <v>640</v>
      </c>
      <c r="C196" s="25" t="s">
        <v>641</v>
      </c>
      <c r="D196" s="25" t="s">
        <v>642</v>
      </c>
      <c r="E196" s="26" t="s">
        <v>45</v>
      </c>
      <c r="F196" s="27" t="s">
        <v>45</v>
      </c>
      <c r="G196" s="28" t="s">
        <v>45</v>
      </c>
      <c r="H196" s="29"/>
      <c r="I196" s="29" t="s">
        <v>567</v>
      </c>
      <c r="J196" s="30">
        <v>1</v>
      </c>
      <c r="K196" s="31">
        <f>11180</f>
        <v>11180</v>
      </c>
      <c r="L196" s="32" t="s">
        <v>78</v>
      </c>
      <c r="M196" s="31">
        <f>11410</f>
        <v>11410</v>
      </c>
      <c r="N196" s="32" t="s">
        <v>997</v>
      </c>
      <c r="O196" s="31">
        <f>11040</f>
        <v>11040</v>
      </c>
      <c r="P196" s="32" t="s">
        <v>1004</v>
      </c>
      <c r="Q196" s="31">
        <f>11365</f>
        <v>11365</v>
      </c>
      <c r="R196" s="32" t="s">
        <v>893</v>
      </c>
      <c r="S196" s="33">
        <f>11277.5</f>
        <v>11277.5</v>
      </c>
      <c r="T196" s="30">
        <f>4686</f>
        <v>4686</v>
      </c>
      <c r="U196" s="30" t="str">
        <f t="shared" si="6"/>
        <v>－</v>
      </c>
      <c r="V196" s="30">
        <f>52703370</f>
        <v>52703370</v>
      </c>
      <c r="W196" s="30" t="str">
        <f t="shared" si="7"/>
        <v>－</v>
      </c>
      <c r="X196" s="34">
        <f>10</f>
        <v>10</v>
      </c>
    </row>
    <row r="197" spans="1:24" x14ac:dyDescent="0.15">
      <c r="A197" s="25" t="s">
        <v>1210</v>
      </c>
      <c r="B197" s="25" t="s">
        <v>899</v>
      </c>
      <c r="C197" s="25" t="s">
        <v>900</v>
      </c>
      <c r="D197" s="25" t="s">
        <v>901</v>
      </c>
      <c r="E197" s="26" t="s">
        <v>45</v>
      </c>
      <c r="F197" s="27" t="s">
        <v>45</v>
      </c>
      <c r="G197" s="28" t="s">
        <v>45</v>
      </c>
      <c r="H197" s="29"/>
      <c r="I197" s="29" t="s">
        <v>567</v>
      </c>
      <c r="J197" s="30">
        <v>1</v>
      </c>
      <c r="K197" s="31">
        <f>11515</f>
        <v>11515</v>
      </c>
      <c r="L197" s="32" t="s">
        <v>80</v>
      </c>
      <c r="M197" s="31">
        <f>11775</f>
        <v>11775</v>
      </c>
      <c r="N197" s="32" t="s">
        <v>893</v>
      </c>
      <c r="O197" s="31">
        <f>11515</f>
        <v>11515</v>
      </c>
      <c r="P197" s="32" t="s">
        <v>80</v>
      </c>
      <c r="Q197" s="31">
        <f>11775</f>
        <v>11775</v>
      </c>
      <c r="R197" s="32" t="s">
        <v>893</v>
      </c>
      <c r="S197" s="33">
        <f>11657.5</f>
        <v>11657.5</v>
      </c>
      <c r="T197" s="30">
        <f>404</f>
        <v>404</v>
      </c>
      <c r="U197" s="30" t="str">
        <f t="shared" si="6"/>
        <v>－</v>
      </c>
      <c r="V197" s="30">
        <f>4756135</f>
        <v>4756135</v>
      </c>
      <c r="W197" s="30" t="str">
        <f t="shared" si="7"/>
        <v>－</v>
      </c>
      <c r="X197" s="34">
        <f>2</f>
        <v>2</v>
      </c>
    </row>
    <row r="198" spans="1:24" x14ac:dyDescent="0.15">
      <c r="A198" s="25" t="s">
        <v>1210</v>
      </c>
      <c r="B198" s="25" t="s">
        <v>1141</v>
      </c>
      <c r="C198" s="25" t="s">
        <v>1142</v>
      </c>
      <c r="D198" s="25" t="s">
        <v>1143</v>
      </c>
      <c r="E198" s="26" t="s">
        <v>45</v>
      </c>
      <c r="F198" s="27" t="s">
        <v>45</v>
      </c>
      <c r="G198" s="28" t="s">
        <v>45</v>
      </c>
      <c r="H198" s="29"/>
      <c r="I198" s="29" t="s">
        <v>46</v>
      </c>
      <c r="J198" s="30">
        <v>1</v>
      </c>
      <c r="K198" s="31">
        <f>1006</f>
        <v>1006</v>
      </c>
      <c r="L198" s="32" t="s">
        <v>995</v>
      </c>
      <c r="M198" s="31">
        <f>1030</f>
        <v>1030</v>
      </c>
      <c r="N198" s="32" t="s">
        <v>999</v>
      </c>
      <c r="O198" s="31">
        <f>969</f>
        <v>969</v>
      </c>
      <c r="P198" s="32" t="s">
        <v>1004</v>
      </c>
      <c r="Q198" s="31">
        <f>1011</f>
        <v>1011</v>
      </c>
      <c r="R198" s="32" t="s">
        <v>893</v>
      </c>
      <c r="S198" s="33">
        <f>1007.75</f>
        <v>1007.75</v>
      </c>
      <c r="T198" s="30">
        <f>10995553</f>
        <v>10995553</v>
      </c>
      <c r="U198" s="30">
        <f>443697</f>
        <v>443697</v>
      </c>
      <c r="V198" s="30">
        <f>11065855909</f>
        <v>11065855909</v>
      </c>
      <c r="W198" s="30">
        <f>447888270</f>
        <v>447888270</v>
      </c>
      <c r="X198" s="34">
        <f>20</f>
        <v>20</v>
      </c>
    </row>
    <row r="199" spans="1:24" x14ac:dyDescent="0.15">
      <c r="A199" s="25" t="s">
        <v>1210</v>
      </c>
      <c r="B199" s="25" t="s">
        <v>1145</v>
      </c>
      <c r="C199" s="25" t="s">
        <v>1146</v>
      </c>
      <c r="D199" s="25" t="s">
        <v>1147</v>
      </c>
      <c r="E199" s="26" t="s">
        <v>45</v>
      </c>
      <c r="F199" s="27" t="s">
        <v>45</v>
      </c>
      <c r="G199" s="28" t="s">
        <v>45</v>
      </c>
      <c r="H199" s="29"/>
      <c r="I199" s="29" t="s">
        <v>46</v>
      </c>
      <c r="J199" s="30">
        <v>1</v>
      </c>
      <c r="K199" s="31">
        <f>985</f>
        <v>985</v>
      </c>
      <c r="L199" s="32" t="s">
        <v>995</v>
      </c>
      <c r="M199" s="31">
        <f>1021</f>
        <v>1021</v>
      </c>
      <c r="N199" s="32" t="s">
        <v>80</v>
      </c>
      <c r="O199" s="31">
        <f>967</f>
        <v>967</v>
      </c>
      <c r="P199" s="32" t="s">
        <v>1004</v>
      </c>
      <c r="Q199" s="31">
        <f>1007</f>
        <v>1007</v>
      </c>
      <c r="R199" s="32" t="s">
        <v>893</v>
      </c>
      <c r="S199" s="33">
        <f>1002.6</f>
        <v>1002.6</v>
      </c>
      <c r="T199" s="30">
        <f>211664</f>
        <v>211664</v>
      </c>
      <c r="U199" s="30" t="str">
        <f>"－"</f>
        <v>－</v>
      </c>
      <c r="V199" s="30">
        <f>214253359</f>
        <v>214253359</v>
      </c>
      <c r="W199" s="30" t="str">
        <f>"－"</f>
        <v>－</v>
      </c>
      <c r="X199" s="34">
        <f>20</f>
        <v>20</v>
      </c>
    </row>
    <row r="200" spans="1:24" x14ac:dyDescent="0.15">
      <c r="A200" s="25" t="s">
        <v>1210</v>
      </c>
      <c r="B200" s="25" t="s">
        <v>1148</v>
      </c>
      <c r="C200" s="25" t="s">
        <v>1149</v>
      </c>
      <c r="D200" s="25" t="s">
        <v>1150</v>
      </c>
      <c r="E200" s="26" t="s">
        <v>45</v>
      </c>
      <c r="F200" s="27" t="s">
        <v>45</v>
      </c>
      <c r="G200" s="28" t="s">
        <v>45</v>
      </c>
      <c r="H200" s="29"/>
      <c r="I200" s="29" t="s">
        <v>46</v>
      </c>
      <c r="J200" s="30">
        <v>1</v>
      </c>
      <c r="K200" s="31">
        <f>917</f>
        <v>917</v>
      </c>
      <c r="L200" s="32" t="s">
        <v>995</v>
      </c>
      <c r="M200" s="31">
        <f>977</f>
        <v>977</v>
      </c>
      <c r="N200" s="32" t="s">
        <v>1017</v>
      </c>
      <c r="O200" s="31">
        <f>912</f>
        <v>912</v>
      </c>
      <c r="P200" s="32" t="s">
        <v>995</v>
      </c>
      <c r="Q200" s="31">
        <f>971</f>
        <v>971</v>
      </c>
      <c r="R200" s="32" t="s">
        <v>893</v>
      </c>
      <c r="S200" s="33">
        <f>952.9</f>
        <v>952.9</v>
      </c>
      <c r="T200" s="30">
        <f>691160</f>
        <v>691160</v>
      </c>
      <c r="U200" s="30" t="str">
        <f>"－"</f>
        <v>－</v>
      </c>
      <c r="V200" s="30">
        <f>663370390</f>
        <v>663370390</v>
      </c>
      <c r="W200" s="30" t="str">
        <f>"－"</f>
        <v>－</v>
      </c>
      <c r="X200" s="34">
        <f>20</f>
        <v>20</v>
      </c>
    </row>
    <row r="201" spans="1:24" x14ac:dyDescent="0.15">
      <c r="A201" s="25" t="s">
        <v>1210</v>
      </c>
      <c r="B201" s="25" t="s">
        <v>1151</v>
      </c>
      <c r="C201" s="25" t="s">
        <v>1152</v>
      </c>
      <c r="D201" s="25" t="s">
        <v>1153</v>
      </c>
      <c r="E201" s="26" t="s">
        <v>45</v>
      </c>
      <c r="F201" s="27" t="s">
        <v>45</v>
      </c>
      <c r="G201" s="28" t="s">
        <v>45</v>
      </c>
      <c r="H201" s="29"/>
      <c r="I201" s="29" t="s">
        <v>46</v>
      </c>
      <c r="J201" s="30">
        <v>1</v>
      </c>
      <c r="K201" s="31">
        <f>1838</f>
        <v>1838</v>
      </c>
      <c r="L201" s="32" t="s">
        <v>995</v>
      </c>
      <c r="M201" s="31">
        <f>2038</f>
        <v>2038</v>
      </c>
      <c r="N201" s="32" t="s">
        <v>793</v>
      </c>
      <c r="O201" s="31">
        <f>1831</f>
        <v>1831</v>
      </c>
      <c r="P201" s="32" t="s">
        <v>995</v>
      </c>
      <c r="Q201" s="31">
        <f>2029</f>
        <v>2029</v>
      </c>
      <c r="R201" s="32" t="s">
        <v>893</v>
      </c>
      <c r="S201" s="33">
        <f>1971.55</f>
        <v>1971.55</v>
      </c>
      <c r="T201" s="30">
        <f>872576</f>
        <v>872576</v>
      </c>
      <c r="U201" s="30">
        <f>23584</f>
        <v>23584</v>
      </c>
      <c r="V201" s="30">
        <f>1732459332</f>
        <v>1732459332</v>
      </c>
      <c r="W201" s="30">
        <f>45955267</f>
        <v>45955267</v>
      </c>
      <c r="X201" s="34">
        <f>20</f>
        <v>20</v>
      </c>
    </row>
    <row r="202" spans="1:24" x14ac:dyDescent="0.15">
      <c r="A202" s="25" t="s">
        <v>1210</v>
      </c>
      <c r="B202" s="25" t="s">
        <v>1154</v>
      </c>
      <c r="C202" s="25" t="s">
        <v>1155</v>
      </c>
      <c r="D202" s="25" t="s">
        <v>1156</v>
      </c>
      <c r="E202" s="26" t="s">
        <v>45</v>
      </c>
      <c r="F202" s="27" t="s">
        <v>45</v>
      </c>
      <c r="G202" s="28" t="s">
        <v>45</v>
      </c>
      <c r="H202" s="29"/>
      <c r="I202" s="29" t="s">
        <v>46</v>
      </c>
      <c r="J202" s="30">
        <v>1</v>
      </c>
      <c r="K202" s="31">
        <f>1985</f>
        <v>1985</v>
      </c>
      <c r="L202" s="32" t="s">
        <v>995</v>
      </c>
      <c r="M202" s="31">
        <f>2032</f>
        <v>2032</v>
      </c>
      <c r="N202" s="32" t="s">
        <v>255</v>
      </c>
      <c r="O202" s="31">
        <f>1944</f>
        <v>1944</v>
      </c>
      <c r="P202" s="32" t="s">
        <v>1000</v>
      </c>
      <c r="Q202" s="31">
        <f>2015</f>
        <v>2015</v>
      </c>
      <c r="R202" s="32" t="s">
        <v>893</v>
      </c>
      <c r="S202" s="33">
        <f>1997.05</f>
        <v>1997.05</v>
      </c>
      <c r="T202" s="30">
        <f>1042892</f>
        <v>1042892</v>
      </c>
      <c r="U202" s="30">
        <f>35320</f>
        <v>35320</v>
      </c>
      <c r="V202" s="30">
        <f>2076754748</f>
        <v>2076754748</v>
      </c>
      <c r="W202" s="30">
        <f>70324919</f>
        <v>70324919</v>
      </c>
      <c r="X202" s="34">
        <f>20</f>
        <v>20</v>
      </c>
    </row>
    <row r="203" spans="1:24" x14ac:dyDescent="0.15">
      <c r="A203" s="25" t="s">
        <v>1210</v>
      </c>
      <c r="B203" s="25" t="s">
        <v>1157</v>
      </c>
      <c r="C203" s="25" t="s">
        <v>1158</v>
      </c>
      <c r="D203" s="25" t="s">
        <v>1159</v>
      </c>
      <c r="E203" s="26" t="s">
        <v>45</v>
      </c>
      <c r="F203" s="27" t="s">
        <v>45</v>
      </c>
      <c r="G203" s="28" t="s">
        <v>45</v>
      </c>
      <c r="H203" s="29"/>
      <c r="I203" s="29" t="s">
        <v>46</v>
      </c>
      <c r="J203" s="30">
        <v>10</v>
      </c>
      <c r="K203" s="31">
        <f>499</f>
        <v>499</v>
      </c>
      <c r="L203" s="32" t="s">
        <v>995</v>
      </c>
      <c r="M203" s="31">
        <f>514</f>
        <v>514</v>
      </c>
      <c r="N203" s="32" t="s">
        <v>997</v>
      </c>
      <c r="O203" s="31">
        <f>486</f>
        <v>486</v>
      </c>
      <c r="P203" s="32" t="s">
        <v>1000</v>
      </c>
      <c r="Q203" s="31">
        <f>511.6</f>
        <v>511.6</v>
      </c>
      <c r="R203" s="32" t="s">
        <v>893</v>
      </c>
      <c r="S203" s="33">
        <f>504.19</f>
        <v>504.19</v>
      </c>
      <c r="T203" s="30">
        <f>3458050</f>
        <v>3458050</v>
      </c>
      <c r="U203" s="30">
        <f>79070</f>
        <v>79070</v>
      </c>
      <c r="V203" s="30">
        <f>1737649493</f>
        <v>1737649493</v>
      </c>
      <c r="W203" s="30">
        <f>40102795</f>
        <v>40102795</v>
      </c>
      <c r="X203" s="34">
        <f>20</f>
        <v>20</v>
      </c>
    </row>
    <row r="204" spans="1:24" x14ac:dyDescent="0.15">
      <c r="A204" s="25" t="s">
        <v>1210</v>
      </c>
      <c r="B204" s="25" t="s">
        <v>1160</v>
      </c>
      <c r="C204" s="25" t="s">
        <v>1161</v>
      </c>
      <c r="D204" s="25" t="s">
        <v>1162</v>
      </c>
      <c r="E204" s="26" t="s">
        <v>45</v>
      </c>
      <c r="F204" s="27" t="s">
        <v>45</v>
      </c>
      <c r="G204" s="28" t="s">
        <v>45</v>
      </c>
      <c r="H204" s="29"/>
      <c r="I204" s="29" t="s">
        <v>46</v>
      </c>
      <c r="J204" s="30">
        <v>10</v>
      </c>
      <c r="K204" s="31">
        <f>1891.5</f>
        <v>1891.5</v>
      </c>
      <c r="L204" s="32" t="s">
        <v>995</v>
      </c>
      <c r="M204" s="31">
        <f>2055</f>
        <v>2055</v>
      </c>
      <c r="N204" s="32" t="s">
        <v>793</v>
      </c>
      <c r="O204" s="31">
        <f>1891.5</f>
        <v>1891.5</v>
      </c>
      <c r="P204" s="32" t="s">
        <v>995</v>
      </c>
      <c r="Q204" s="31">
        <f>2048</f>
        <v>2048</v>
      </c>
      <c r="R204" s="32" t="s">
        <v>893</v>
      </c>
      <c r="S204" s="33">
        <f>2014.6</f>
        <v>2014.6</v>
      </c>
      <c r="T204" s="30">
        <f>5760</f>
        <v>5760</v>
      </c>
      <c r="U204" s="30" t="str">
        <f>"－"</f>
        <v>－</v>
      </c>
      <c r="V204" s="30">
        <f>11692545</f>
        <v>11692545</v>
      </c>
      <c r="W204" s="30" t="str">
        <f>"－"</f>
        <v>－</v>
      </c>
      <c r="X204" s="34">
        <f>15</f>
        <v>15</v>
      </c>
    </row>
    <row r="205" spans="1:24" x14ac:dyDescent="0.15">
      <c r="A205" s="25" t="s">
        <v>1210</v>
      </c>
      <c r="B205" s="25" t="s">
        <v>1164</v>
      </c>
      <c r="C205" s="25" t="s">
        <v>1165</v>
      </c>
      <c r="D205" s="25" t="s">
        <v>1166</v>
      </c>
      <c r="E205" s="26" t="s">
        <v>45</v>
      </c>
      <c r="F205" s="27" t="s">
        <v>45</v>
      </c>
      <c r="G205" s="28" t="s">
        <v>45</v>
      </c>
      <c r="H205" s="29"/>
      <c r="I205" s="29" t="s">
        <v>46</v>
      </c>
      <c r="J205" s="30">
        <v>10</v>
      </c>
      <c r="K205" s="31">
        <f>1909</f>
        <v>1909</v>
      </c>
      <c r="L205" s="32" t="s">
        <v>995</v>
      </c>
      <c r="M205" s="31">
        <f>2123</f>
        <v>2123</v>
      </c>
      <c r="N205" s="32" t="s">
        <v>998</v>
      </c>
      <c r="O205" s="31">
        <f>1909</f>
        <v>1909</v>
      </c>
      <c r="P205" s="32" t="s">
        <v>995</v>
      </c>
      <c r="Q205" s="31">
        <f>2108</f>
        <v>2108</v>
      </c>
      <c r="R205" s="32" t="s">
        <v>997</v>
      </c>
      <c r="S205" s="33">
        <f>2053.44</f>
        <v>2053.44</v>
      </c>
      <c r="T205" s="30">
        <f>270</f>
        <v>270</v>
      </c>
      <c r="U205" s="30" t="str">
        <f>"－"</f>
        <v>－</v>
      </c>
      <c r="V205" s="30">
        <f>565095</f>
        <v>565095</v>
      </c>
      <c r="W205" s="30" t="str">
        <f>"－"</f>
        <v>－</v>
      </c>
      <c r="X205" s="34">
        <f>8</f>
        <v>8</v>
      </c>
    </row>
    <row r="206" spans="1:24" x14ac:dyDescent="0.15">
      <c r="A206" s="25" t="s">
        <v>1210</v>
      </c>
      <c r="B206" s="25" t="s">
        <v>1167</v>
      </c>
      <c r="C206" s="25" t="s">
        <v>1168</v>
      </c>
      <c r="D206" s="25" t="s">
        <v>1169</v>
      </c>
      <c r="E206" s="26" t="s">
        <v>45</v>
      </c>
      <c r="F206" s="27" t="s">
        <v>45</v>
      </c>
      <c r="G206" s="28" t="s">
        <v>45</v>
      </c>
      <c r="H206" s="29"/>
      <c r="I206" s="29" t="s">
        <v>46</v>
      </c>
      <c r="J206" s="30">
        <v>10</v>
      </c>
      <c r="K206" s="31">
        <f>1905</f>
        <v>1905</v>
      </c>
      <c r="L206" s="32" t="s">
        <v>995</v>
      </c>
      <c r="M206" s="31">
        <f>2031</f>
        <v>2031</v>
      </c>
      <c r="N206" s="32" t="s">
        <v>793</v>
      </c>
      <c r="O206" s="31">
        <f>1905</f>
        <v>1905</v>
      </c>
      <c r="P206" s="32" t="s">
        <v>995</v>
      </c>
      <c r="Q206" s="31">
        <f>2031</f>
        <v>2031</v>
      </c>
      <c r="R206" s="32" t="s">
        <v>793</v>
      </c>
      <c r="S206" s="33">
        <f>1998</f>
        <v>1998</v>
      </c>
      <c r="T206" s="30">
        <f>180</f>
        <v>180</v>
      </c>
      <c r="U206" s="30" t="str">
        <f>"－"</f>
        <v>－</v>
      </c>
      <c r="V206" s="30">
        <f>362660</f>
        <v>362660</v>
      </c>
      <c r="W206" s="30" t="str">
        <f>"－"</f>
        <v>－</v>
      </c>
      <c r="X206" s="34">
        <f>5</f>
        <v>5</v>
      </c>
    </row>
    <row r="207" spans="1:24" x14ac:dyDescent="0.15">
      <c r="A207" s="25" t="s">
        <v>1210</v>
      </c>
      <c r="B207" s="25" t="s">
        <v>1170</v>
      </c>
      <c r="C207" s="25" t="s">
        <v>1171</v>
      </c>
      <c r="D207" s="25" t="s">
        <v>1172</v>
      </c>
      <c r="E207" s="26" t="s">
        <v>45</v>
      </c>
      <c r="F207" s="27" t="s">
        <v>45</v>
      </c>
      <c r="G207" s="28" t="s">
        <v>45</v>
      </c>
      <c r="H207" s="29"/>
      <c r="I207" s="29" t="s">
        <v>46</v>
      </c>
      <c r="J207" s="30">
        <v>10</v>
      </c>
      <c r="K207" s="31">
        <f>1896</f>
        <v>1896</v>
      </c>
      <c r="L207" s="32" t="s">
        <v>995</v>
      </c>
      <c r="M207" s="31">
        <f>1896</f>
        <v>1896</v>
      </c>
      <c r="N207" s="32" t="s">
        <v>995</v>
      </c>
      <c r="O207" s="31">
        <f>1896</f>
        <v>1896</v>
      </c>
      <c r="P207" s="32" t="s">
        <v>995</v>
      </c>
      <c r="Q207" s="31">
        <f>1896</f>
        <v>1896</v>
      </c>
      <c r="R207" s="32" t="s">
        <v>995</v>
      </c>
      <c r="S207" s="33">
        <f>1896</f>
        <v>1896</v>
      </c>
      <c r="T207" s="30">
        <f>10</f>
        <v>10</v>
      </c>
      <c r="U207" s="30" t="str">
        <f>"－"</f>
        <v>－</v>
      </c>
      <c r="V207" s="30">
        <f>18960</f>
        <v>18960</v>
      </c>
      <c r="W207" s="30" t="str">
        <f>"－"</f>
        <v>－</v>
      </c>
      <c r="X207" s="34">
        <f>1</f>
        <v>1</v>
      </c>
    </row>
    <row r="208" spans="1:24" x14ac:dyDescent="0.15">
      <c r="A208" s="25" t="s">
        <v>1210</v>
      </c>
      <c r="B208" s="25" t="s">
        <v>1173</v>
      </c>
      <c r="C208" s="25" t="s">
        <v>1174</v>
      </c>
      <c r="D208" s="25" t="s">
        <v>1175</v>
      </c>
      <c r="E208" s="26" t="s">
        <v>45</v>
      </c>
      <c r="F208" s="27" t="s">
        <v>45</v>
      </c>
      <c r="G208" s="28" t="s">
        <v>45</v>
      </c>
      <c r="H208" s="29"/>
      <c r="I208" s="29" t="s">
        <v>46</v>
      </c>
      <c r="J208" s="30">
        <v>10</v>
      </c>
      <c r="K208" s="31">
        <f>4910</f>
        <v>4910</v>
      </c>
      <c r="L208" s="32" t="s">
        <v>78</v>
      </c>
      <c r="M208" s="31">
        <f>5048</f>
        <v>5048</v>
      </c>
      <c r="N208" s="32" t="s">
        <v>1017</v>
      </c>
      <c r="O208" s="31">
        <f>4910</f>
        <v>4910</v>
      </c>
      <c r="P208" s="32" t="s">
        <v>78</v>
      </c>
      <c r="Q208" s="31">
        <f>5048</f>
        <v>5048</v>
      </c>
      <c r="R208" s="32" t="s">
        <v>1017</v>
      </c>
      <c r="S208" s="33">
        <f>4981.5</f>
        <v>4981.5</v>
      </c>
      <c r="T208" s="30">
        <f>269730</f>
        <v>269730</v>
      </c>
      <c r="U208" s="30">
        <f>226000</f>
        <v>226000</v>
      </c>
      <c r="V208" s="30">
        <f>1309676456</f>
        <v>1309676456</v>
      </c>
      <c r="W208" s="30">
        <f>1094493366</f>
        <v>1094493366</v>
      </c>
      <c r="X208" s="34">
        <f>6</f>
        <v>6</v>
      </c>
    </row>
    <row r="209" spans="1:24" x14ac:dyDescent="0.15">
      <c r="A209" s="25" t="s">
        <v>1210</v>
      </c>
      <c r="B209" s="25" t="s">
        <v>1176</v>
      </c>
      <c r="C209" s="25" t="s">
        <v>1177</v>
      </c>
      <c r="D209" s="25" t="s">
        <v>1178</v>
      </c>
      <c r="E209" s="26" t="s">
        <v>45</v>
      </c>
      <c r="F209" s="27" t="s">
        <v>45</v>
      </c>
      <c r="G209" s="28" t="s">
        <v>45</v>
      </c>
      <c r="H209" s="29"/>
      <c r="I209" s="29" t="s">
        <v>46</v>
      </c>
      <c r="J209" s="30">
        <v>10</v>
      </c>
      <c r="K209" s="31">
        <f>4994</f>
        <v>4994</v>
      </c>
      <c r="L209" s="32" t="s">
        <v>1003</v>
      </c>
      <c r="M209" s="31">
        <f>6030</f>
        <v>6030</v>
      </c>
      <c r="N209" s="32" t="s">
        <v>893</v>
      </c>
      <c r="O209" s="31">
        <f>4994</f>
        <v>4994</v>
      </c>
      <c r="P209" s="32" t="s">
        <v>1003</v>
      </c>
      <c r="Q209" s="31">
        <f>5112</f>
        <v>5112</v>
      </c>
      <c r="R209" s="32" t="s">
        <v>893</v>
      </c>
      <c r="S209" s="33">
        <f>5043.17</f>
        <v>5043.17</v>
      </c>
      <c r="T209" s="30">
        <f>230</f>
        <v>230</v>
      </c>
      <c r="U209" s="30" t="str">
        <f>"－"</f>
        <v>－</v>
      </c>
      <c r="V209" s="30">
        <f>1173790</f>
        <v>1173790</v>
      </c>
      <c r="W209" s="30" t="str">
        <f>"－"</f>
        <v>－</v>
      </c>
      <c r="X209" s="34">
        <f>6</f>
        <v>6</v>
      </c>
    </row>
    <row r="210" spans="1:24" x14ac:dyDescent="0.15">
      <c r="A210" s="25" t="s">
        <v>1210</v>
      </c>
      <c r="B210" s="25" t="s">
        <v>1179</v>
      </c>
      <c r="C210" s="25" t="s">
        <v>1180</v>
      </c>
      <c r="D210" s="25" t="s">
        <v>1181</v>
      </c>
      <c r="E210" s="26" t="s">
        <v>45</v>
      </c>
      <c r="F210" s="27" t="s">
        <v>45</v>
      </c>
      <c r="G210" s="28" t="s">
        <v>45</v>
      </c>
      <c r="H210" s="29"/>
      <c r="I210" s="29" t="s">
        <v>46</v>
      </c>
      <c r="J210" s="30">
        <v>10</v>
      </c>
      <c r="K210" s="31">
        <f>4978</f>
        <v>4978</v>
      </c>
      <c r="L210" s="32" t="s">
        <v>1003</v>
      </c>
      <c r="M210" s="31">
        <f>5143</f>
        <v>5143</v>
      </c>
      <c r="N210" s="32" t="s">
        <v>80</v>
      </c>
      <c r="O210" s="31">
        <f>4978</f>
        <v>4978</v>
      </c>
      <c r="P210" s="32" t="s">
        <v>1003</v>
      </c>
      <c r="Q210" s="31">
        <f>5143</f>
        <v>5143</v>
      </c>
      <c r="R210" s="32" t="s">
        <v>80</v>
      </c>
      <c r="S210" s="33">
        <f>5060.5</f>
        <v>5060.5</v>
      </c>
      <c r="T210" s="30">
        <f>60</f>
        <v>60</v>
      </c>
      <c r="U210" s="30" t="str">
        <f>"－"</f>
        <v>－</v>
      </c>
      <c r="V210" s="30">
        <f>300330</f>
        <v>300330</v>
      </c>
      <c r="W210" s="30" t="str">
        <f>"－"</f>
        <v>－</v>
      </c>
      <c r="X210" s="34">
        <f>2</f>
        <v>2</v>
      </c>
    </row>
    <row r="211" spans="1:24" x14ac:dyDescent="0.15">
      <c r="A211" s="25" t="s">
        <v>1210</v>
      </c>
      <c r="B211" s="25" t="s">
        <v>1209</v>
      </c>
      <c r="C211" s="25" t="s">
        <v>1208</v>
      </c>
      <c r="D211" s="25" t="s">
        <v>1207</v>
      </c>
      <c r="E211" s="26" t="s">
        <v>45</v>
      </c>
      <c r="F211" s="27" t="s">
        <v>45</v>
      </c>
      <c r="G211" s="28" t="s">
        <v>45</v>
      </c>
      <c r="H211" s="29"/>
      <c r="I211" s="29" t="s">
        <v>46</v>
      </c>
      <c r="J211" s="30">
        <v>10</v>
      </c>
      <c r="K211" s="31">
        <f>5069</f>
        <v>5069</v>
      </c>
      <c r="L211" s="32" t="s">
        <v>995</v>
      </c>
      <c r="M211" s="31">
        <f>5129</f>
        <v>5129</v>
      </c>
      <c r="N211" s="32" t="s">
        <v>1005</v>
      </c>
      <c r="O211" s="31">
        <f>4929</f>
        <v>4929</v>
      </c>
      <c r="P211" s="32" t="s">
        <v>998</v>
      </c>
      <c r="Q211" s="31">
        <f>4940</f>
        <v>4940</v>
      </c>
      <c r="R211" s="32" t="s">
        <v>893</v>
      </c>
      <c r="S211" s="33">
        <f>5023.9</f>
        <v>5023.8999999999996</v>
      </c>
      <c r="T211" s="30">
        <f>2726040</f>
        <v>2726040</v>
      </c>
      <c r="U211" s="30">
        <f>2607000</f>
        <v>2607000</v>
      </c>
      <c r="V211" s="30">
        <f>13527540853</f>
        <v>13527540853</v>
      </c>
      <c r="W211" s="30">
        <f>12935815023</f>
        <v>12935815023</v>
      </c>
      <c r="X211" s="34">
        <f>20</f>
        <v>20</v>
      </c>
    </row>
    <row r="212" spans="1:24" x14ac:dyDescent="0.15">
      <c r="A212" s="25" t="s">
        <v>1210</v>
      </c>
      <c r="B212" s="25" t="s">
        <v>1205</v>
      </c>
      <c r="C212" s="25" t="s">
        <v>1204</v>
      </c>
      <c r="D212" s="25" t="s">
        <v>1203</v>
      </c>
      <c r="E212" s="26" t="s">
        <v>45</v>
      </c>
      <c r="F212" s="27" t="s">
        <v>45</v>
      </c>
      <c r="G212" s="28" t="s">
        <v>45</v>
      </c>
      <c r="H212" s="29"/>
      <c r="I212" s="29" t="s">
        <v>46</v>
      </c>
      <c r="J212" s="30">
        <v>1</v>
      </c>
      <c r="K212" s="31">
        <f>993</f>
        <v>993</v>
      </c>
      <c r="L212" s="32" t="s">
        <v>995</v>
      </c>
      <c r="M212" s="31">
        <f>1004</f>
        <v>1004</v>
      </c>
      <c r="N212" s="32" t="s">
        <v>1004</v>
      </c>
      <c r="O212" s="31">
        <f>975</f>
        <v>975</v>
      </c>
      <c r="P212" s="32" t="s">
        <v>78</v>
      </c>
      <c r="Q212" s="31">
        <f>981</f>
        <v>981</v>
      </c>
      <c r="R212" s="32" t="s">
        <v>893</v>
      </c>
      <c r="S212" s="33">
        <f>986.9</f>
        <v>986.9</v>
      </c>
      <c r="T212" s="30">
        <f>746244</f>
        <v>746244</v>
      </c>
      <c r="U212" s="30">
        <f>604000</f>
        <v>604000</v>
      </c>
      <c r="V212" s="30">
        <f>739052995</f>
        <v>739052995</v>
      </c>
      <c r="W212" s="30">
        <f>598797200</f>
        <v>598797200</v>
      </c>
      <c r="X212" s="34">
        <f>20</f>
        <v>20</v>
      </c>
    </row>
    <row r="213" spans="1:24" x14ac:dyDescent="0.15">
      <c r="A213" s="25" t="s">
        <v>1210</v>
      </c>
      <c r="B213" s="25" t="s">
        <v>1201</v>
      </c>
      <c r="C213" s="25" t="s">
        <v>1200</v>
      </c>
      <c r="D213" s="25" t="s">
        <v>1199</v>
      </c>
      <c r="E213" s="26" t="s">
        <v>45</v>
      </c>
      <c r="F213" s="27" t="s">
        <v>45</v>
      </c>
      <c r="G213" s="28" t="s">
        <v>45</v>
      </c>
      <c r="H213" s="29"/>
      <c r="I213" s="29" t="s">
        <v>46</v>
      </c>
      <c r="J213" s="30">
        <v>1</v>
      </c>
      <c r="K213" s="31">
        <f>1004</f>
        <v>1004</v>
      </c>
      <c r="L213" s="32" t="s">
        <v>995</v>
      </c>
      <c r="M213" s="31">
        <f>1060</f>
        <v>1060</v>
      </c>
      <c r="N213" s="32" t="s">
        <v>793</v>
      </c>
      <c r="O213" s="31">
        <f>1000</f>
        <v>1000</v>
      </c>
      <c r="P213" s="32" t="s">
        <v>995</v>
      </c>
      <c r="Q213" s="31">
        <f>1054</f>
        <v>1054</v>
      </c>
      <c r="R213" s="32" t="s">
        <v>893</v>
      </c>
      <c r="S213" s="33">
        <f>1038.45</f>
        <v>1038.45</v>
      </c>
      <c r="T213" s="30">
        <f>140817</f>
        <v>140817</v>
      </c>
      <c r="U213" s="30" t="str">
        <f>"－"</f>
        <v>－</v>
      </c>
      <c r="V213" s="30">
        <f>144793454</f>
        <v>144793454</v>
      </c>
      <c r="W213" s="30" t="str">
        <f>"－"</f>
        <v>－</v>
      </c>
      <c r="X213" s="34">
        <f>20</f>
        <v>20</v>
      </c>
    </row>
    <row r="214" spans="1:24" x14ac:dyDescent="0.15">
      <c r="A214" s="25" t="s">
        <v>1210</v>
      </c>
      <c r="B214" s="25" t="s">
        <v>1198</v>
      </c>
      <c r="C214" s="25" t="s">
        <v>1197</v>
      </c>
      <c r="D214" s="25" t="s">
        <v>1196</v>
      </c>
      <c r="E214" s="26" t="s">
        <v>45</v>
      </c>
      <c r="F214" s="27" t="s">
        <v>45</v>
      </c>
      <c r="G214" s="28" t="s">
        <v>45</v>
      </c>
      <c r="H214" s="29"/>
      <c r="I214" s="29" t="s">
        <v>46</v>
      </c>
      <c r="J214" s="30">
        <v>1</v>
      </c>
      <c r="K214" s="31">
        <f>1011</f>
        <v>1011</v>
      </c>
      <c r="L214" s="32" t="s">
        <v>995</v>
      </c>
      <c r="M214" s="31">
        <f>1021</f>
        <v>1021</v>
      </c>
      <c r="N214" s="32" t="s">
        <v>78</v>
      </c>
      <c r="O214" s="31">
        <f>990</f>
        <v>990</v>
      </c>
      <c r="P214" s="32" t="s">
        <v>1004</v>
      </c>
      <c r="Q214" s="31">
        <f>1017</f>
        <v>1017</v>
      </c>
      <c r="R214" s="32" t="s">
        <v>893</v>
      </c>
      <c r="S214" s="33">
        <f>1007.75</f>
        <v>1007.75</v>
      </c>
      <c r="T214" s="30">
        <f>64231</f>
        <v>64231</v>
      </c>
      <c r="U214" s="30" t="str">
        <f>"－"</f>
        <v>－</v>
      </c>
      <c r="V214" s="30">
        <f>65011502</f>
        <v>65011502</v>
      </c>
      <c r="W214" s="30" t="str">
        <f>"－"</f>
        <v>－</v>
      </c>
      <c r="X214" s="34">
        <f>20</f>
        <v>20</v>
      </c>
    </row>
    <row r="215" spans="1:24" x14ac:dyDescent="0.15">
      <c r="A215" s="25" t="s">
        <v>1210</v>
      </c>
      <c r="B215" s="25" t="s">
        <v>1195</v>
      </c>
      <c r="C215" s="25" t="s">
        <v>1194</v>
      </c>
      <c r="D215" s="25" t="s">
        <v>1193</v>
      </c>
      <c r="E215" s="26" t="s">
        <v>45</v>
      </c>
      <c r="F215" s="27" t="s">
        <v>45</v>
      </c>
      <c r="G215" s="28" t="s">
        <v>45</v>
      </c>
      <c r="H215" s="29"/>
      <c r="I215" s="29" t="s">
        <v>46</v>
      </c>
      <c r="J215" s="30">
        <v>1</v>
      </c>
      <c r="K215" s="31">
        <f>1015</f>
        <v>1015</v>
      </c>
      <c r="L215" s="32" t="s">
        <v>995</v>
      </c>
      <c r="M215" s="31">
        <f>1039</f>
        <v>1039</v>
      </c>
      <c r="N215" s="32" t="s">
        <v>78</v>
      </c>
      <c r="O215" s="31">
        <f>999</f>
        <v>999</v>
      </c>
      <c r="P215" s="32" t="s">
        <v>1005</v>
      </c>
      <c r="Q215" s="31">
        <f>1011</f>
        <v>1011</v>
      </c>
      <c r="R215" s="32" t="s">
        <v>893</v>
      </c>
      <c r="S215" s="33">
        <f>1013.55</f>
        <v>1013.55</v>
      </c>
      <c r="T215" s="30">
        <f>2062478</f>
        <v>2062478</v>
      </c>
      <c r="U215" s="30" t="str">
        <f>"－"</f>
        <v>－</v>
      </c>
      <c r="V215" s="30">
        <f>2092100195</f>
        <v>2092100195</v>
      </c>
      <c r="W215" s="30" t="str">
        <f>"－"</f>
        <v>－</v>
      </c>
      <c r="X215" s="34">
        <f>20</f>
        <v>20</v>
      </c>
    </row>
    <row r="216" spans="1:24" x14ac:dyDescent="0.15">
      <c r="A216" s="25" t="s">
        <v>1210</v>
      </c>
      <c r="B216" s="25" t="s">
        <v>1192</v>
      </c>
      <c r="C216" s="25" t="s">
        <v>1191</v>
      </c>
      <c r="D216" s="25" t="s">
        <v>1190</v>
      </c>
      <c r="E216" s="26" t="s">
        <v>45</v>
      </c>
      <c r="F216" s="27" t="s">
        <v>45</v>
      </c>
      <c r="G216" s="28" t="s">
        <v>45</v>
      </c>
      <c r="H216" s="29"/>
      <c r="I216" s="29" t="s">
        <v>46</v>
      </c>
      <c r="J216" s="30">
        <v>1</v>
      </c>
      <c r="K216" s="31">
        <f>1020</f>
        <v>1020</v>
      </c>
      <c r="L216" s="32" t="s">
        <v>995</v>
      </c>
      <c r="M216" s="31">
        <f>1029</f>
        <v>1029</v>
      </c>
      <c r="N216" s="32" t="s">
        <v>876</v>
      </c>
      <c r="O216" s="31">
        <f>985</f>
        <v>985</v>
      </c>
      <c r="P216" s="32" t="s">
        <v>1004</v>
      </c>
      <c r="Q216" s="31">
        <f>1016</f>
        <v>1016</v>
      </c>
      <c r="R216" s="32" t="s">
        <v>893</v>
      </c>
      <c r="S216" s="33">
        <f>1013.4</f>
        <v>1013.4</v>
      </c>
      <c r="T216" s="30">
        <f>409685</f>
        <v>409685</v>
      </c>
      <c r="U216" s="30" t="str">
        <f>"－"</f>
        <v>－</v>
      </c>
      <c r="V216" s="30">
        <f>414611043</f>
        <v>414611043</v>
      </c>
      <c r="W216" s="30" t="str">
        <f>"－"</f>
        <v>－</v>
      </c>
      <c r="X216" s="34">
        <f>20</f>
        <v>20</v>
      </c>
    </row>
    <row r="217" spans="1:24" x14ac:dyDescent="0.15">
      <c r="A217" s="25" t="s">
        <v>1210</v>
      </c>
      <c r="B217" s="25" t="s">
        <v>986</v>
      </c>
      <c r="C217" s="25" t="s">
        <v>987</v>
      </c>
      <c r="D217" s="25" t="s">
        <v>988</v>
      </c>
      <c r="E217" s="26" t="s">
        <v>45</v>
      </c>
      <c r="F217" s="27" t="s">
        <v>45</v>
      </c>
      <c r="G217" s="28" t="s">
        <v>45</v>
      </c>
      <c r="H217" s="29"/>
      <c r="I217" s="29" t="s">
        <v>46</v>
      </c>
      <c r="J217" s="30">
        <v>10</v>
      </c>
      <c r="K217" s="31">
        <f>2178.5</f>
        <v>2178.5</v>
      </c>
      <c r="L217" s="32" t="s">
        <v>995</v>
      </c>
      <c r="M217" s="31">
        <f>2349</f>
        <v>2349</v>
      </c>
      <c r="N217" s="32" t="s">
        <v>792</v>
      </c>
      <c r="O217" s="31">
        <f>2176.5</f>
        <v>2176.5</v>
      </c>
      <c r="P217" s="32" t="s">
        <v>995</v>
      </c>
      <c r="Q217" s="31">
        <f>2285.5</f>
        <v>2285.5</v>
      </c>
      <c r="R217" s="32" t="s">
        <v>893</v>
      </c>
      <c r="S217" s="33">
        <f>2263.35</f>
        <v>2263.35</v>
      </c>
      <c r="T217" s="30">
        <f>8260</f>
        <v>8260</v>
      </c>
      <c r="U217" s="30" t="str">
        <f>"－"</f>
        <v>－</v>
      </c>
      <c r="V217" s="30">
        <f>18721000</f>
        <v>18721000</v>
      </c>
      <c r="W217" s="30" t="str">
        <f>"－"</f>
        <v>－</v>
      </c>
      <c r="X217" s="34">
        <f>20</f>
        <v>20</v>
      </c>
    </row>
    <row r="218" spans="1:24" x14ac:dyDescent="0.15">
      <c r="A218" s="25" t="s">
        <v>1210</v>
      </c>
      <c r="B218" s="25" t="s">
        <v>990</v>
      </c>
      <c r="C218" s="25" t="s">
        <v>991</v>
      </c>
      <c r="D218" s="25" t="s">
        <v>992</v>
      </c>
      <c r="E218" s="26" t="s">
        <v>45</v>
      </c>
      <c r="F218" s="27" t="s">
        <v>45</v>
      </c>
      <c r="G218" s="28" t="s">
        <v>45</v>
      </c>
      <c r="H218" s="29"/>
      <c r="I218" s="29" t="s">
        <v>46</v>
      </c>
      <c r="J218" s="30">
        <v>1</v>
      </c>
      <c r="K218" s="31">
        <f>1054</f>
        <v>1054</v>
      </c>
      <c r="L218" s="32" t="s">
        <v>995</v>
      </c>
      <c r="M218" s="31">
        <f>1105</f>
        <v>1105</v>
      </c>
      <c r="N218" s="32" t="s">
        <v>876</v>
      </c>
      <c r="O218" s="31">
        <f>1049</f>
        <v>1049</v>
      </c>
      <c r="P218" s="32" t="s">
        <v>999</v>
      </c>
      <c r="Q218" s="31">
        <f>1077</f>
        <v>1077</v>
      </c>
      <c r="R218" s="32" t="s">
        <v>893</v>
      </c>
      <c r="S218" s="33">
        <f>1079.9</f>
        <v>1079.9000000000001</v>
      </c>
      <c r="T218" s="30">
        <f>537231</f>
        <v>537231</v>
      </c>
      <c r="U218" s="30">
        <f>115</f>
        <v>115</v>
      </c>
      <c r="V218" s="30">
        <f>581358456</f>
        <v>581358456</v>
      </c>
      <c r="W218" s="30">
        <f>117160</f>
        <v>117160</v>
      </c>
      <c r="X218" s="34">
        <f>20</f>
        <v>20</v>
      </c>
    </row>
    <row r="219" spans="1:24" x14ac:dyDescent="0.15">
      <c r="A219" s="25" t="s">
        <v>1210</v>
      </c>
      <c r="B219" s="25" t="s">
        <v>1006</v>
      </c>
      <c r="C219" s="25" t="s">
        <v>1007</v>
      </c>
      <c r="D219" s="25" t="s">
        <v>1008</v>
      </c>
      <c r="E219" s="26" t="s">
        <v>45</v>
      </c>
      <c r="F219" s="27" t="s">
        <v>45</v>
      </c>
      <c r="G219" s="28" t="s">
        <v>45</v>
      </c>
      <c r="H219" s="29"/>
      <c r="I219" s="29" t="s">
        <v>46</v>
      </c>
      <c r="J219" s="30">
        <v>1</v>
      </c>
      <c r="K219" s="31">
        <f>50040</f>
        <v>50040</v>
      </c>
      <c r="L219" s="32" t="s">
        <v>995</v>
      </c>
      <c r="M219" s="31">
        <f>59010</f>
        <v>59010</v>
      </c>
      <c r="N219" s="32" t="s">
        <v>793</v>
      </c>
      <c r="O219" s="31">
        <f>49900</f>
        <v>49900</v>
      </c>
      <c r="P219" s="32" t="s">
        <v>995</v>
      </c>
      <c r="Q219" s="31">
        <f>58840</f>
        <v>58840</v>
      </c>
      <c r="R219" s="32" t="s">
        <v>893</v>
      </c>
      <c r="S219" s="33">
        <f>56275.5</f>
        <v>56275.5</v>
      </c>
      <c r="T219" s="30">
        <f>44929</f>
        <v>44929</v>
      </c>
      <c r="U219" s="30" t="str">
        <f>"－"</f>
        <v>－</v>
      </c>
      <c r="V219" s="30">
        <f>2513019670</f>
        <v>2513019670</v>
      </c>
      <c r="W219" s="30" t="str">
        <f>"－"</f>
        <v>－</v>
      </c>
      <c r="X219" s="34">
        <f>20</f>
        <v>20</v>
      </c>
    </row>
    <row r="220" spans="1:24" x14ac:dyDescent="0.15">
      <c r="A220" s="25" t="s">
        <v>1210</v>
      </c>
      <c r="B220" s="25" t="s">
        <v>1010</v>
      </c>
      <c r="C220" s="25" t="s">
        <v>1011</v>
      </c>
      <c r="D220" s="25" t="s">
        <v>1012</v>
      </c>
      <c r="E220" s="26" t="s">
        <v>45</v>
      </c>
      <c r="F220" s="27" t="s">
        <v>45</v>
      </c>
      <c r="G220" s="28" t="s">
        <v>45</v>
      </c>
      <c r="H220" s="29"/>
      <c r="I220" s="29" t="s">
        <v>46</v>
      </c>
      <c r="J220" s="30">
        <v>1</v>
      </c>
      <c r="K220" s="31">
        <f>9388</f>
        <v>9388</v>
      </c>
      <c r="L220" s="32" t="s">
        <v>995</v>
      </c>
      <c r="M220" s="31">
        <f>9399</f>
        <v>9399</v>
      </c>
      <c r="N220" s="32" t="s">
        <v>995</v>
      </c>
      <c r="O220" s="31">
        <f>8620</f>
        <v>8620</v>
      </c>
      <c r="P220" s="32" t="s">
        <v>793</v>
      </c>
      <c r="Q220" s="31">
        <f>8630</f>
        <v>8630</v>
      </c>
      <c r="R220" s="32" t="s">
        <v>893</v>
      </c>
      <c r="S220" s="33">
        <f>8845.7</f>
        <v>8845.7000000000007</v>
      </c>
      <c r="T220" s="30">
        <f>475120</f>
        <v>475120</v>
      </c>
      <c r="U220" s="30">
        <f>409100</f>
        <v>409100</v>
      </c>
      <c r="V220" s="30">
        <f>4166300401</f>
        <v>4166300401</v>
      </c>
      <c r="W220" s="30">
        <f>3577989163</f>
        <v>3577989163</v>
      </c>
      <c r="X220" s="34">
        <f>20</f>
        <v>20</v>
      </c>
    </row>
    <row r="221" spans="1:24" x14ac:dyDescent="0.15">
      <c r="A221" s="25" t="s">
        <v>1210</v>
      </c>
      <c r="B221" s="25" t="s">
        <v>1018</v>
      </c>
      <c r="C221" s="25" t="s">
        <v>1019</v>
      </c>
      <c r="D221" s="25" t="s">
        <v>1020</v>
      </c>
      <c r="E221" s="26" t="s">
        <v>45</v>
      </c>
      <c r="F221" s="27" t="s">
        <v>45</v>
      </c>
      <c r="G221" s="28" t="s">
        <v>45</v>
      </c>
      <c r="H221" s="29"/>
      <c r="I221" s="29" t="s">
        <v>46</v>
      </c>
      <c r="J221" s="30">
        <v>10</v>
      </c>
      <c r="K221" s="31">
        <f>10715</f>
        <v>10715</v>
      </c>
      <c r="L221" s="32" t="s">
        <v>995</v>
      </c>
      <c r="M221" s="31">
        <f>12645</f>
        <v>12645</v>
      </c>
      <c r="N221" s="32" t="s">
        <v>793</v>
      </c>
      <c r="O221" s="31">
        <f>10690</f>
        <v>10690</v>
      </c>
      <c r="P221" s="32" t="s">
        <v>995</v>
      </c>
      <c r="Q221" s="31">
        <f>12605</f>
        <v>12605</v>
      </c>
      <c r="R221" s="32" t="s">
        <v>893</v>
      </c>
      <c r="S221" s="33">
        <f>12060.75</f>
        <v>12060.75</v>
      </c>
      <c r="T221" s="30">
        <f>58620</f>
        <v>58620</v>
      </c>
      <c r="U221" s="30" t="str">
        <f>"－"</f>
        <v>－</v>
      </c>
      <c r="V221" s="30">
        <f>701237050</f>
        <v>701237050</v>
      </c>
      <c r="W221" s="30" t="str">
        <f>"－"</f>
        <v>－</v>
      </c>
      <c r="X221" s="34">
        <f>20</f>
        <v>20</v>
      </c>
    </row>
    <row r="222" spans="1:24" x14ac:dyDescent="0.15">
      <c r="A222" s="25" t="s">
        <v>1210</v>
      </c>
      <c r="B222" s="25" t="s">
        <v>1022</v>
      </c>
      <c r="C222" s="25" t="s">
        <v>1023</v>
      </c>
      <c r="D222" s="25" t="s">
        <v>1024</v>
      </c>
      <c r="E222" s="26" t="s">
        <v>45</v>
      </c>
      <c r="F222" s="27" t="s">
        <v>45</v>
      </c>
      <c r="G222" s="28" t="s">
        <v>45</v>
      </c>
      <c r="H222" s="29"/>
      <c r="I222" s="29" t="s">
        <v>46</v>
      </c>
      <c r="J222" s="30">
        <v>10</v>
      </c>
      <c r="K222" s="31">
        <f>9438</f>
        <v>9438</v>
      </c>
      <c r="L222" s="32" t="s">
        <v>995</v>
      </c>
      <c r="M222" s="31">
        <f>9442</f>
        <v>9442</v>
      </c>
      <c r="N222" s="32" t="s">
        <v>995</v>
      </c>
      <c r="O222" s="31">
        <f>8664</f>
        <v>8664</v>
      </c>
      <c r="P222" s="32" t="s">
        <v>793</v>
      </c>
      <c r="Q222" s="31">
        <f>8682</f>
        <v>8682</v>
      </c>
      <c r="R222" s="32" t="s">
        <v>893</v>
      </c>
      <c r="S222" s="33">
        <f>8892.9</f>
        <v>8892.9</v>
      </c>
      <c r="T222" s="30">
        <f>337810</f>
        <v>337810</v>
      </c>
      <c r="U222" s="30">
        <f>325000</f>
        <v>325000</v>
      </c>
      <c r="V222" s="30">
        <f>3080075834</f>
        <v>3080075834</v>
      </c>
      <c r="W222" s="30">
        <f>2965102024</f>
        <v>2965102024</v>
      </c>
      <c r="X222" s="34">
        <f>20</f>
        <v>20</v>
      </c>
    </row>
    <row r="223" spans="1:24" x14ac:dyDescent="0.15">
      <c r="A223" s="25" t="s">
        <v>1210</v>
      </c>
      <c r="B223" s="25" t="s">
        <v>1025</v>
      </c>
      <c r="C223" s="25" t="s">
        <v>1026</v>
      </c>
      <c r="D223" s="25" t="s">
        <v>1027</v>
      </c>
      <c r="E223" s="26" t="s">
        <v>45</v>
      </c>
      <c r="F223" s="27" t="s">
        <v>45</v>
      </c>
      <c r="G223" s="28" t="s">
        <v>45</v>
      </c>
      <c r="H223" s="29"/>
      <c r="I223" s="29" t="s">
        <v>46</v>
      </c>
      <c r="J223" s="30">
        <v>10</v>
      </c>
      <c r="K223" s="31">
        <f>557.6</f>
        <v>557.6</v>
      </c>
      <c r="L223" s="32" t="s">
        <v>995</v>
      </c>
      <c r="M223" s="31">
        <f>594.4</f>
        <v>594.4</v>
      </c>
      <c r="N223" s="32" t="s">
        <v>255</v>
      </c>
      <c r="O223" s="31">
        <f>557.3</f>
        <v>557.29999999999995</v>
      </c>
      <c r="P223" s="32" t="s">
        <v>995</v>
      </c>
      <c r="Q223" s="31">
        <f>582.3</f>
        <v>582.29999999999995</v>
      </c>
      <c r="R223" s="32" t="s">
        <v>893</v>
      </c>
      <c r="S223" s="33">
        <f>578.86</f>
        <v>578.86</v>
      </c>
      <c r="T223" s="30">
        <f>472480</f>
        <v>472480</v>
      </c>
      <c r="U223" s="30">
        <f>289000</f>
        <v>289000</v>
      </c>
      <c r="V223" s="30">
        <f>276361483</f>
        <v>276361483</v>
      </c>
      <c r="W223" s="30">
        <f>169801285</f>
        <v>169801285</v>
      </c>
      <c r="X223" s="34">
        <f>20</f>
        <v>20</v>
      </c>
    </row>
    <row r="224" spans="1:24" x14ac:dyDescent="0.15">
      <c r="A224" s="25" t="s">
        <v>1210</v>
      </c>
      <c r="B224" s="25" t="s">
        <v>1029</v>
      </c>
      <c r="C224" s="25" t="s">
        <v>1030</v>
      </c>
      <c r="D224" s="25" t="s">
        <v>1031</v>
      </c>
      <c r="E224" s="26" t="s">
        <v>45</v>
      </c>
      <c r="F224" s="27" t="s">
        <v>45</v>
      </c>
      <c r="G224" s="28" t="s">
        <v>45</v>
      </c>
      <c r="H224" s="29"/>
      <c r="I224" s="29" t="s">
        <v>46</v>
      </c>
      <c r="J224" s="30">
        <v>10</v>
      </c>
      <c r="K224" s="31">
        <f>482.8</f>
        <v>482.8</v>
      </c>
      <c r="L224" s="32" t="s">
        <v>995</v>
      </c>
      <c r="M224" s="31">
        <f>523</f>
        <v>523</v>
      </c>
      <c r="N224" s="32" t="s">
        <v>1001</v>
      </c>
      <c r="O224" s="31">
        <f>474</f>
        <v>474</v>
      </c>
      <c r="P224" s="32" t="s">
        <v>999</v>
      </c>
      <c r="Q224" s="31">
        <f>516.8</f>
        <v>516.79999999999995</v>
      </c>
      <c r="R224" s="32" t="s">
        <v>893</v>
      </c>
      <c r="S224" s="33">
        <f>505.5</f>
        <v>505.5</v>
      </c>
      <c r="T224" s="30">
        <f>2181160</f>
        <v>2181160</v>
      </c>
      <c r="U224" s="30">
        <f>1990020</f>
        <v>1990020</v>
      </c>
      <c r="V224" s="30">
        <f>1097587168</f>
        <v>1097587168</v>
      </c>
      <c r="W224" s="30">
        <f>999598311</f>
        <v>999598311</v>
      </c>
      <c r="X224" s="34">
        <f>20</f>
        <v>20</v>
      </c>
    </row>
    <row r="225" spans="1:24" x14ac:dyDescent="0.15">
      <c r="A225" s="25" t="s">
        <v>1210</v>
      </c>
      <c r="B225" s="25" t="s">
        <v>1071</v>
      </c>
      <c r="C225" s="25" t="s">
        <v>1072</v>
      </c>
      <c r="D225" s="25" t="s">
        <v>1073</v>
      </c>
      <c r="E225" s="26" t="s">
        <v>45</v>
      </c>
      <c r="F225" s="27" t="s">
        <v>45</v>
      </c>
      <c r="G225" s="28" t="s">
        <v>45</v>
      </c>
      <c r="H225" s="29"/>
      <c r="I225" s="29" t="s">
        <v>46</v>
      </c>
      <c r="J225" s="30">
        <v>1</v>
      </c>
      <c r="K225" s="31">
        <f>1158</f>
        <v>1158</v>
      </c>
      <c r="L225" s="32" t="s">
        <v>995</v>
      </c>
      <c r="M225" s="31">
        <f>1354</f>
        <v>1354</v>
      </c>
      <c r="N225" s="32" t="s">
        <v>998</v>
      </c>
      <c r="O225" s="31">
        <f>1158</f>
        <v>1158</v>
      </c>
      <c r="P225" s="32" t="s">
        <v>995</v>
      </c>
      <c r="Q225" s="31">
        <f>1324</f>
        <v>1324</v>
      </c>
      <c r="R225" s="32" t="s">
        <v>893</v>
      </c>
      <c r="S225" s="33">
        <f>1291.2</f>
        <v>1291.2</v>
      </c>
      <c r="T225" s="30">
        <f>4880829</f>
        <v>4880829</v>
      </c>
      <c r="U225" s="30">
        <f>1948700</f>
        <v>1948700</v>
      </c>
      <c r="V225" s="30">
        <f>6331800841</f>
        <v>6331800841</v>
      </c>
      <c r="W225" s="30">
        <f>2481246434</f>
        <v>2481246434</v>
      </c>
      <c r="X225" s="34">
        <f>20</f>
        <v>20</v>
      </c>
    </row>
    <row r="226" spans="1:24" x14ac:dyDescent="0.15">
      <c r="A226" s="25" t="s">
        <v>1210</v>
      </c>
      <c r="B226" s="25" t="s">
        <v>1075</v>
      </c>
      <c r="C226" s="25" t="s">
        <v>1076</v>
      </c>
      <c r="D226" s="25" t="s">
        <v>1077</v>
      </c>
      <c r="E226" s="26" t="s">
        <v>45</v>
      </c>
      <c r="F226" s="27" t="s">
        <v>45</v>
      </c>
      <c r="G226" s="28" t="s">
        <v>45</v>
      </c>
      <c r="H226" s="29"/>
      <c r="I226" s="29" t="s">
        <v>46</v>
      </c>
      <c r="J226" s="30">
        <v>1</v>
      </c>
      <c r="K226" s="31">
        <f>1360</f>
        <v>1360</v>
      </c>
      <c r="L226" s="32" t="s">
        <v>995</v>
      </c>
      <c r="M226" s="31">
        <f>1545</f>
        <v>1545</v>
      </c>
      <c r="N226" s="32" t="s">
        <v>793</v>
      </c>
      <c r="O226" s="31">
        <f>1356</f>
        <v>1356</v>
      </c>
      <c r="P226" s="32" t="s">
        <v>995</v>
      </c>
      <c r="Q226" s="31">
        <f>1542</f>
        <v>1542</v>
      </c>
      <c r="R226" s="32" t="s">
        <v>893</v>
      </c>
      <c r="S226" s="33">
        <f>1488.35</f>
        <v>1488.35</v>
      </c>
      <c r="T226" s="30">
        <f>2088212</f>
        <v>2088212</v>
      </c>
      <c r="U226" s="30">
        <f>696521</f>
        <v>696521</v>
      </c>
      <c r="V226" s="30">
        <f>3113591482</f>
        <v>3113591482</v>
      </c>
      <c r="W226" s="30">
        <f>1025871407</f>
        <v>1025871407</v>
      </c>
      <c r="X226" s="34">
        <f>20</f>
        <v>20</v>
      </c>
    </row>
    <row r="227" spans="1:24" x14ac:dyDescent="0.15">
      <c r="A227" s="25" t="s">
        <v>1210</v>
      </c>
      <c r="B227" s="25" t="s">
        <v>1078</v>
      </c>
      <c r="C227" s="25" t="s">
        <v>1079</v>
      </c>
      <c r="D227" s="25" t="s">
        <v>1080</v>
      </c>
      <c r="E227" s="26" t="s">
        <v>45</v>
      </c>
      <c r="F227" s="27" t="s">
        <v>45</v>
      </c>
      <c r="G227" s="28" t="s">
        <v>45</v>
      </c>
      <c r="H227" s="29"/>
      <c r="I227" s="29" t="s">
        <v>46</v>
      </c>
      <c r="J227" s="30">
        <v>10</v>
      </c>
      <c r="K227" s="31">
        <f>784.8</f>
        <v>784.8</v>
      </c>
      <c r="L227" s="32" t="s">
        <v>995</v>
      </c>
      <c r="M227" s="31">
        <f>842.8</f>
        <v>842.8</v>
      </c>
      <c r="N227" s="32" t="s">
        <v>80</v>
      </c>
      <c r="O227" s="31">
        <f>769.5</f>
        <v>769.5</v>
      </c>
      <c r="P227" s="32" t="s">
        <v>995</v>
      </c>
      <c r="Q227" s="31">
        <f>789.4</f>
        <v>789.4</v>
      </c>
      <c r="R227" s="32" t="s">
        <v>1017</v>
      </c>
      <c r="S227" s="33">
        <f>780.03</f>
        <v>780.03</v>
      </c>
      <c r="T227" s="30">
        <f>7520</f>
        <v>7520</v>
      </c>
      <c r="U227" s="30" t="str">
        <f>"－"</f>
        <v>－</v>
      </c>
      <c r="V227" s="30">
        <f>5860974</f>
        <v>5860974</v>
      </c>
      <c r="W227" s="30" t="str">
        <f>"－"</f>
        <v>－</v>
      </c>
      <c r="X227" s="34">
        <f>16</f>
        <v>16</v>
      </c>
    </row>
    <row r="228" spans="1:24" x14ac:dyDescent="0.15">
      <c r="A228" s="25" t="s">
        <v>1210</v>
      </c>
      <c r="B228" s="25" t="s">
        <v>1082</v>
      </c>
      <c r="C228" s="25" t="s">
        <v>1083</v>
      </c>
      <c r="D228" s="25" t="s">
        <v>1084</v>
      </c>
      <c r="E228" s="26" t="s">
        <v>45</v>
      </c>
      <c r="F228" s="27" t="s">
        <v>45</v>
      </c>
      <c r="G228" s="28" t="s">
        <v>45</v>
      </c>
      <c r="H228" s="29"/>
      <c r="I228" s="29" t="s">
        <v>46</v>
      </c>
      <c r="J228" s="30">
        <v>10</v>
      </c>
      <c r="K228" s="31">
        <f>776.8</f>
        <v>776.8</v>
      </c>
      <c r="L228" s="32" t="s">
        <v>78</v>
      </c>
      <c r="M228" s="31">
        <f>813.9</f>
        <v>813.9</v>
      </c>
      <c r="N228" s="32" t="s">
        <v>1001</v>
      </c>
      <c r="O228" s="31">
        <f>763.4</f>
        <v>763.4</v>
      </c>
      <c r="P228" s="32" t="s">
        <v>56</v>
      </c>
      <c r="Q228" s="31">
        <f>791.7</f>
        <v>791.7</v>
      </c>
      <c r="R228" s="32" t="s">
        <v>893</v>
      </c>
      <c r="S228" s="33">
        <f>783.82</f>
        <v>783.82</v>
      </c>
      <c r="T228" s="30">
        <f>1260</f>
        <v>1260</v>
      </c>
      <c r="U228" s="30" t="str">
        <f>"－"</f>
        <v>－</v>
      </c>
      <c r="V228" s="30">
        <f>985753</f>
        <v>985753</v>
      </c>
      <c r="W228" s="30" t="str">
        <f>"－"</f>
        <v>－</v>
      </c>
      <c r="X228" s="34">
        <f>9</f>
        <v>9</v>
      </c>
    </row>
    <row r="229" spans="1:24" x14ac:dyDescent="0.15">
      <c r="A229" s="25" t="s">
        <v>1210</v>
      </c>
      <c r="B229" s="25" t="s">
        <v>1092</v>
      </c>
      <c r="C229" s="25" t="s">
        <v>1093</v>
      </c>
      <c r="D229" s="25" t="s">
        <v>1094</v>
      </c>
      <c r="E229" s="26" t="s">
        <v>45</v>
      </c>
      <c r="F229" s="27" t="s">
        <v>45</v>
      </c>
      <c r="G229" s="28" t="s">
        <v>45</v>
      </c>
      <c r="H229" s="29"/>
      <c r="I229" s="29" t="s">
        <v>46</v>
      </c>
      <c r="J229" s="30">
        <v>1</v>
      </c>
      <c r="K229" s="31">
        <f>11850</f>
        <v>11850</v>
      </c>
      <c r="L229" s="32" t="s">
        <v>995</v>
      </c>
      <c r="M229" s="31">
        <f>12780</f>
        <v>12780</v>
      </c>
      <c r="N229" s="32" t="s">
        <v>793</v>
      </c>
      <c r="O229" s="31">
        <f>11840</f>
        <v>11840</v>
      </c>
      <c r="P229" s="32" t="s">
        <v>995</v>
      </c>
      <c r="Q229" s="31">
        <f>12570</f>
        <v>12570</v>
      </c>
      <c r="R229" s="32" t="s">
        <v>893</v>
      </c>
      <c r="S229" s="33">
        <f>12477.25</f>
        <v>12477.25</v>
      </c>
      <c r="T229" s="30">
        <f>205514</f>
        <v>205514</v>
      </c>
      <c r="U229" s="30" t="str">
        <f>"－"</f>
        <v>－</v>
      </c>
      <c r="V229" s="30">
        <f>2566171985</f>
        <v>2566171985</v>
      </c>
      <c r="W229" s="30" t="str">
        <f>"－"</f>
        <v>－</v>
      </c>
      <c r="X229" s="34">
        <f>20</f>
        <v>20</v>
      </c>
    </row>
    <row r="230" spans="1:24" x14ac:dyDescent="0.15">
      <c r="A230" s="25" t="s">
        <v>1210</v>
      </c>
      <c r="B230" s="25" t="s">
        <v>1096</v>
      </c>
      <c r="C230" s="25" t="s">
        <v>1097</v>
      </c>
      <c r="D230" s="25" t="s">
        <v>1098</v>
      </c>
      <c r="E230" s="26" t="s">
        <v>45</v>
      </c>
      <c r="F230" s="27" t="s">
        <v>45</v>
      </c>
      <c r="G230" s="28" t="s">
        <v>45</v>
      </c>
      <c r="H230" s="29"/>
      <c r="I230" s="29" t="s">
        <v>46</v>
      </c>
      <c r="J230" s="30">
        <v>1</v>
      </c>
      <c r="K230" s="31">
        <f>34600</f>
        <v>34600</v>
      </c>
      <c r="L230" s="32" t="s">
        <v>999</v>
      </c>
      <c r="M230" s="31">
        <f>37050</f>
        <v>37050</v>
      </c>
      <c r="N230" s="32" t="s">
        <v>793</v>
      </c>
      <c r="O230" s="31">
        <f>34580</f>
        <v>34580</v>
      </c>
      <c r="P230" s="32" t="s">
        <v>999</v>
      </c>
      <c r="Q230" s="31">
        <f>36950</f>
        <v>36950</v>
      </c>
      <c r="R230" s="32" t="s">
        <v>893</v>
      </c>
      <c r="S230" s="33">
        <f>36282.78</f>
        <v>36282.78</v>
      </c>
      <c r="T230" s="30">
        <f>153138</f>
        <v>153138</v>
      </c>
      <c r="U230" s="30">
        <f>128824</f>
        <v>128824</v>
      </c>
      <c r="V230" s="30">
        <f>5421791580</f>
        <v>5421791580</v>
      </c>
      <c r="W230" s="30">
        <f>4564654190</f>
        <v>4564654190</v>
      </c>
      <c r="X230" s="34">
        <f>18</f>
        <v>18</v>
      </c>
    </row>
    <row r="231" spans="1:24" x14ac:dyDescent="0.15">
      <c r="A231" s="25" t="s">
        <v>1210</v>
      </c>
      <c r="B231" s="25" t="s">
        <v>1099</v>
      </c>
      <c r="C231" s="25" t="s">
        <v>1100</v>
      </c>
      <c r="D231" s="25" t="s">
        <v>1101</v>
      </c>
      <c r="E231" s="26" t="s">
        <v>45</v>
      </c>
      <c r="F231" s="27" t="s">
        <v>45</v>
      </c>
      <c r="G231" s="28" t="s">
        <v>45</v>
      </c>
      <c r="H231" s="29"/>
      <c r="I231" s="29" t="s">
        <v>46</v>
      </c>
      <c r="J231" s="30">
        <v>1</v>
      </c>
      <c r="K231" s="31">
        <f>32480</f>
        <v>32480</v>
      </c>
      <c r="L231" s="32" t="s">
        <v>995</v>
      </c>
      <c r="M231" s="31">
        <f>32550</f>
        <v>32550</v>
      </c>
      <c r="N231" s="32" t="s">
        <v>995</v>
      </c>
      <c r="O231" s="31">
        <f>27270</f>
        <v>27270</v>
      </c>
      <c r="P231" s="32" t="s">
        <v>793</v>
      </c>
      <c r="Q231" s="31">
        <f>27460</f>
        <v>27460</v>
      </c>
      <c r="R231" s="32" t="s">
        <v>893</v>
      </c>
      <c r="S231" s="33">
        <f>28874.75</f>
        <v>28874.75</v>
      </c>
      <c r="T231" s="30">
        <f>12465</f>
        <v>12465</v>
      </c>
      <c r="U231" s="30" t="str">
        <f>"－"</f>
        <v>－</v>
      </c>
      <c r="V231" s="30">
        <f>363283095</f>
        <v>363283095</v>
      </c>
      <c r="W231" s="30" t="str">
        <f>"－"</f>
        <v>－</v>
      </c>
      <c r="X231" s="34">
        <f>20</f>
        <v>20</v>
      </c>
    </row>
    <row r="232" spans="1:24" x14ac:dyDescent="0.15">
      <c r="A232" s="25" t="s">
        <v>1210</v>
      </c>
      <c r="B232" s="25" t="s">
        <v>1104</v>
      </c>
      <c r="C232" s="25" t="s">
        <v>1105</v>
      </c>
      <c r="D232" s="25" t="s">
        <v>1106</v>
      </c>
      <c r="E232" s="26" t="s">
        <v>45</v>
      </c>
      <c r="F232" s="27" t="s">
        <v>45</v>
      </c>
      <c r="G232" s="28" t="s">
        <v>45</v>
      </c>
      <c r="H232" s="29"/>
      <c r="I232" s="29" t="s">
        <v>46</v>
      </c>
      <c r="J232" s="30">
        <v>10</v>
      </c>
      <c r="K232" s="31">
        <f>199.5</f>
        <v>199.5</v>
      </c>
      <c r="L232" s="32" t="s">
        <v>995</v>
      </c>
      <c r="M232" s="31">
        <f>215.3</f>
        <v>215.3</v>
      </c>
      <c r="N232" s="32" t="s">
        <v>997</v>
      </c>
      <c r="O232" s="31">
        <f>199.5</f>
        <v>199.5</v>
      </c>
      <c r="P232" s="32" t="s">
        <v>995</v>
      </c>
      <c r="Q232" s="31">
        <f>208.7</f>
        <v>208.7</v>
      </c>
      <c r="R232" s="32" t="s">
        <v>893</v>
      </c>
      <c r="S232" s="33">
        <f>208.15</f>
        <v>208.15</v>
      </c>
      <c r="T232" s="30">
        <f>60670</f>
        <v>60670</v>
      </c>
      <c r="U232" s="30" t="str">
        <f>"－"</f>
        <v>－</v>
      </c>
      <c r="V232" s="30">
        <f>12563407</f>
        <v>12563407</v>
      </c>
      <c r="W232" s="30" t="str">
        <f>"－"</f>
        <v>－</v>
      </c>
      <c r="X232" s="34">
        <f>19</f>
        <v>19</v>
      </c>
    </row>
    <row r="233" spans="1:24" x14ac:dyDescent="0.15">
      <c r="A233" s="25" t="s">
        <v>1210</v>
      </c>
      <c r="B233" s="25" t="s">
        <v>1108</v>
      </c>
      <c r="C233" s="25" t="s">
        <v>1109</v>
      </c>
      <c r="D233" s="25" t="s">
        <v>1110</v>
      </c>
      <c r="E233" s="26" t="s">
        <v>45</v>
      </c>
      <c r="F233" s="27" t="s">
        <v>45</v>
      </c>
      <c r="G233" s="28" t="s">
        <v>45</v>
      </c>
      <c r="H233" s="29"/>
      <c r="I233" s="29" t="s">
        <v>46</v>
      </c>
      <c r="J233" s="30">
        <v>10</v>
      </c>
      <c r="K233" s="31">
        <f>789.5</f>
        <v>789.5</v>
      </c>
      <c r="L233" s="32" t="s">
        <v>995</v>
      </c>
      <c r="M233" s="31">
        <f>794.1</f>
        <v>794.1</v>
      </c>
      <c r="N233" s="32" t="s">
        <v>995</v>
      </c>
      <c r="O233" s="31">
        <f>753.8</f>
        <v>753.8</v>
      </c>
      <c r="P233" s="32" t="s">
        <v>893</v>
      </c>
      <c r="Q233" s="31">
        <f>761.1</f>
        <v>761.1</v>
      </c>
      <c r="R233" s="32" t="s">
        <v>893</v>
      </c>
      <c r="S233" s="33">
        <f>774.36</f>
        <v>774.36</v>
      </c>
      <c r="T233" s="30">
        <f>15966900</f>
        <v>15966900</v>
      </c>
      <c r="U233" s="30">
        <f>15485670</f>
        <v>15485670</v>
      </c>
      <c r="V233" s="30">
        <f>12458886430</f>
        <v>12458886430</v>
      </c>
      <c r="W233" s="30">
        <f>12087071107</f>
        <v>12087071107</v>
      </c>
      <c r="X233" s="34">
        <f>20</f>
        <v>20</v>
      </c>
    </row>
    <row r="234" spans="1:24" x14ac:dyDescent="0.15">
      <c r="A234" s="25" t="s">
        <v>1210</v>
      </c>
      <c r="B234" s="25" t="s">
        <v>1129</v>
      </c>
      <c r="C234" s="25" t="s">
        <v>1130</v>
      </c>
      <c r="D234" s="25" t="s">
        <v>1131</v>
      </c>
      <c r="E234" s="26" t="s">
        <v>45</v>
      </c>
      <c r="F234" s="27" t="s">
        <v>45</v>
      </c>
      <c r="G234" s="28" t="s">
        <v>45</v>
      </c>
      <c r="H234" s="29"/>
      <c r="I234" s="29" t="s">
        <v>46</v>
      </c>
      <c r="J234" s="30">
        <v>1</v>
      </c>
      <c r="K234" s="31">
        <f>922</f>
        <v>922</v>
      </c>
      <c r="L234" s="32" t="s">
        <v>995</v>
      </c>
      <c r="M234" s="31">
        <f>1000</f>
        <v>1000</v>
      </c>
      <c r="N234" s="32" t="s">
        <v>255</v>
      </c>
      <c r="O234" s="31">
        <f>919</f>
        <v>919</v>
      </c>
      <c r="P234" s="32" t="s">
        <v>999</v>
      </c>
      <c r="Q234" s="31">
        <f>982</f>
        <v>982</v>
      </c>
      <c r="R234" s="32" t="s">
        <v>893</v>
      </c>
      <c r="S234" s="33">
        <f>965.9</f>
        <v>965.9</v>
      </c>
      <c r="T234" s="30">
        <f>707868</f>
        <v>707868</v>
      </c>
      <c r="U234" s="30" t="str">
        <f>"－"</f>
        <v>－</v>
      </c>
      <c r="V234" s="30">
        <f>670850005</f>
        <v>670850005</v>
      </c>
      <c r="W234" s="30" t="str">
        <f>"－"</f>
        <v>－</v>
      </c>
      <c r="X234" s="34">
        <f>20</f>
        <v>20</v>
      </c>
    </row>
    <row r="235" spans="1:24" x14ac:dyDescent="0.15">
      <c r="A235" s="25" t="s">
        <v>1210</v>
      </c>
      <c r="B235" s="25" t="s">
        <v>1133</v>
      </c>
      <c r="C235" s="25" t="s">
        <v>1134</v>
      </c>
      <c r="D235" s="25" t="s">
        <v>1135</v>
      </c>
      <c r="E235" s="26" t="s">
        <v>45</v>
      </c>
      <c r="F235" s="27" t="s">
        <v>45</v>
      </c>
      <c r="G235" s="28" t="s">
        <v>45</v>
      </c>
      <c r="H235" s="29"/>
      <c r="I235" s="29" t="s">
        <v>46</v>
      </c>
      <c r="J235" s="30">
        <v>1</v>
      </c>
      <c r="K235" s="31">
        <f>1009</f>
        <v>1009</v>
      </c>
      <c r="L235" s="32" t="s">
        <v>995</v>
      </c>
      <c r="M235" s="31">
        <f>1062</f>
        <v>1062</v>
      </c>
      <c r="N235" s="32" t="s">
        <v>876</v>
      </c>
      <c r="O235" s="31">
        <f>1007</f>
        <v>1007</v>
      </c>
      <c r="P235" s="32" t="s">
        <v>995</v>
      </c>
      <c r="Q235" s="31">
        <f>1028</f>
        <v>1028</v>
      </c>
      <c r="R235" s="32" t="s">
        <v>893</v>
      </c>
      <c r="S235" s="33">
        <f>1033.85</f>
        <v>1033.8499999999999</v>
      </c>
      <c r="T235" s="30">
        <f>84219</f>
        <v>84219</v>
      </c>
      <c r="U235" s="30" t="str">
        <f>"－"</f>
        <v>－</v>
      </c>
      <c r="V235" s="30">
        <f>87391341</f>
        <v>87391341</v>
      </c>
      <c r="W235" s="30" t="str">
        <f>"－"</f>
        <v>－</v>
      </c>
      <c r="X235" s="34">
        <f>20</f>
        <v>20</v>
      </c>
    </row>
    <row r="236" spans="1:24" x14ac:dyDescent="0.15">
      <c r="A236" s="25" t="s">
        <v>1210</v>
      </c>
      <c r="B236" s="25" t="s">
        <v>1136</v>
      </c>
      <c r="C236" s="25" t="s">
        <v>1137</v>
      </c>
      <c r="D236" s="25" t="s">
        <v>1138</v>
      </c>
      <c r="E236" s="26" t="s">
        <v>45</v>
      </c>
      <c r="F236" s="27" t="s">
        <v>45</v>
      </c>
      <c r="G236" s="28" t="s">
        <v>45</v>
      </c>
      <c r="H236" s="29"/>
      <c r="I236" s="29" t="s">
        <v>46</v>
      </c>
      <c r="J236" s="30">
        <v>1</v>
      </c>
      <c r="K236" s="31">
        <f>875</f>
        <v>875</v>
      </c>
      <c r="L236" s="32" t="s">
        <v>995</v>
      </c>
      <c r="M236" s="31">
        <f>893</f>
        <v>893</v>
      </c>
      <c r="N236" s="32" t="s">
        <v>876</v>
      </c>
      <c r="O236" s="31">
        <f>805</f>
        <v>805</v>
      </c>
      <c r="P236" s="32" t="s">
        <v>893</v>
      </c>
      <c r="Q236" s="31">
        <f>805</f>
        <v>805</v>
      </c>
      <c r="R236" s="32" t="s">
        <v>893</v>
      </c>
      <c r="S236" s="33">
        <f>858.25</f>
        <v>858.25</v>
      </c>
      <c r="T236" s="30">
        <f>403607</f>
        <v>403607</v>
      </c>
      <c r="U236" s="30" t="str">
        <f>"－"</f>
        <v>－</v>
      </c>
      <c r="V236" s="30">
        <f>344616503</f>
        <v>344616503</v>
      </c>
      <c r="W236" s="30" t="str">
        <f>"－"</f>
        <v>－</v>
      </c>
      <c r="X236" s="34">
        <f>20</f>
        <v>20</v>
      </c>
    </row>
    <row r="237" spans="1:24" x14ac:dyDescent="0.15">
      <c r="A237" s="25" t="s">
        <v>1210</v>
      </c>
      <c r="B237" s="25" t="s">
        <v>1219</v>
      </c>
      <c r="C237" s="25" t="s">
        <v>1220</v>
      </c>
      <c r="D237" s="25" t="s">
        <v>1221</v>
      </c>
      <c r="E237" s="26" t="s">
        <v>782</v>
      </c>
      <c r="F237" s="27" t="s">
        <v>783</v>
      </c>
      <c r="G237" s="28" t="s">
        <v>1222</v>
      </c>
      <c r="H237" s="29"/>
      <c r="I237" s="29" t="s">
        <v>46</v>
      </c>
      <c r="J237" s="30">
        <v>10</v>
      </c>
      <c r="K237" s="31">
        <f>210</f>
        <v>210</v>
      </c>
      <c r="L237" s="32" t="s">
        <v>997</v>
      </c>
      <c r="M237" s="31">
        <f>214.9</f>
        <v>214.9</v>
      </c>
      <c r="N237" s="32" t="s">
        <v>893</v>
      </c>
      <c r="O237" s="31">
        <f>201</f>
        <v>201</v>
      </c>
      <c r="P237" s="32" t="s">
        <v>1017</v>
      </c>
      <c r="Q237" s="31">
        <f>202.8</f>
        <v>202.8</v>
      </c>
      <c r="R237" s="32" t="s">
        <v>893</v>
      </c>
      <c r="S237" s="33">
        <f>202.57</f>
        <v>202.57</v>
      </c>
      <c r="T237" s="30">
        <f>5785870</f>
        <v>5785870</v>
      </c>
      <c r="U237" s="30" t="str">
        <f>"－"</f>
        <v>－</v>
      </c>
      <c r="V237" s="30">
        <f>1173516556</f>
        <v>1173516556</v>
      </c>
      <c r="W237" s="30" t="str">
        <f>"－"</f>
        <v>－</v>
      </c>
      <c r="X237" s="34">
        <f>3</f>
        <v>3</v>
      </c>
    </row>
    <row r="238" spans="1:24" x14ac:dyDescent="0.15">
      <c r="A238" s="25" t="s">
        <v>1210</v>
      </c>
      <c r="B238" s="25" t="s">
        <v>1223</v>
      </c>
      <c r="C238" s="25" t="s">
        <v>1224</v>
      </c>
      <c r="D238" s="25" t="s">
        <v>1225</v>
      </c>
      <c r="E238" s="26" t="s">
        <v>782</v>
      </c>
      <c r="F238" s="27" t="s">
        <v>783</v>
      </c>
      <c r="G238" s="28" t="s">
        <v>1222</v>
      </c>
      <c r="H238" s="29"/>
      <c r="I238" s="29" t="s">
        <v>46</v>
      </c>
      <c r="J238" s="30">
        <v>10</v>
      </c>
      <c r="K238" s="31">
        <f>201.9</f>
        <v>201.9</v>
      </c>
      <c r="L238" s="32" t="s">
        <v>997</v>
      </c>
      <c r="M238" s="31">
        <f>216.6</f>
        <v>216.6</v>
      </c>
      <c r="N238" s="32" t="s">
        <v>997</v>
      </c>
      <c r="O238" s="31">
        <f>198.7</f>
        <v>198.7</v>
      </c>
      <c r="P238" s="32" t="s">
        <v>1017</v>
      </c>
      <c r="Q238" s="31">
        <f>199.8</f>
        <v>199.8</v>
      </c>
      <c r="R238" s="32" t="s">
        <v>893</v>
      </c>
      <c r="S238" s="33">
        <f>199.5</f>
        <v>199.5</v>
      </c>
      <c r="T238" s="30">
        <f>329540</f>
        <v>329540</v>
      </c>
      <c r="U238" s="30" t="str">
        <f>"－"</f>
        <v>－</v>
      </c>
      <c r="V238" s="30">
        <f>65752333</f>
        <v>65752333</v>
      </c>
      <c r="W238" s="30" t="str">
        <f>"－"</f>
        <v>－</v>
      </c>
      <c r="X238" s="34">
        <f>3</f>
        <v>3</v>
      </c>
    </row>
    <row r="239" spans="1:24" x14ac:dyDescent="0.15">
      <c r="A239" s="25" t="s">
        <v>1210</v>
      </c>
      <c r="B239" s="25" t="s">
        <v>1226</v>
      </c>
      <c r="C239" s="25" t="s">
        <v>1227</v>
      </c>
      <c r="D239" s="25" t="s">
        <v>1228</v>
      </c>
      <c r="E239" s="26" t="s">
        <v>782</v>
      </c>
      <c r="F239" s="27" t="s">
        <v>783</v>
      </c>
      <c r="G239" s="28" t="s">
        <v>1222</v>
      </c>
      <c r="H239" s="29"/>
      <c r="I239" s="29" t="s">
        <v>46</v>
      </c>
      <c r="J239" s="30">
        <v>10</v>
      </c>
      <c r="K239" s="31">
        <f>202.1</f>
        <v>202.1</v>
      </c>
      <c r="L239" s="32" t="s">
        <v>997</v>
      </c>
      <c r="M239" s="31">
        <f>210.1</f>
        <v>210.1</v>
      </c>
      <c r="N239" s="32" t="s">
        <v>997</v>
      </c>
      <c r="O239" s="31">
        <f>198.6</f>
        <v>198.6</v>
      </c>
      <c r="P239" s="32" t="s">
        <v>1017</v>
      </c>
      <c r="Q239" s="31">
        <f>200.7</f>
        <v>200.7</v>
      </c>
      <c r="R239" s="32" t="s">
        <v>893</v>
      </c>
      <c r="S239" s="33">
        <f>199.67</f>
        <v>199.67</v>
      </c>
      <c r="T239" s="30">
        <f>149590</f>
        <v>149590</v>
      </c>
      <c r="U239" s="30">
        <f>70</f>
        <v>70</v>
      </c>
      <c r="V239" s="30">
        <f>29947875</f>
        <v>29947875</v>
      </c>
      <c r="W239" s="30">
        <f>12950</f>
        <v>12950</v>
      </c>
      <c r="X239" s="34">
        <f>3</f>
        <v>3</v>
      </c>
    </row>
    <row r="240" spans="1:24" x14ac:dyDescent="0.15">
      <c r="A240" s="25" t="s">
        <v>1210</v>
      </c>
      <c r="B240" s="25" t="s">
        <v>1229</v>
      </c>
      <c r="C240" s="25" t="s">
        <v>1230</v>
      </c>
      <c r="D240" s="25" t="s">
        <v>1231</v>
      </c>
      <c r="E240" s="26" t="s">
        <v>782</v>
      </c>
      <c r="F240" s="27" t="s">
        <v>783</v>
      </c>
      <c r="G240" s="28" t="s">
        <v>1222</v>
      </c>
      <c r="H240" s="29"/>
      <c r="I240" s="29" t="s">
        <v>46</v>
      </c>
      <c r="J240" s="30">
        <v>10</v>
      </c>
      <c r="K240" s="31">
        <f>205</f>
        <v>205</v>
      </c>
      <c r="L240" s="32" t="s">
        <v>997</v>
      </c>
      <c r="M240" s="31">
        <f>248.7</f>
        <v>248.7</v>
      </c>
      <c r="N240" s="32" t="s">
        <v>893</v>
      </c>
      <c r="O240" s="31">
        <f>197.8</f>
        <v>197.8</v>
      </c>
      <c r="P240" s="32" t="s">
        <v>1017</v>
      </c>
      <c r="Q240" s="31">
        <f>200</f>
        <v>200</v>
      </c>
      <c r="R240" s="32" t="s">
        <v>893</v>
      </c>
      <c r="S240" s="33">
        <f>199.2</f>
        <v>199.2</v>
      </c>
      <c r="T240" s="30">
        <f>144810</f>
        <v>144810</v>
      </c>
      <c r="U240" s="30">
        <f>100</f>
        <v>100</v>
      </c>
      <c r="V240" s="30">
        <f>29569947</f>
        <v>29569947</v>
      </c>
      <c r="W240" s="30">
        <f>18410</f>
        <v>18410</v>
      </c>
      <c r="X240" s="34">
        <f>3</f>
        <v>3</v>
      </c>
    </row>
    <row r="241" spans="1:24" x14ac:dyDescent="0.15">
      <c r="A241" s="25" t="s">
        <v>1210</v>
      </c>
      <c r="B241" s="25" t="s">
        <v>1232</v>
      </c>
      <c r="C241" s="25" t="s">
        <v>1233</v>
      </c>
      <c r="D241" s="25" t="s">
        <v>1234</v>
      </c>
      <c r="E241" s="26" t="s">
        <v>782</v>
      </c>
      <c r="F241" s="27" t="s">
        <v>783</v>
      </c>
      <c r="G241" s="28" t="s">
        <v>1222</v>
      </c>
      <c r="H241" s="29"/>
      <c r="I241" s="29" t="s">
        <v>46</v>
      </c>
      <c r="J241" s="30">
        <v>10</v>
      </c>
      <c r="K241" s="31">
        <f>216</f>
        <v>216</v>
      </c>
      <c r="L241" s="32" t="s">
        <v>997</v>
      </c>
      <c r="M241" s="31">
        <f>282.9</f>
        <v>282.89999999999998</v>
      </c>
      <c r="N241" s="32" t="s">
        <v>893</v>
      </c>
      <c r="O241" s="31">
        <f>201.2</f>
        <v>201.2</v>
      </c>
      <c r="P241" s="32" t="s">
        <v>997</v>
      </c>
      <c r="Q241" s="31">
        <f>203.4</f>
        <v>203.4</v>
      </c>
      <c r="R241" s="32" t="s">
        <v>893</v>
      </c>
      <c r="S241" s="33">
        <f>202.53</f>
        <v>202.53</v>
      </c>
      <c r="T241" s="30">
        <f>10740</f>
        <v>10740</v>
      </c>
      <c r="U241" s="30" t="str">
        <f>"－"</f>
        <v>－</v>
      </c>
      <c r="V241" s="30">
        <f>2216834</f>
        <v>2216834</v>
      </c>
      <c r="W241" s="30" t="str">
        <f>"－"</f>
        <v>－</v>
      </c>
      <c r="X241" s="34">
        <f>3</f>
        <v>3</v>
      </c>
    </row>
    <row r="242" spans="1:24" x14ac:dyDescent="0.15">
      <c r="A242" s="25" t="s">
        <v>1210</v>
      </c>
      <c r="B242" s="25" t="s">
        <v>643</v>
      </c>
      <c r="C242" s="25" t="s">
        <v>644</v>
      </c>
      <c r="D242" s="25" t="s">
        <v>645</v>
      </c>
      <c r="E242" s="26" t="s">
        <v>45</v>
      </c>
      <c r="F242" s="27" t="s">
        <v>45</v>
      </c>
      <c r="G242" s="28" t="s">
        <v>45</v>
      </c>
      <c r="H242" s="29"/>
      <c r="I242" s="29" t="s">
        <v>46</v>
      </c>
      <c r="J242" s="30">
        <v>10</v>
      </c>
      <c r="K242" s="31">
        <f>911.3</f>
        <v>911.3</v>
      </c>
      <c r="L242" s="32" t="s">
        <v>995</v>
      </c>
      <c r="M242" s="31">
        <f>933.3</f>
        <v>933.3</v>
      </c>
      <c r="N242" s="32" t="s">
        <v>893</v>
      </c>
      <c r="O242" s="31">
        <f>908.2</f>
        <v>908.2</v>
      </c>
      <c r="P242" s="32" t="s">
        <v>995</v>
      </c>
      <c r="Q242" s="31">
        <f>927.6</f>
        <v>927.6</v>
      </c>
      <c r="R242" s="32" t="s">
        <v>893</v>
      </c>
      <c r="S242" s="33">
        <f>922.35</f>
        <v>922.35</v>
      </c>
      <c r="T242" s="30">
        <f>71350650</f>
        <v>71350650</v>
      </c>
      <c r="U242" s="30">
        <f>69377450</f>
        <v>69377450</v>
      </c>
      <c r="V242" s="30">
        <f>65496022051</f>
        <v>65496022051</v>
      </c>
      <c r="W242" s="30">
        <f>63676939926</f>
        <v>63676939926</v>
      </c>
      <c r="X242" s="34">
        <f>20</f>
        <v>20</v>
      </c>
    </row>
    <row r="243" spans="1:24" x14ac:dyDescent="0.15">
      <c r="A243" s="25" t="s">
        <v>1210</v>
      </c>
      <c r="B243" s="25" t="s">
        <v>646</v>
      </c>
      <c r="C243" s="25" t="s">
        <v>647</v>
      </c>
      <c r="D243" s="25" t="s">
        <v>648</v>
      </c>
      <c r="E243" s="26" t="s">
        <v>45</v>
      </c>
      <c r="F243" s="27" t="s">
        <v>45</v>
      </c>
      <c r="G243" s="28" t="s">
        <v>45</v>
      </c>
      <c r="H243" s="29"/>
      <c r="I243" s="29" t="s">
        <v>46</v>
      </c>
      <c r="J243" s="30">
        <v>10</v>
      </c>
      <c r="K243" s="31">
        <f>1024.5</f>
        <v>1024.5</v>
      </c>
      <c r="L243" s="32" t="s">
        <v>995</v>
      </c>
      <c r="M243" s="31">
        <f>1061</f>
        <v>1061</v>
      </c>
      <c r="N243" s="32" t="s">
        <v>1002</v>
      </c>
      <c r="O243" s="31">
        <f>1022.5</f>
        <v>1022.5</v>
      </c>
      <c r="P243" s="32" t="s">
        <v>995</v>
      </c>
      <c r="Q243" s="31">
        <f>1051.5</f>
        <v>1051.5</v>
      </c>
      <c r="R243" s="32" t="s">
        <v>893</v>
      </c>
      <c r="S243" s="33">
        <f>1046.98</f>
        <v>1046.98</v>
      </c>
      <c r="T243" s="30">
        <f>1018360</f>
        <v>1018360</v>
      </c>
      <c r="U243" s="30">
        <f>310330</f>
        <v>310330</v>
      </c>
      <c r="V243" s="30">
        <f>1065259949</f>
        <v>1065259949</v>
      </c>
      <c r="W243" s="30">
        <f>323105924</f>
        <v>323105924</v>
      </c>
      <c r="X243" s="34">
        <f>20</f>
        <v>20</v>
      </c>
    </row>
    <row r="244" spans="1:24" x14ac:dyDescent="0.15">
      <c r="A244" s="25" t="s">
        <v>1210</v>
      </c>
      <c r="B244" s="25" t="s">
        <v>649</v>
      </c>
      <c r="C244" s="25" t="s">
        <v>650</v>
      </c>
      <c r="D244" s="25" t="s">
        <v>651</v>
      </c>
      <c r="E244" s="26" t="s">
        <v>45</v>
      </c>
      <c r="F244" s="27" t="s">
        <v>45</v>
      </c>
      <c r="G244" s="28" t="s">
        <v>45</v>
      </c>
      <c r="H244" s="29"/>
      <c r="I244" s="29" t="s">
        <v>46</v>
      </c>
      <c r="J244" s="30">
        <v>10</v>
      </c>
      <c r="K244" s="31">
        <f>772.9</f>
        <v>772.9</v>
      </c>
      <c r="L244" s="32" t="s">
        <v>995</v>
      </c>
      <c r="M244" s="31">
        <f>796.9</f>
        <v>796.9</v>
      </c>
      <c r="N244" s="32" t="s">
        <v>1017</v>
      </c>
      <c r="O244" s="31">
        <f>769.9</f>
        <v>769.9</v>
      </c>
      <c r="P244" s="32" t="s">
        <v>995</v>
      </c>
      <c r="Q244" s="31">
        <f>793.5</f>
        <v>793.5</v>
      </c>
      <c r="R244" s="32" t="s">
        <v>893</v>
      </c>
      <c r="S244" s="33">
        <f>784.22</f>
        <v>784.22</v>
      </c>
      <c r="T244" s="30">
        <f>3086640</f>
        <v>3086640</v>
      </c>
      <c r="U244" s="30">
        <f>2642690</f>
        <v>2642690</v>
      </c>
      <c r="V244" s="30">
        <f>2428810711</f>
        <v>2428810711</v>
      </c>
      <c r="W244" s="30">
        <f>2080484257</f>
        <v>2080484257</v>
      </c>
      <c r="X244" s="34">
        <f>20</f>
        <v>20</v>
      </c>
    </row>
    <row r="245" spans="1:24" x14ac:dyDescent="0.15">
      <c r="A245" s="25" t="s">
        <v>1210</v>
      </c>
      <c r="B245" s="25" t="s">
        <v>652</v>
      </c>
      <c r="C245" s="25" t="s">
        <v>653</v>
      </c>
      <c r="D245" s="25" t="s">
        <v>654</v>
      </c>
      <c r="E245" s="26" t="s">
        <v>45</v>
      </c>
      <c r="F245" s="27" t="s">
        <v>45</v>
      </c>
      <c r="G245" s="28" t="s">
        <v>45</v>
      </c>
      <c r="H245" s="29"/>
      <c r="I245" s="29" t="s">
        <v>46</v>
      </c>
      <c r="J245" s="30">
        <v>10</v>
      </c>
      <c r="K245" s="31">
        <f>1908</f>
        <v>1908</v>
      </c>
      <c r="L245" s="32" t="s">
        <v>995</v>
      </c>
      <c r="M245" s="31">
        <f>2057.5</f>
        <v>2057.5</v>
      </c>
      <c r="N245" s="32" t="s">
        <v>793</v>
      </c>
      <c r="O245" s="31">
        <f>1905</f>
        <v>1905</v>
      </c>
      <c r="P245" s="32" t="s">
        <v>995</v>
      </c>
      <c r="Q245" s="31">
        <f>2028.5</f>
        <v>2028.5</v>
      </c>
      <c r="R245" s="32" t="s">
        <v>893</v>
      </c>
      <c r="S245" s="33">
        <f>2007.08</f>
        <v>2007.08</v>
      </c>
      <c r="T245" s="30">
        <f>1439010</f>
        <v>1439010</v>
      </c>
      <c r="U245" s="30">
        <f>1152180</f>
        <v>1152180</v>
      </c>
      <c r="V245" s="30">
        <f>2833360279</f>
        <v>2833360279</v>
      </c>
      <c r="W245" s="30">
        <f>2255368859</f>
        <v>2255368859</v>
      </c>
      <c r="X245" s="34">
        <f>20</f>
        <v>20</v>
      </c>
    </row>
    <row r="246" spans="1:24" x14ac:dyDescent="0.15">
      <c r="A246" s="25" t="s">
        <v>1210</v>
      </c>
      <c r="B246" s="25" t="s">
        <v>655</v>
      </c>
      <c r="C246" s="25" t="s">
        <v>656</v>
      </c>
      <c r="D246" s="25" t="s">
        <v>657</v>
      </c>
      <c r="E246" s="26" t="s">
        <v>45</v>
      </c>
      <c r="F246" s="27" t="s">
        <v>45</v>
      </c>
      <c r="G246" s="28" t="s">
        <v>45</v>
      </c>
      <c r="H246" s="29"/>
      <c r="I246" s="29" t="s">
        <v>46</v>
      </c>
      <c r="J246" s="30">
        <v>10</v>
      </c>
      <c r="K246" s="31">
        <f>1298.5</f>
        <v>1298.5</v>
      </c>
      <c r="L246" s="32" t="s">
        <v>995</v>
      </c>
      <c r="M246" s="31">
        <f>1404</f>
        <v>1404</v>
      </c>
      <c r="N246" s="32" t="s">
        <v>793</v>
      </c>
      <c r="O246" s="31">
        <f>1298.5</f>
        <v>1298.5</v>
      </c>
      <c r="P246" s="32" t="s">
        <v>995</v>
      </c>
      <c r="Q246" s="31">
        <f>1402.5</f>
        <v>1402.5</v>
      </c>
      <c r="R246" s="32" t="s">
        <v>893</v>
      </c>
      <c r="S246" s="33">
        <f>1372.1</f>
        <v>1372.1</v>
      </c>
      <c r="T246" s="30">
        <f>466860</f>
        <v>466860</v>
      </c>
      <c r="U246" s="30">
        <f>378500</f>
        <v>378500</v>
      </c>
      <c r="V246" s="30">
        <f>631795205</f>
        <v>631795205</v>
      </c>
      <c r="W246" s="30">
        <f>510520800</f>
        <v>510520800</v>
      </c>
      <c r="X246" s="34">
        <f>20</f>
        <v>20</v>
      </c>
    </row>
    <row r="247" spans="1:24" x14ac:dyDescent="0.15">
      <c r="A247" s="25" t="s">
        <v>1210</v>
      </c>
      <c r="B247" s="25" t="s">
        <v>658</v>
      </c>
      <c r="C247" s="25" t="s">
        <v>659</v>
      </c>
      <c r="D247" s="25" t="s">
        <v>660</v>
      </c>
      <c r="E247" s="26" t="s">
        <v>45</v>
      </c>
      <c r="F247" s="27" t="s">
        <v>45</v>
      </c>
      <c r="G247" s="28" t="s">
        <v>45</v>
      </c>
      <c r="H247" s="29"/>
      <c r="I247" s="29" t="s">
        <v>46</v>
      </c>
      <c r="J247" s="30">
        <v>10</v>
      </c>
      <c r="K247" s="31">
        <f>1137</f>
        <v>1137</v>
      </c>
      <c r="L247" s="32" t="s">
        <v>995</v>
      </c>
      <c r="M247" s="31">
        <f>1235</f>
        <v>1235</v>
      </c>
      <c r="N247" s="32" t="s">
        <v>1002</v>
      </c>
      <c r="O247" s="31">
        <f>1131.5</f>
        <v>1131.5</v>
      </c>
      <c r="P247" s="32" t="s">
        <v>995</v>
      </c>
      <c r="Q247" s="31">
        <f>1220</f>
        <v>1220</v>
      </c>
      <c r="R247" s="32" t="s">
        <v>893</v>
      </c>
      <c r="S247" s="33">
        <f>1199.48</f>
        <v>1199.48</v>
      </c>
      <c r="T247" s="30">
        <f>361930</f>
        <v>361930</v>
      </c>
      <c r="U247" s="30">
        <f>62090</f>
        <v>62090</v>
      </c>
      <c r="V247" s="30">
        <f>434063401</f>
        <v>434063401</v>
      </c>
      <c r="W247" s="30">
        <f>74874331</f>
        <v>74874331</v>
      </c>
      <c r="X247" s="34">
        <f>20</f>
        <v>20</v>
      </c>
    </row>
    <row r="248" spans="1:24" x14ac:dyDescent="0.15">
      <c r="A248" s="25" t="s">
        <v>1210</v>
      </c>
      <c r="B248" s="25" t="s">
        <v>661</v>
      </c>
      <c r="C248" s="25" t="s">
        <v>1235</v>
      </c>
      <c r="D248" s="25" t="s">
        <v>1236</v>
      </c>
      <c r="E248" s="26" t="s">
        <v>45</v>
      </c>
      <c r="F248" s="27" t="s">
        <v>45</v>
      </c>
      <c r="G248" s="28" t="s">
        <v>45</v>
      </c>
      <c r="H248" s="29"/>
      <c r="I248" s="29" t="s">
        <v>46</v>
      </c>
      <c r="J248" s="30">
        <v>10</v>
      </c>
      <c r="K248" s="31">
        <f>511.7</f>
        <v>511.7</v>
      </c>
      <c r="L248" s="32" t="s">
        <v>995</v>
      </c>
      <c r="M248" s="31">
        <f>564.8</f>
        <v>564.79999999999995</v>
      </c>
      <c r="N248" s="32" t="s">
        <v>998</v>
      </c>
      <c r="O248" s="31">
        <f>496</f>
        <v>496</v>
      </c>
      <c r="P248" s="32" t="s">
        <v>995</v>
      </c>
      <c r="Q248" s="31">
        <f>555.6</f>
        <v>555.6</v>
      </c>
      <c r="R248" s="32" t="s">
        <v>893</v>
      </c>
      <c r="S248" s="33">
        <f>540.96</f>
        <v>540.96</v>
      </c>
      <c r="T248" s="30">
        <f>49458580</f>
        <v>49458580</v>
      </c>
      <c r="U248" s="30">
        <f>2254170</f>
        <v>2254170</v>
      </c>
      <c r="V248" s="30">
        <f>26662487324</f>
        <v>26662487324</v>
      </c>
      <c r="W248" s="30">
        <f>1211139851</f>
        <v>1211139851</v>
      </c>
      <c r="X248" s="34">
        <f>20</f>
        <v>20</v>
      </c>
    </row>
    <row r="249" spans="1:24" x14ac:dyDescent="0.15">
      <c r="A249" s="25" t="s">
        <v>1210</v>
      </c>
      <c r="B249" s="25" t="s">
        <v>664</v>
      </c>
      <c r="C249" s="25" t="s">
        <v>665</v>
      </c>
      <c r="D249" s="25" t="s">
        <v>666</v>
      </c>
      <c r="E249" s="26" t="s">
        <v>45</v>
      </c>
      <c r="F249" s="27" t="s">
        <v>45</v>
      </c>
      <c r="G249" s="28" t="s">
        <v>45</v>
      </c>
      <c r="H249" s="29"/>
      <c r="I249" s="29" t="s">
        <v>46</v>
      </c>
      <c r="J249" s="30">
        <v>10</v>
      </c>
      <c r="K249" s="31">
        <f>1101</f>
        <v>1101</v>
      </c>
      <c r="L249" s="32" t="s">
        <v>995</v>
      </c>
      <c r="M249" s="31">
        <f>1129</f>
        <v>1129</v>
      </c>
      <c r="N249" s="32" t="s">
        <v>999</v>
      </c>
      <c r="O249" s="31">
        <f>1077.5</f>
        <v>1077.5</v>
      </c>
      <c r="P249" s="32" t="s">
        <v>1004</v>
      </c>
      <c r="Q249" s="31">
        <f>1102</f>
        <v>1102</v>
      </c>
      <c r="R249" s="32" t="s">
        <v>893</v>
      </c>
      <c r="S249" s="33">
        <f>1098.28</f>
        <v>1098.28</v>
      </c>
      <c r="T249" s="30">
        <f>1082350</f>
        <v>1082350</v>
      </c>
      <c r="U249" s="30">
        <f>400000</f>
        <v>400000</v>
      </c>
      <c r="V249" s="30">
        <f>1193017530</f>
        <v>1193017530</v>
      </c>
      <c r="W249" s="30">
        <f>440520000</f>
        <v>440520000</v>
      </c>
      <c r="X249" s="34">
        <f>20</f>
        <v>20</v>
      </c>
    </row>
    <row r="250" spans="1:24" x14ac:dyDescent="0.15">
      <c r="A250" s="25" t="s">
        <v>1210</v>
      </c>
      <c r="B250" s="25" t="s">
        <v>667</v>
      </c>
      <c r="C250" s="25" t="s">
        <v>668</v>
      </c>
      <c r="D250" s="25" t="s">
        <v>669</v>
      </c>
      <c r="E250" s="26" t="s">
        <v>45</v>
      </c>
      <c r="F250" s="27" t="s">
        <v>45</v>
      </c>
      <c r="G250" s="28" t="s">
        <v>45</v>
      </c>
      <c r="H250" s="29"/>
      <c r="I250" s="29" t="s">
        <v>46</v>
      </c>
      <c r="J250" s="30">
        <v>1</v>
      </c>
      <c r="K250" s="31">
        <f>1250</f>
        <v>1250</v>
      </c>
      <c r="L250" s="32" t="s">
        <v>995</v>
      </c>
      <c r="M250" s="31">
        <f>1325</f>
        <v>1325</v>
      </c>
      <c r="N250" s="32" t="s">
        <v>998</v>
      </c>
      <c r="O250" s="31">
        <f>1244</f>
        <v>1244</v>
      </c>
      <c r="P250" s="32" t="s">
        <v>995</v>
      </c>
      <c r="Q250" s="31">
        <f>1305</f>
        <v>1305</v>
      </c>
      <c r="R250" s="32" t="s">
        <v>893</v>
      </c>
      <c r="S250" s="33">
        <f>1289.15</f>
        <v>1289.1500000000001</v>
      </c>
      <c r="T250" s="30">
        <f>287321</f>
        <v>287321</v>
      </c>
      <c r="U250" s="30">
        <f>25004</f>
        <v>25004</v>
      </c>
      <c r="V250" s="30">
        <f>365493753</f>
        <v>365493753</v>
      </c>
      <c r="W250" s="30">
        <f>32787698</f>
        <v>32787698</v>
      </c>
      <c r="X250" s="34">
        <f>20</f>
        <v>20</v>
      </c>
    </row>
    <row r="251" spans="1:24" x14ac:dyDescent="0.15">
      <c r="A251" s="25" t="s">
        <v>1210</v>
      </c>
      <c r="B251" s="25" t="s">
        <v>670</v>
      </c>
      <c r="C251" s="25" t="s">
        <v>671</v>
      </c>
      <c r="D251" s="25" t="s">
        <v>672</v>
      </c>
      <c r="E251" s="26" t="s">
        <v>45</v>
      </c>
      <c r="F251" s="27" t="s">
        <v>45</v>
      </c>
      <c r="G251" s="28" t="s">
        <v>45</v>
      </c>
      <c r="H251" s="29"/>
      <c r="I251" s="29" t="s">
        <v>46</v>
      </c>
      <c r="J251" s="30">
        <v>10</v>
      </c>
      <c r="K251" s="31">
        <f>933.1</f>
        <v>933.1</v>
      </c>
      <c r="L251" s="32" t="s">
        <v>995</v>
      </c>
      <c r="M251" s="31">
        <f>978.5</f>
        <v>978.5</v>
      </c>
      <c r="N251" s="32" t="s">
        <v>255</v>
      </c>
      <c r="O251" s="31">
        <f>933.1</f>
        <v>933.1</v>
      </c>
      <c r="P251" s="32" t="s">
        <v>995</v>
      </c>
      <c r="Q251" s="31">
        <f>974</f>
        <v>974</v>
      </c>
      <c r="R251" s="32" t="s">
        <v>893</v>
      </c>
      <c r="S251" s="33">
        <f>962.9</f>
        <v>962.9</v>
      </c>
      <c r="T251" s="30">
        <f>79960</f>
        <v>79960</v>
      </c>
      <c r="U251" s="30" t="str">
        <f>"－"</f>
        <v>－</v>
      </c>
      <c r="V251" s="30">
        <f>76823332</f>
        <v>76823332</v>
      </c>
      <c r="W251" s="30" t="str">
        <f>"－"</f>
        <v>－</v>
      </c>
      <c r="X251" s="34">
        <f>20</f>
        <v>20</v>
      </c>
    </row>
    <row r="252" spans="1:24" x14ac:dyDescent="0.15">
      <c r="A252" s="25" t="s">
        <v>1210</v>
      </c>
      <c r="B252" s="25" t="s">
        <v>673</v>
      </c>
      <c r="C252" s="25" t="s">
        <v>674</v>
      </c>
      <c r="D252" s="25" t="s">
        <v>675</v>
      </c>
      <c r="E252" s="26" t="s">
        <v>45</v>
      </c>
      <c r="F252" s="27" t="s">
        <v>45</v>
      </c>
      <c r="G252" s="28" t="s">
        <v>45</v>
      </c>
      <c r="H252" s="29"/>
      <c r="I252" s="29" t="s">
        <v>46</v>
      </c>
      <c r="J252" s="30">
        <v>10</v>
      </c>
      <c r="K252" s="31">
        <f>1205</f>
        <v>1205</v>
      </c>
      <c r="L252" s="32" t="s">
        <v>995</v>
      </c>
      <c r="M252" s="31">
        <f>1312</f>
        <v>1312</v>
      </c>
      <c r="N252" s="32" t="s">
        <v>876</v>
      </c>
      <c r="O252" s="31">
        <f>1190</f>
        <v>1190</v>
      </c>
      <c r="P252" s="32" t="s">
        <v>999</v>
      </c>
      <c r="Q252" s="31">
        <f>1264.5</f>
        <v>1264.5</v>
      </c>
      <c r="R252" s="32" t="s">
        <v>893</v>
      </c>
      <c r="S252" s="33">
        <f>1265.38</f>
        <v>1265.3800000000001</v>
      </c>
      <c r="T252" s="30">
        <f>69060</f>
        <v>69060</v>
      </c>
      <c r="U252" s="30" t="str">
        <f>"－"</f>
        <v>－</v>
      </c>
      <c r="V252" s="30">
        <f>88091590</f>
        <v>88091590</v>
      </c>
      <c r="W252" s="30" t="str">
        <f>"－"</f>
        <v>－</v>
      </c>
      <c r="X252" s="34">
        <f>20</f>
        <v>20</v>
      </c>
    </row>
    <row r="253" spans="1:24" x14ac:dyDescent="0.15">
      <c r="A253" s="25" t="s">
        <v>1210</v>
      </c>
      <c r="B253" s="25" t="s">
        <v>676</v>
      </c>
      <c r="C253" s="25" t="s">
        <v>677</v>
      </c>
      <c r="D253" s="25" t="s">
        <v>678</v>
      </c>
      <c r="E253" s="26" t="s">
        <v>45</v>
      </c>
      <c r="F253" s="27" t="s">
        <v>45</v>
      </c>
      <c r="G253" s="28" t="s">
        <v>45</v>
      </c>
      <c r="H253" s="29"/>
      <c r="I253" s="29" t="s">
        <v>46</v>
      </c>
      <c r="J253" s="30">
        <v>10</v>
      </c>
      <c r="K253" s="31">
        <f>1351.5</f>
        <v>1351.5</v>
      </c>
      <c r="L253" s="32" t="s">
        <v>995</v>
      </c>
      <c r="M253" s="31">
        <f>1468.5</f>
        <v>1468.5</v>
      </c>
      <c r="N253" s="32" t="s">
        <v>793</v>
      </c>
      <c r="O253" s="31">
        <f>1351</f>
        <v>1351</v>
      </c>
      <c r="P253" s="32" t="s">
        <v>995</v>
      </c>
      <c r="Q253" s="31">
        <f>1465</f>
        <v>1465</v>
      </c>
      <c r="R253" s="32" t="s">
        <v>893</v>
      </c>
      <c r="S253" s="33">
        <f>1434.25</f>
        <v>1434.25</v>
      </c>
      <c r="T253" s="30">
        <f>4948440</f>
        <v>4948440</v>
      </c>
      <c r="U253" s="30">
        <f>1613000</f>
        <v>1613000</v>
      </c>
      <c r="V253" s="30">
        <f>7058055932</f>
        <v>7058055932</v>
      </c>
      <c r="W253" s="30">
        <f>2340036197</f>
        <v>2340036197</v>
      </c>
      <c r="X253" s="34">
        <f>20</f>
        <v>20</v>
      </c>
    </row>
    <row r="254" spans="1:24" x14ac:dyDescent="0.15">
      <c r="A254" s="25" t="s">
        <v>1210</v>
      </c>
      <c r="B254" s="25" t="s">
        <v>679</v>
      </c>
      <c r="C254" s="25" t="s">
        <v>680</v>
      </c>
      <c r="D254" s="25" t="s">
        <v>681</v>
      </c>
      <c r="E254" s="26" t="s">
        <v>45</v>
      </c>
      <c r="F254" s="27" t="s">
        <v>45</v>
      </c>
      <c r="G254" s="28" t="s">
        <v>45</v>
      </c>
      <c r="H254" s="29"/>
      <c r="I254" s="29" t="s">
        <v>46</v>
      </c>
      <c r="J254" s="30">
        <v>1</v>
      </c>
      <c r="K254" s="31">
        <f>4060</f>
        <v>4060</v>
      </c>
      <c r="L254" s="32" t="s">
        <v>995</v>
      </c>
      <c r="M254" s="31">
        <f>4650</f>
        <v>4650</v>
      </c>
      <c r="N254" s="32" t="s">
        <v>893</v>
      </c>
      <c r="O254" s="31">
        <f>4060</f>
        <v>4060</v>
      </c>
      <c r="P254" s="32" t="s">
        <v>995</v>
      </c>
      <c r="Q254" s="31">
        <f>4635</f>
        <v>4635</v>
      </c>
      <c r="R254" s="32" t="s">
        <v>893</v>
      </c>
      <c r="S254" s="33">
        <f>4459.75</f>
        <v>4459.75</v>
      </c>
      <c r="T254" s="30">
        <f>211974</f>
        <v>211974</v>
      </c>
      <c r="U254" s="30">
        <f>180000</f>
        <v>180000</v>
      </c>
      <c r="V254" s="30">
        <f>910483086</f>
        <v>910483086</v>
      </c>
      <c r="W254" s="30">
        <f>768450186</f>
        <v>768450186</v>
      </c>
      <c r="X254" s="34">
        <f>20</f>
        <v>20</v>
      </c>
    </row>
    <row r="255" spans="1:24" x14ac:dyDescent="0.15">
      <c r="A255" s="25" t="s">
        <v>1210</v>
      </c>
      <c r="B255" s="25" t="s">
        <v>682</v>
      </c>
      <c r="C255" s="25" t="s">
        <v>683</v>
      </c>
      <c r="D255" s="25" t="s">
        <v>684</v>
      </c>
      <c r="E255" s="26" t="s">
        <v>45</v>
      </c>
      <c r="F255" s="27" t="s">
        <v>45</v>
      </c>
      <c r="G255" s="28" t="s">
        <v>45</v>
      </c>
      <c r="H255" s="29"/>
      <c r="I255" s="29" t="s">
        <v>46</v>
      </c>
      <c r="J255" s="30">
        <v>10</v>
      </c>
      <c r="K255" s="31">
        <f>1805</f>
        <v>1805</v>
      </c>
      <c r="L255" s="32" t="s">
        <v>995</v>
      </c>
      <c r="M255" s="31">
        <f>1905</f>
        <v>1905</v>
      </c>
      <c r="N255" s="32" t="s">
        <v>255</v>
      </c>
      <c r="O255" s="31">
        <f>1805</f>
        <v>1805</v>
      </c>
      <c r="P255" s="32" t="s">
        <v>995</v>
      </c>
      <c r="Q255" s="31">
        <f>1905</f>
        <v>1905</v>
      </c>
      <c r="R255" s="32" t="s">
        <v>255</v>
      </c>
      <c r="S255" s="33">
        <f>1877.07</f>
        <v>1877.07</v>
      </c>
      <c r="T255" s="30">
        <f>970</f>
        <v>970</v>
      </c>
      <c r="U255" s="30" t="str">
        <f>"－"</f>
        <v>－</v>
      </c>
      <c r="V255" s="30">
        <f>1771445</f>
        <v>1771445</v>
      </c>
      <c r="W255" s="30" t="str">
        <f>"－"</f>
        <v>－</v>
      </c>
      <c r="X255" s="34">
        <f>7</f>
        <v>7</v>
      </c>
    </row>
    <row r="256" spans="1:24" x14ac:dyDescent="0.15">
      <c r="A256" s="25" t="s">
        <v>1210</v>
      </c>
      <c r="B256" s="25" t="s">
        <v>685</v>
      </c>
      <c r="C256" s="25" t="s">
        <v>686</v>
      </c>
      <c r="D256" s="25" t="s">
        <v>687</v>
      </c>
      <c r="E256" s="26" t="s">
        <v>45</v>
      </c>
      <c r="F256" s="27" t="s">
        <v>45</v>
      </c>
      <c r="G256" s="28" t="s">
        <v>45</v>
      </c>
      <c r="H256" s="29"/>
      <c r="I256" s="29" t="s">
        <v>46</v>
      </c>
      <c r="J256" s="30">
        <v>10</v>
      </c>
      <c r="K256" s="31">
        <f>2373</f>
        <v>2373</v>
      </c>
      <c r="L256" s="32" t="s">
        <v>995</v>
      </c>
      <c r="M256" s="31">
        <f>2469</f>
        <v>2469</v>
      </c>
      <c r="N256" s="32" t="s">
        <v>80</v>
      </c>
      <c r="O256" s="31">
        <f>2373</f>
        <v>2373</v>
      </c>
      <c r="P256" s="32" t="s">
        <v>995</v>
      </c>
      <c r="Q256" s="31">
        <f>2438.5</f>
        <v>2438.5</v>
      </c>
      <c r="R256" s="32" t="s">
        <v>893</v>
      </c>
      <c r="S256" s="33">
        <f>2421.31</f>
        <v>2421.31</v>
      </c>
      <c r="T256" s="30">
        <f>624690</f>
        <v>624690</v>
      </c>
      <c r="U256" s="30">
        <f>500000</f>
        <v>500000</v>
      </c>
      <c r="V256" s="30">
        <f>1522333040</f>
        <v>1522333040</v>
      </c>
      <c r="W256" s="30">
        <f>1219293500</f>
        <v>1219293500</v>
      </c>
      <c r="X256" s="34">
        <f>18</f>
        <v>18</v>
      </c>
    </row>
    <row r="257" spans="1:24" x14ac:dyDescent="0.15">
      <c r="A257" s="25" t="s">
        <v>1210</v>
      </c>
      <c r="B257" s="25" t="s">
        <v>688</v>
      </c>
      <c r="C257" s="25" t="s">
        <v>689</v>
      </c>
      <c r="D257" s="25" t="s">
        <v>690</v>
      </c>
      <c r="E257" s="26" t="s">
        <v>45</v>
      </c>
      <c r="F257" s="27" t="s">
        <v>45</v>
      </c>
      <c r="G257" s="28" t="s">
        <v>45</v>
      </c>
      <c r="H257" s="29"/>
      <c r="I257" s="29" t="s">
        <v>46</v>
      </c>
      <c r="J257" s="30">
        <v>1</v>
      </c>
      <c r="K257" s="31">
        <f>31930</f>
        <v>31930</v>
      </c>
      <c r="L257" s="32" t="s">
        <v>995</v>
      </c>
      <c r="M257" s="31">
        <f>34380</f>
        <v>34380</v>
      </c>
      <c r="N257" s="32" t="s">
        <v>80</v>
      </c>
      <c r="O257" s="31">
        <f>31930</f>
        <v>31930</v>
      </c>
      <c r="P257" s="32" t="s">
        <v>995</v>
      </c>
      <c r="Q257" s="31">
        <f>33960</f>
        <v>33960</v>
      </c>
      <c r="R257" s="32" t="s">
        <v>893</v>
      </c>
      <c r="S257" s="33">
        <f>33536.5</f>
        <v>33536.5</v>
      </c>
      <c r="T257" s="30">
        <f>61779</f>
        <v>61779</v>
      </c>
      <c r="U257" s="30">
        <f>7600</f>
        <v>7600</v>
      </c>
      <c r="V257" s="30">
        <f>2057983660</f>
        <v>2057983660</v>
      </c>
      <c r="W257" s="30">
        <f>251801480</f>
        <v>251801480</v>
      </c>
      <c r="X257" s="34">
        <f>20</f>
        <v>20</v>
      </c>
    </row>
    <row r="258" spans="1:24" x14ac:dyDescent="0.15">
      <c r="A258" s="25" t="s">
        <v>1210</v>
      </c>
      <c r="B258" s="25" t="s">
        <v>691</v>
      </c>
      <c r="C258" s="25" t="s">
        <v>692</v>
      </c>
      <c r="D258" s="25" t="s">
        <v>693</v>
      </c>
      <c r="E258" s="26" t="s">
        <v>45</v>
      </c>
      <c r="F258" s="27" t="s">
        <v>45</v>
      </c>
      <c r="G258" s="28" t="s">
        <v>45</v>
      </c>
      <c r="H258" s="29"/>
      <c r="I258" s="29" t="s">
        <v>46</v>
      </c>
      <c r="J258" s="30">
        <v>1</v>
      </c>
      <c r="K258" s="31">
        <f>21130</f>
        <v>21130</v>
      </c>
      <c r="L258" s="32" t="s">
        <v>995</v>
      </c>
      <c r="M258" s="31">
        <f>22130</f>
        <v>22130</v>
      </c>
      <c r="N258" s="32" t="s">
        <v>255</v>
      </c>
      <c r="O258" s="31">
        <f>21130</f>
        <v>21130</v>
      </c>
      <c r="P258" s="32" t="s">
        <v>995</v>
      </c>
      <c r="Q258" s="31">
        <f>21880</f>
        <v>21880</v>
      </c>
      <c r="R258" s="32" t="s">
        <v>1017</v>
      </c>
      <c r="S258" s="33">
        <f>21610</f>
        <v>21610</v>
      </c>
      <c r="T258" s="30">
        <f>118</f>
        <v>118</v>
      </c>
      <c r="U258" s="30" t="str">
        <f>"－"</f>
        <v>－</v>
      </c>
      <c r="V258" s="30">
        <f>2541590</f>
        <v>2541590</v>
      </c>
      <c r="W258" s="30" t="str">
        <f>"－"</f>
        <v>－</v>
      </c>
      <c r="X258" s="34">
        <f>5</f>
        <v>5</v>
      </c>
    </row>
    <row r="259" spans="1:24" x14ac:dyDescent="0.15">
      <c r="A259" s="25" t="s">
        <v>1210</v>
      </c>
      <c r="B259" s="25" t="s">
        <v>694</v>
      </c>
      <c r="C259" s="25" t="s">
        <v>695</v>
      </c>
      <c r="D259" s="25" t="s">
        <v>696</v>
      </c>
      <c r="E259" s="26" t="s">
        <v>45</v>
      </c>
      <c r="F259" s="27" t="s">
        <v>45</v>
      </c>
      <c r="G259" s="28" t="s">
        <v>45</v>
      </c>
      <c r="H259" s="29"/>
      <c r="I259" s="29" t="s">
        <v>46</v>
      </c>
      <c r="J259" s="30">
        <v>10</v>
      </c>
      <c r="K259" s="31">
        <f>1115</f>
        <v>1115</v>
      </c>
      <c r="L259" s="32" t="s">
        <v>995</v>
      </c>
      <c r="M259" s="31">
        <f>1127</f>
        <v>1127</v>
      </c>
      <c r="N259" s="32" t="s">
        <v>78</v>
      </c>
      <c r="O259" s="31">
        <f>1081</f>
        <v>1081</v>
      </c>
      <c r="P259" s="32" t="s">
        <v>999</v>
      </c>
      <c r="Q259" s="31">
        <f>1108</f>
        <v>1108</v>
      </c>
      <c r="R259" s="32" t="s">
        <v>893</v>
      </c>
      <c r="S259" s="33">
        <f>1112.88</f>
        <v>1112.8800000000001</v>
      </c>
      <c r="T259" s="30">
        <f>639070</f>
        <v>639070</v>
      </c>
      <c r="U259" s="30" t="str">
        <f>"－"</f>
        <v>－</v>
      </c>
      <c r="V259" s="30">
        <f>713354620</f>
        <v>713354620</v>
      </c>
      <c r="W259" s="30" t="str">
        <f>"－"</f>
        <v>－</v>
      </c>
      <c r="X259" s="34">
        <f>16</f>
        <v>16</v>
      </c>
    </row>
    <row r="260" spans="1:24" x14ac:dyDescent="0.15">
      <c r="A260" s="25" t="s">
        <v>1210</v>
      </c>
      <c r="B260" s="25" t="s">
        <v>697</v>
      </c>
      <c r="C260" s="25" t="s">
        <v>1085</v>
      </c>
      <c r="D260" s="25" t="s">
        <v>1086</v>
      </c>
      <c r="E260" s="26" t="s">
        <v>45</v>
      </c>
      <c r="F260" s="27" t="s">
        <v>45</v>
      </c>
      <c r="G260" s="28" t="s">
        <v>45</v>
      </c>
      <c r="H260" s="29"/>
      <c r="I260" s="29" t="s">
        <v>46</v>
      </c>
      <c r="J260" s="30">
        <v>10</v>
      </c>
      <c r="K260" s="31">
        <f>1094.5</f>
        <v>1094.5</v>
      </c>
      <c r="L260" s="32" t="s">
        <v>995</v>
      </c>
      <c r="M260" s="31">
        <f>1112.5</f>
        <v>1112.5</v>
      </c>
      <c r="N260" s="32" t="s">
        <v>78</v>
      </c>
      <c r="O260" s="31">
        <f>1081</f>
        <v>1081</v>
      </c>
      <c r="P260" s="32" t="s">
        <v>1004</v>
      </c>
      <c r="Q260" s="31">
        <f>1101</f>
        <v>1101</v>
      </c>
      <c r="R260" s="32" t="s">
        <v>893</v>
      </c>
      <c r="S260" s="33">
        <f>1098.86</f>
        <v>1098.8599999999999</v>
      </c>
      <c r="T260" s="30">
        <f>383290</f>
        <v>383290</v>
      </c>
      <c r="U260" s="30" t="str">
        <f>"－"</f>
        <v>－</v>
      </c>
      <c r="V260" s="30">
        <f>422695070</f>
        <v>422695070</v>
      </c>
      <c r="W260" s="30" t="str">
        <f>"－"</f>
        <v>－</v>
      </c>
      <c r="X260" s="34">
        <f>18</f>
        <v>18</v>
      </c>
    </row>
    <row r="261" spans="1:24" x14ac:dyDescent="0.15">
      <c r="A261" s="25" t="s">
        <v>1210</v>
      </c>
      <c r="B261" s="25" t="s">
        <v>700</v>
      </c>
      <c r="C261" s="25" t="s">
        <v>701</v>
      </c>
      <c r="D261" s="25" t="s">
        <v>702</v>
      </c>
      <c r="E261" s="26" t="s">
        <v>45</v>
      </c>
      <c r="F261" s="27" t="s">
        <v>45</v>
      </c>
      <c r="G261" s="28" t="s">
        <v>45</v>
      </c>
      <c r="H261" s="29"/>
      <c r="I261" s="29" t="s">
        <v>46</v>
      </c>
      <c r="J261" s="30">
        <v>1</v>
      </c>
      <c r="K261" s="31">
        <f>1482</f>
        <v>1482</v>
      </c>
      <c r="L261" s="32" t="s">
        <v>995</v>
      </c>
      <c r="M261" s="31">
        <f>1519</f>
        <v>1519</v>
      </c>
      <c r="N261" s="32" t="s">
        <v>80</v>
      </c>
      <c r="O261" s="31">
        <f>1455</f>
        <v>1455</v>
      </c>
      <c r="P261" s="32" t="s">
        <v>1000</v>
      </c>
      <c r="Q261" s="31">
        <f>1507</f>
        <v>1507</v>
      </c>
      <c r="R261" s="32" t="s">
        <v>893</v>
      </c>
      <c r="S261" s="33">
        <f>1495.35</f>
        <v>1495.35</v>
      </c>
      <c r="T261" s="30">
        <f>296365</f>
        <v>296365</v>
      </c>
      <c r="U261" s="30">
        <f>6700</f>
        <v>6700</v>
      </c>
      <c r="V261" s="30">
        <f>442679253</f>
        <v>442679253</v>
      </c>
      <c r="W261" s="30">
        <f>9901930</f>
        <v>9901930</v>
      </c>
      <c r="X261" s="34">
        <f>20</f>
        <v>20</v>
      </c>
    </row>
    <row r="262" spans="1:24" x14ac:dyDescent="0.15">
      <c r="A262" s="25" t="s">
        <v>1210</v>
      </c>
      <c r="B262" s="25" t="s">
        <v>703</v>
      </c>
      <c r="C262" s="25" t="s">
        <v>704</v>
      </c>
      <c r="D262" s="25" t="s">
        <v>705</v>
      </c>
      <c r="E262" s="26" t="s">
        <v>45</v>
      </c>
      <c r="F262" s="27" t="s">
        <v>45</v>
      </c>
      <c r="G262" s="28" t="s">
        <v>45</v>
      </c>
      <c r="H262" s="29"/>
      <c r="I262" s="29" t="s">
        <v>46</v>
      </c>
      <c r="J262" s="30">
        <v>1</v>
      </c>
      <c r="K262" s="31">
        <f>12855</f>
        <v>12855</v>
      </c>
      <c r="L262" s="32" t="s">
        <v>995</v>
      </c>
      <c r="M262" s="31">
        <f>13330</f>
        <v>13330</v>
      </c>
      <c r="N262" s="32" t="s">
        <v>876</v>
      </c>
      <c r="O262" s="31">
        <f>12750</f>
        <v>12750</v>
      </c>
      <c r="P262" s="32" t="s">
        <v>1017</v>
      </c>
      <c r="Q262" s="31">
        <f>12875</f>
        <v>12875</v>
      </c>
      <c r="R262" s="32" t="s">
        <v>893</v>
      </c>
      <c r="S262" s="33">
        <f>13058.25</f>
        <v>13058.25</v>
      </c>
      <c r="T262" s="30">
        <f>348</f>
        <v>348</v>
      </c>
      <c r="U262" s="30" t="str">
        <f>"－"</f>
        <v>－</v>
      </c>
      <c r="V262" s="30">
        <f>4519090</f>
        <v>4519090</v>
      </c>
      <c r="W262" s="30" t="str">
        <f>"－"</f>
        <v>－</v>
      </c>
      <c r="X262" s="34">
        <f>20</f>
        <v>20</v>
      </c>
    </row>
    <row r="263" spans="1:24" x14ac:dyDescent="0.15">
      <c r="A263" s="25" t="s">
        <v>1210</v>
      </c>
      <c r="B263" s="25" t="s">
        <v>706</v>
      </c>
      <c r="C263" s="25" t="s">
        <v>707</v>
      </c>
      <c r="D263" s="25" t="s">
        <v>708</v>
      </c>
      <c r="E263" s="26" t="s">
        <v>45</v>
      </c>
      <c r="F263" s="27" t="s">
        <v>45</v>
      </c>
      <c r="G263" s="28" t="s">
        <v>45</v>
      </c>
      <c r="H263" s="29"/>
      <c r="I263" s="29" t="s">
        <v>46</v>
      </c>
      <c r="J263" s="30">
        <v>1</v>
      </c>
      <c r="K263" s="31">
        <f>1965</f>
        <v>1965</v>
      </c>
      <c r="L263" s="32" t="s">
        <v>995</v>
      </c>
      <c r="M263" s="31">
        <f>1985</f>
        <v>1985</v>
      </c>
      <c r="N263" s="32" t="s">
        <v>78</v>
      </c>
      <c r="O263" s="31">
        <f>1931</f>
        <v>1931</v>
      </c>
      <c r="P263" s="32" t="s">
        <v>1004</v>
      </c>
      <c r="Q263" s="31">
        <f>1976</f>
        <v>1976</v>
      </c>
      <c r="R263" s="32" t="s">
        <v>893</v>
      </c>
      <c r="S263" s="33">
        <f>1963.95</f>
        <v>1963.95</v>
      </c>
      <c r="T263" s="30">
        <f>22971</f>
        <v>22971</v>
      </c>
      <c r="U263" s="30">
        <f>43</f>
        <v>43</v>
      </c>
      <c r="V263" s="30">
        <f>45062205</f>
        <v>45062205</v>
      </c>
      <c r="W263" s="30">
        <f>79394</f>
        <v>79394</v>
      </c>
      <c r="X263" s="34">
        <f>20</f>
        <v>20</v>
      </c>
    </row>
    <row r="264" spans="1:24" x14ac:dyDescent="0.15">
      <c r="A264" s="25" t="s">
        <v>1210</v>
      </c>
      <c r="B264" s="25" t="s">
        <v>709</v>
      </c>
      <c r="C264" s="25" t="s">
        <v>710</v>
      </c>
      <c r="D264" s="25" t="s">
        <v>711</v>
      </c>
      <c r="E264" s="26" t="s">
        <v>45</v>
      </c>
      <c r="F264" s="27" t="s">
        <v>45</v>
      </c>
      <c r="G264" s="28" t="s">
        <v>45</v>
      </c>
      <c r="H264" s="29"/>
      <c r="I264" s="29" t="s">
        <v>46</v>
      </c>
      <c r="J264" s="30">
        <v>10</v>
      </c>
      <c r="K264" s="31">
        <f>1540</f>
        <v>1540</v>
      </c>
      <c r="L264" s="32" t="s">
        <v>995</v>
      </c>
      <c r="M264" s="31">
        <f>1596.5</f>
        <v>1596.5</v>
      </c>
      <c r="N264" s="32" t="s">
        <v>876</v>
      </c>
      <c r="O264" s="31">
        <f>1503.5</f>
        <v>1503.5</v>
      </c>
      <c r="P264" s="32" t="s">
        <v>997</v>
      </c>
      <c r="Q264" s="31">
        <f>1585.5</f>
        <v>1585.5</v>
      </c>
      <c r="R264" s="32" t="s">
        <v>1017</v>
      </c>
      <c r="S264" s="33">
        <f>1557.13</f>
        <v>1557.13</v>
      </c>
      <c r="T264" s="30">
        <f>390</f>
        <v>390</v>
      </c>
      <c r="U264" s="30" t="str">
        <f>"－"</f>
        <v>－</v>
      </c>
      <c r="V264" s="30">
        <f>609560</f>
        <v>609560</v>
      </c>
      <c r="W264" s="30" t="str">
        <f>"－"</f>
        <v>－</v>
      </c>
      <c r="X264" s="34">
        <f>12</f>
        <v>12</v>
      </c>
    </row>
    <row r="265" spans="1:24" x14ac:dyDescent="0.15">
      <c r="A265" s="25" t="s">
        <v>1210</v>
      </c>
      <c r="B265" s="25" t="s">
        <v>712</v>
      </c>
      <c r="C265" s="25" t="s">
        <v>795</v>
      </c>
      <c r="D265" s="25" t="s">
        <v>796</v>
      </c>
      <c r="E265" s="26" t="s">
        <v>45</v>
      </c>
      <c r="F265" s="27" t="s">
        <v>45</v>
      </c>
      <c r="G265" s="28" t="s">
        <v>45</v>
      </c>
      <c r="H265" s="29"/>
      <c r="I265" s="29" t="s">
        <v>46</v>
      </c>
      <c r="J265" s="30">
        <v>10</v>
      </c>
      <c r="K265" s="31">
        <f>790.5</f>
        <v>790.5</v>
      </c>
      <c r="L265" s="32" t="s">
        <v>995</v>
      </c>
      <c r="M265" s="31">
        <f>817.9</f>
        <v>817.9</v>
      </c>
      <c r="N265" s="32" t="s">
        <v>893</v>
      </c>
      <c r="O265" s="31">
        <f>788.1</f>
        <v>788.1</v>
      </c>
      <c r="P265" s="32" t="s">
        <v>995</v>
      </c>
      <c r="Q265" s="31">
        <f>813.3</f>
        <v>813.3</v>
      </c>
      <c r="R265" s="32" t="s">
        <v>893</v>
      </c>
      <c r="S265" s="33">
        <f>803.91</f>
        <v>803.91</v>
      </c>
      <c r="T265" s="30">
        <f>636540</f>
        <v>636540</v>
      </c>
      <c r="U265" s="30">
        <f>214030</f>
        <v>214030</v>
      </c>
      <c r="V265" s="30">
        <f>513368179</f>
        <v>513368179</v>
      </c>
      <c r="W265" s="30">
        <f>174171256</f>
        <v>174171256</v>
      </c>
      <c r="X265" s="34">
        <f>20</f>
        <v>20</v>
      </c>
    </row>
    <row r="266" spans="1:24" x14ac:dyDescent="0.15">
      <c r="A266" s="25" t="s">
        <v>1210</v>
      </c>
      <c r="B266" s="25" t="s">
        <v>713</v>
      </c>
      <c r="C266" s="25" t="s">
        <v>714</v>
      </c>
      <c r="D266" s="25" t="s">
        <v>715</v>
      </c>
      <c r="E266" s="26" t="s">
        <v>45</v>
      </c>
      <c r="F266" s="27" t="s">
        <v>45</v>
      </c>
      <c r="G266" s="28" t="s">
        <v>45</v>
      </c>
      <c r="H266" s="29"/>
      <c r="I266" s="29" t="s">
        <v>46</v>
      </c>
      <c r="J266" s="30">
        <v>10</v>
      </c>
      <c r="K266" s="31">
        <f>1869.5</f>
        <v>1869.5</v>
      </c>
      <c r="L266" s="32" t="s">
        <v>995</v>
      </c>
      <c r="M266" s="31">
        <f>1899.5</f>
        <v>1899.5</v>
      </c>
      <c r="N266" s="32" t="s">
        <v>78</v>
      </c>
      <c r="O266" s="31">
        <f>1845</f>
        <v>1845</v>
      </c>
      <c r="P266" s="32" t="s">
        <v>1004</v>
      </c>
      <c r="Q266" s="31">
        <f>1889.5</f>
        <v>1889.5</v>
      </c>
      <c r="R266" s="32" t="s">
        <v>893</v>
      </c>
      <c r="S266" s="33">
        <f>1876.35</f>
        <v>1876.35</v>
      </c>
      <c r="T266" s="30">
        <f>618820</f>
        <v>618820</v>
      </c>
      <c r="U266" s="30">
        <f>290000</f>
        <v>290000</v>
      </c>
      <c r="V266" s="30">
        <f>1162984665</f>
        <v>1162984665</v>
      </c>
      <c r="W266" s="30">
        <f>546552275</f>
        <v>546552275</v>
      </c>
      <c r="X266" s="34">
        <f>20</f>
        <v>20</v>
      </c>
    </row>
    <row r="267" spans="1:24" x14ac:dyDescent="0.15">
      <c r="A267" s="25" t="s">
        <v>1210</v>
      </c>
      <c r="B267" s="25" t="s">
        <v>716</v>
      </c>
      <c r="C267" s="25" t="s">
        <v>717</v>
      </c>
      <c r="D267" s="25" t="s">
        <v>718</v>
      </c>
      <c r="E267" s="26" t="s">
        <v>45</v>
      </c>
      <c r="F267" s="27" t="s">
        <v>45</v>
      </c>
      <c r="G267" s="28" t="s">
        <v>45</v>
      </c>
      <c r="H267" s="29"/>
      <c r="I267" s="29" t="s">
        <v>46</v>
      </c>
      <c r="J267" s="30">
        <v>10</v>
      </c>
      <c r="K267" s="31">
        <f>1864</f>
        <v>1864</v>
      </c>
      <c r="L267" s="32" t="s">
        <v>995</v>
      </c>
      <c r="M267" s="31">
        <f>1892.5</f>
        <v>1892.5</v>
      </c>
      <c r="N267" s="32" t="s">
        <v>78</v>
      </c>
      <c r="O267" s="31">
        <f>1839</f>
        <v>1839</v>
      </c>
      <c r="P267" s="32" t="s">
        <v>1004</v>
      </c>
      <c r="Q267" s="31">
        <f>1884</f>
        <v>1884</v>
      </c>
      <c r="R267" s="32" t="s">
        <v>893</v>
      </c>
      <c r="S267" s="33">
        <f>1871.38</f>
        <v>1871.38</v>
      </c>
      <c r="T267" s="30">
        <f>432460</f>
        <v>432460</v>
      </c>
      <c r="U267" s="30">
        <f>90000</f>
        <v>90000</v>
      </c>
      <c r="V267" s="30">
        <f>809295425</f>
        <v>809295425</v>
      </c>
      <c r="W267" s="30">
        <f>169553860</f>
        <v>169553860</v>
      </c>
      <c r="X267" s="34">
        <f>20</f>
        <v>20</v>
      </c>
    </row>
    <row r="268" spans="1:24" x14ac:dyDescent="0.15">
      <c r="A268" s="25" t="s">
        <v>1210</v>
      </c>
      <c r="B268" s="25" t="s">
        <v>719</v>
      </c>
      <c r="C268" s="25" t="s">
        <v>720</v>
      </c>
      <c r="D268" s="25" t="s">
        <v>721</v>
      </c>
      <c r="E268" s="26" t="s">
        <v>45</v>
      </c>
      <c r="F268" s="27" t="s">
        <v>45</v>
      </c>
      <c r="G268" s="28" t="s">
        <v>45</v>
      </c>
      <c r="H268" s="29"/>
      <c r="I268" s="29" t="s">
        <v>46</v>
      </c>
      <c r="J268" s="30">
        <v>10</v>
      </c>
      <c r="K268" s="31">
        <f>2319</f>
        <v>2319</v>
      </c>
      <c r="L268" s="32" t="s">
        <v>995</v>
      </c>
      <c r="M268" s="31">
        <f>2425.5</f>
        <v>2425.5</v>
      </c>
      <c r="N268" s="32" t="s">
        <v>80</v>
      </c>
      <c r="O268" s="31">
        <f>2317</f>
        <v>2317</v>
      </c>
      <c r="P268" s="32" t="s">
        <v>995</v>
      </c>
      <c r="Q268" s="31">
        <f>2393.5</f>
        <v>2393.5</v>
      </c>
      <c r="R268" s="32" t="s">
        <v>893</v>
      </c>
      <c r="S268" s="33">
        <f>2375.48</f>
        <v>2375.48</v>
      </c>
      <c r="T268" s="30">
        <f>1387770</f>
        <v>1387770</v>
      </c>
      <c r="U268" s="30">
        <f>370000</f>
        <v>370000</v>
      </c>
      <c r="V268" s="30">
        <f>3293555770</f>
        <v>3293555770</v>
      </c>
      <c r="W268" s="30">
        <f>884881000</f>
        <v>884881000</v>
      </c>
      <c r="X268" s="34">
        <f>20</f>
        <v>20</v>
      </c>
    </row>
    <row r="269" spans="1:24" x14ac:dyDescent="0.15">
      <c r="A269" s="25" t="s">
        <v>1210</v>
      </c>
      <c r="B269" s="25" t="s">
        <v>722</v>
      </c>
      <c r="C269" s="25" t="s">
        <v>723</v>
      </c>
      <c r="D269" s="25" t="s">
        <v>724</v>
      </c>
      <c r="E269" s="26" t="s">
        <v>45</v>
      </c>
      <c r="F269" s="27" t="s">
        <v>45</v>
      </c>
      <c r="G269" s="28" t="s">
        <v>45</v>
      </c>
      <c r="H269" s="29"/>
      <c r="I269" s="29" t="s">
        <v>46</v>
      </c>
      <c r="J269" s="30">
        <v>1</v>
      </c>
      <c r="K269" s="31">
        <f>18245</f>
        <v>18245</v>
      </c>
      <c r="L269" s="32" t="s">
        <v>995</v>
      </c>
      <c r="M269" s="31">
        <f>19690</f>
        <v>19690</v>
      </c>
      <c r="N269" s="32" t="s">
        <v>793</v>
      </c>
      <c r="O269" s="31">
        <f>18220</f>
        <v>18220</v>
      </c>
      <c r="P269" s="32" t="s">
        <v>995</v>
      </c>
      <c r="Q269" s="31">
        <f>19355</f>
        <v>19355</v>
      </c>
      <c r="R269" s="32" t="s">
        <v>893</v>
      </c>
      <c r="S269" s="33">
        <f>19217</f>
        <v>19217</v>
      </c>
      <c r="T269" s="30">
        <f>1063509</f>
        <v>1063509</v>
      </c>
      <c r="U269" s="30">
        <f>54004</f>
        <v>54004</v>
      </c>
      <c r="V269" s="30">
        <f>20362098877</f>
        <v>20362098877</v>
      </c>
      <c r="W269" s="30">
        <f>1034000482</f>
        <v>1034000482</v>
      </c>
      <c r="X269" s="34">
        <f>20</f>
        <v>20</v>
      </c>
    </row>
    <row r="270" spans="1:24" x14ac:dyDescent="0.15">
      <c r="A270" s="25" t="s">
        <v>1210</v>
      </c>
      <c r="B270" s="25" t="s">
        <v>725</v>
      </c>
      <c r="C270" s="25" t="s">
        <v>726</v>
      </c>
      <c r="D270" s="25" t="s">
        <v>727</v>
      </c>
      <c r="E270" s="26" t="s">
        <v>45</v>
      </c>
      <c r="F270" s="27" t="s">
        <v>45</v>
      </c>
      <c r="G270" s="28" t="s">
        <v>45</v>
      </c>
      <c r="H270" s="29"/>
      <c r="I270" s="29" t="s">
        <v>46</v>
      </c>
      <c r="J270" s="30">
        <v>1</v>
      </c>
      <c r="K270" s="31">
        <f>15930</f>
        <v>15930</v>
      </c>
      <c r="L270" s="32" t="s">
        <v>995</v>
      </c>
      <c r="M270" s="31">
        <f>17105</f>
        <v>17105</v>
      </c>
      <c r="N270" s="32" t="s">
        <v>876</v>
      </c>
      <c r="O270" s="31">
        <f>15930</f>
        <v>15930</v>
      </c>
      <c r="P270" s="32" t="s">
        <v>995</v>
      </c>
      <c r="Q270" s="31">
        <f>16895</f>
        <v>16895</v>
      </c>
      <c r="R270" s="32" t="s">
        <v>893</v>
      </c>
      <c r="S270" s="33">
        <f>16709</f>
        <v>16709</v>
      </c>
      <c r="T270" s="30">
        <f>179414</f>
        <v>179414</v>
      </c>
      <c r="U270" s="30" t="str">
        <f>"－"</f>
        <v>－</v>
      </c>
      <c r="V270" s="30">
        <f>2998078480</f>
        <v>2998078480</v>
      </c>
      <c r="W270" s="30" t="str">
        <f>"－"</f>
        <v>－</v>
      </c>
      <c r="X270" s="34">
        <f>20</f>
        <v>20</v>
      </c>
    </row>
    <row r="271" spans="1:24" x14ac:dyDescent="0.15">
      <c r="A271" s="25" t="s">
        <v>1210</v>
      </c>
      <c r="B271" s="25" t="s">
        <v>728</v>
      </c>
      <c r="C271" s="25" t="s">
        <v>729</v>
      </c>
      <c r="D271" s="25" t="s">
        <v>730</v>
      </c>
      <c r="E271" s="26" t="s">
        <v>45</v>
      </c>
      <c r="F271" s="27" t="s">
        <v>45</v>
      </c>
      <c r="G271" s="28" t="s">
        <v>45</v>
      </c>
      <c r="H271" s="29"/>
      <c r="I271" s="29" t="s">
        <v>46</v>
      </c>
      <c r="J271" s="30">
        <v>1</v>
      </c>
      <c r="K271" s="31">
        <f>31660</f>
        <v>31660</v>
      </c>
      <c r="L271" s="32" t="s">
        <v>1003</v>
      </c>
      <c r="M271" s="31">
        <f>31780</f>
        <v>31780</v>
      </c>
      <c r="N271" s="32" t="s">
        <v>793</v>
      </c>
      <c r="O271" s="31">
        <f>30860</f>
        <v>30860</v>
      </c>
      <c r="P271" s="32" t="s">
        <v>1004</v>
      </c>
      <c r="Q271" s="31">
        <f>31580</f>
        <v>31580</v>
      </c>
      <c r="R271" s="32" t="s">
        <v>1017</v>
      </c>
      <c r="S271" s="33">
        <f>31412.22</f>
        <v>31412.22</v>
      </c>
      <c r="T271" s="30">
        <f>61</f>
        <v>61</v>
      </c>
      <c r="U271" s="30" t="str">
        <f>"－"</f>
        <v>－</v>
      </c>
      <c r="V271" s="30">
        <f>1925280</f>
        <v>1925280</v>
      </c>
      <c r="W271" s="30" t="str">
        <f>"－"</f>
        <v>－</v>
      </c>
      <c r="X271" s="34">
        <f>9</f>
        <v>9</v>
      </c>
    </row>
    <row r="272" spans="1:24" x14ac:dyDescent="0.15">
      <c r="A272" s="25" t="s">
        <v>1210</v>
      </c>
      <c r="B272" s="25" t="s">
        <v>731</v>
      </c>
      <c r="C272" s="25" t="s">
        <v>732</v>
      </c>
      <c r="D272" s="25" t="s">
        <v>733</v>
      </c>
      <c r="E272" s="26" t="s">
        <v>45</v>
      </c>
      <c r="F272" s="27" t="s">
        <v>45</v>
      </c>
      <c r="G272" s="28" t="s">
        <v>45</v>
      </c>
      <c r="H272" s="29"/>
      <c r="I272" s="29" t="s">
        <v>46</v>
      </c>
      <c r="J272" s="30">
        <v>1</v>
      </c>
      <c r="K272" s="31">
        <f>2382</f>
        <v>2382</v>
      </c>
      <c r="L272" s="32" t="s">
        <v>995</v>
      </c>
      <c r="M272" s="31">
        <f>2469</f>
        <v>2469</v>
      </c>
      <c r="N272" s="32" t="s">
        <v>893</v>
      </c>
      <c r="O272" s="31">
        <f>2378</f>
        <v>2378</v>
      </c>
      <c r="P272" s="32" t="s">
        <v>995</v>
      </c>
      <c r="Q272" s="31">
        <f>2450</f>
        <v>2450</v>
      </c>
      <c r="R272" s="32" t="s">
        <v>893</v>
      </c>
      <c r="S272" s="33">
        <f>2427.05</f>
        <v>2427.0500000000002</v>
      </c>
      <c r="T272" s="30">
        <f>5987682</f>
        <v>5987682</v>
      </c>
      <c r="U272" s="30">
        <f>5841727</f>
        <v>5841727</v>
      </c>
      <c r="V272" s="30">
        <f>14368367812</f>
        <v>14368367812</v>
      </c>
      <c r="W272" s="30">
        <f>14012096573</f>
        <v>14012096573</v>
      </c>
      <c r="X272" s="34">
        <f>20</f>
        <v>20</v>
      </c>
    </row>
    <row r="273" spans="1:24" x14ac:dyDescent="0.15">
      <c r="A273" s="25" t="s">
        <v>1210</v>
      </c>
      <c r="B273" s="25" t="s">
        <v>734</v>
      </c>
      <c r="C273" s="25" t="s">
        <v>735</v>
      </c>
      <c r="D273" s="25" t="s">
        <v>736</v>
      </c>
      <c r="E273" s="26" t="s">
        <v>45</v>
      </c>
      <c r="F273" s="27" t="s">
        <v>45</v>
      </c>
      <c r="G273" s="28" t="s">
        <v>45</v>
      </c>
      <c r="H273" s="29"/>
      <c r="I273" s="29" t="s">
        <v>46</v>
      </c>
      <c r="J273" s="30">
        <v>10</v>
      </c>
      <c r="K273" s="31">
        <f>2636</f>
        <v>2636</v>
      </c>
      <c r="L273" s="32" t="s">
        <v>995</v>
      </c>
      <c r="M273" s="31">
        <f>2832</f>
        <v>2832</v>
      </c>
      <c r="N273" s="32" t="s">
        <v>893</v>
      </c>
      <c r="O273" s="31">
        <f>2635</f>
        <v>2635</v>
      </c>
      <c r="P273" s="32" t="s">
        <v>995</v>
      </c>
      <c r="Q273" s="31">
        <f>2831.5</f>
        <v>2831.5</v>
      </c>
      <c r="R273" s="32" t="s">
        <v>893</v>
      </c>
      <c r="S273" s="33">
        <f>2759.48</f>
        <v>2759.48</v>
      </c>
      <c r="T273" s="30">
        <f>1275460</f>
        <v>1275460</v>
      </c>
      <c r="U273" s="30">
        <f>561580</f>
        <v>561580</v>
      </c>
      <c r="V273" s="30">
        <f>3511274929</f>
        <v>3511274929</v>
      </c>
      <c r="W273" s="30">
        <f>1561080094</f>
        <v>1561080094</v>
      </c>
      <c r="X273" s="34">
        <f>20</f>
        <v>20</v>
      </c>
    </row>
    <row r="274" spans="1:24" x14ac:dyDescent="0.15">
      <c r="A274" s="25" t="s">
        <v>1210</v>
      </c>
      <c r="B274" s="25" t="s">
        <v>737</v>
      </c>
      <c r="C274" s="25" t="s">
        <v>738</v>
      </c>
      <c r="D274" s="25" t="s">
        <v>739</v>
      </c>
      <c r="E274" s="26" t="s">
        <v>45</v>
      </c>
      <c r="F274" s="27" t="s">
        <v>45</v>
      </c>
      <c r="G274" s="28" t="s">
        <v>45</v>
      </c>
      <c r="H274" s="29"/>
      <c r="I274" s="29" t="s">
        <v>46</v>
      </c>
      <c r="J274" s="30">
        <v>10</v>
      </c>
      <c r="K274" s="31">
        <f>251.5</f>
        <v>251.5</v>
      </c>
      <c r="L274" s="32" t="s">
        <v>995</v>
      </c>
      <c r="M274" s="31">
        <f>273.5</f>
        <v>273.5</v>
      </c>
      <c r="N274" s="32" t="s">
        <v>793</v>
      </c>
      <c r="O274" s="31">
        <f>251.3</f>
        <v>251.3</v>
      </c>
      <c r="P274" s="32" t="s">
        <v>995</v>
      </c>
      <c r="Q274" s="31">
        <f>273</f>
        <v>273</v>
      </c>
      <c r="R274" s="32" t="s">
        <v>893</v>
      </c>
      <c r="S274" s="33">
        <f>266.9</f>
        <v>266.89999999999998</v>
      </c>
      <c r="T274" s="30">
        <f>51729760</f>
        <v>51729760</v>
      </c>
      <c r="U274" s="30">
        <f>11936000</f>
        <v>11936000</v>
      </c>
      <c r="V274" s="30">
        <f>13782010825</f>
        <v>13782010825</v>
      </c>
      <c r="W274" s="30">
        <f>3204586261</f>
        <v>3204586261</v>
      </c>
      <c r="X274" s="34">
        <f>20</f>
        <v>20</v>
      </c>
    </row>
    <row r="275" spans="1:24" x14ac:dyDescent="0.15">
      <c r="A275" s="25" t="s">
        <v>1210</v>
      </c>
      <c r="B275" s="25" t="s">
        <v>740</v>
      </c>
      <c r="C275" s="25" t="s">
        <v>741</v>
      </c>
      <c r="D275" s="25" t="s">
        <v>742</v>
      </c>
      <c r="E275" s="26" t="s">
        <v>45</v>
      </c>
      <c r="F275" s="27" t="s">
        <v>45</v>
      </c>
      <c r="G275" s="28" t="s">
        <v>45</v>
      </c>
      <c r="H275" s="29"/>
      <c r="I275" s="29" t="s">
        <v>46</v>
      </c>
      <c r="J275" s="30">
        <v>1</v>
      </c>
      <c r="K275" s="31">
        <f>2495</f>
        <v>2495</v>
      </c>
      <c r="L275" s="32" t="s">
        <v>995</v>
      </c>
      <c r="M275" s="31">
        <f>2559</f>
        <v>2559</v>
      </c>
      <c r="N275" s="32" t="s">
        <v>255</v>
      </c>
      <c r="O275" s="31">
        <f>2410</f>
        <v>2410</v>
      </c>
      <c r="P275" s="32" t="s">
        <v>1000</v>
      </c>
      <c r="Q275" s="31">
        <f>2546</f>
        <v>2546</v>
      </c>
      <c r="R275" s="32" t="s">
        <v>893</v>
      </c>
      <c r="S275" s="33">
        <f>2491.95</f>
        <v>2491.9499999999998</v>
      </c>
      <c r="T275" s="30">
        <f>1246014</f>
        <v>1246014</v>
      </c>
      <c r="U275" s="30">
        <f>164345</f>
        <v>164345</v>
      </c>
      <c r="V275" s="30">
        <f>3103575188</f>
        <v>3103575188</v>
      </c>
      <c r="W275" s="30">
        <f>408412920</f>
        <v>408412920</v>
      </c>
      <c r="X275" s="34">
        <f>20</f>
        <v>20</v>
      </c>
    </row>
    <row r="276" spans="1:24" x14ac:dyDescent="0.15">
      <c r="A276" s="25" t="s">
        <v>1210</v>
      </c>
      <c r="B276" s="25" t="s">
        <v>743</v>
      </c>
      <c r="C276" s="25" t="s">
        <v>744</v>
      </c>
      <c r="D276" s="25" t="s">
        <v>745</v>
      </c>
      <c r="E276" s="26" t="s">
        <v>45</v>
      </c>
      <c r="F276" s="27" t="s">
        <v>45</v>
      </c>
      <c r="G276" s="28" t="s">
        <v>45</v>
      </c>
      <c r="H276" s="29"/>
      <c r="I276" s="29" t="s">
        <v>46</v>
      </c>
      <c r="J276" s="30">
        <v>1</v>
      </c>
      <c r="K276" s="31">
        <f>922</f>
        <v>922</v>
      </c>
      <c r="L276" s="32" t="s">
        <v>995</v>
      </c>
      <c r="M276" s="31">
        <f>946</f>
        <v>946</v>
      </c>
      <c r="N276" s="32" t="s">
        <v>876</v>
      </c>
      <c r="O276" s="31">
        <f>921</f>
        <v>921</v>
      </c>
      <c r="P276" s="32" t="s">
        <v>999</v>
      </c>
      <c r="Q276" s="31">
        <f>940</f>
        <v>940</v>
      </c>
      <c r="R276" s="32" t="s">
        <v>893</v>
      </c>
      <c r="S276" s="33">
        <f>934.8</f>
        <v>934.8</v>
      </c>
      <c r="T276" s="30">
        <f>1520798</f>
        <v>1520798</v>
      </c>
      <c r="U276" s="30">
        <f>253002</f>
        <v>253002</v>
      </c>
      <c r="V276" s="30">
        <f>1416579939</f>
        <v>1416579939</v>
      </c>
      <c r="W276" s="30">
        <f>234926664</f>
        <v>234926664</v>
      </c>
      <c r="X276" s="34">
        <f>20</f>
        <v>20</v>
      </c>
    </row>
    <row r="277" spans="1:24" x14ac:dyDescent="0.15">
      <c r="A277" s="25" t="s">
        <v>1210</v>
      </c>
      <c r="B277" s="25" t="s">
        <v>746</v>
      </c>
      <c r="C277" s="25" t="s">
        <v>747</v>
      </c>
      <c r="D277" s="25" t="s">
        <v>748</v>
      </c>
      <c r="E277" s="26" t="s">
        <v>45</v>
      </c>
      <c r="F277" s="27" t="s">
        <v>45</v>
      </c>
      <c r="G277" s="28" t="s">
        <v>45</v>
      </c>
      <c r="H277" s="29"/>
      <c r="I277" s="29" t="s">
        <v>46</v>
      </c>
      <c r="J277" s="30">
        <v>10</v>
      </c>
      <c r="K277" s="31">
        <f>1029.5</f>
        <v>1029.5</v>
      </c>
      <c r="L277" s="32" t="s">
        <v>995</v>
      </c>
      <c r="M277" s="31">
        <f>1042</f>
        <v>1042</v>
      </c>
      <c r="N277" s="32" t="s">
        <v>78</v>
      </c>
      <c r="O277" s="31">
        <f>1014.5</f>
        <v>1014.5</v>
      </c>
      <c r="P277" s="32" t="s">
        <v>1004</v>
      </c>
      <c r="Q277" s="31">
        <f>1037</f>
        <v>1037</v>
      </c>
      <c r="R277" s="32" t="s">
        <v>893</v>
      </c>
      <c r="S277" s="33">
        <f>1030.38</f>
        <v>1030.3800000000001</v>
      </c>
      <c r="T277" s="30">
        <f>105360</f>
        <v>105360</v>
      </c>
      <c r="U277" s="30" t="str">
        <f>"－"</f>
        <v>－</v>
      </c>
      <c r="V277" s="30">
        <f>108226895</f>
        <v>108226895</v>
      </c>
      <c r="W277" s="30" t="str">
        <f>"－"</f>
        <v>－</v>
      </c>
      <c r="X277" s="34">
        <f>20</f>
        <v>20</v>
      </c>
    </row>
    <row r="278" spans="1:24" x14ac:dyDescent="0.15">
      <c r="A278" s="25" t="s">
        <v>1210</v>
      </c>
      <c r="B278" s="25" t="s">
        <v>749</v>
      </c>
      <c r="C278" s="25" t="s">
        <v>750</v>
      </c>
      <c r="D278" s="25" t="s">
        <v>751</v>
      </c>
      <c r="E278" s="26" t="s">
        <v>45</v>
      </c>
      <c r="F278" s="27" t="s">
        <v>45</v>
      </c>
      <c r="G278" s="28" t="s">
        <v>45</v>
      </c>
      <c r="H278" s="29"/>
      <c r="I278" s="29" t="s">
        <v>46</v>
      </c>
      <c r="J278" s="30">
        <v>10</v>
      </c>
      <c r="K278" s="31">
        <f>309.1</f>
        <v>309.10000000000002</v>
      </c>
      <c r="L278" s="32" t="s">
        <v>995</v>
      </c>
      <c r="M278" s="31">
        <f>328.8</f>
        <v>328.8</v>
      </c>
      <c r="N278" s="32" t="s">
        <v>255</v>
      </c>
      <c r="O278" s="31">
        <f>309</f>
        <v>309</v>
      </c>
      <c r="P278" s="32" t="s">
        <v>995</v>
      </c>
      <c r="Q278" s="31">
        <f>316.2</f>
        <v>316.2</v>
      </c>
      <c r="R278" s="32" t="s">
        <v>893</v>
      </c>
      <c r="S278" s="33">
        <f>318.15</f>
        <v>318.14999999999998</v>
      </c>
      <c r="T278" s="30">
        <f>13200</f>
        <v>13200</v>
      </c>
      <c r="U278" s="30" t="str">
        <f>"－"</f>
        <v>－</v>
      </c>
      <c r="V278" s="30">
        <f>4165576</f>
        <v>4165576</v>
      </c>
      <c r="W278" s="30" t="str">
        <f>"－"</f>
        <v>－</v>
      </c>
      <c r="X278" s="34">
        <f>17</f>
        <v>17</v>
      </c>
    </row>
    <row r="279" spans="1:24" x14ac:dyDescent="0.15">
      <c r="A279" s="25" t="s">
        <v>1210</v>
      </c>
      <c r="B279" s="25" t="s">
        <v>752</v>
      </c>
      <c r="C279" s="25" t="s">
        <v>753</v>
      </c>
      <c r="D279" s="25" t="s">
        <v>754</v>
      </c>
      <c r="E279" s="26" t="s">
        <v>45</v>
      </c>
      <c r="F279" s="27" t="s">
        <v>45</v>
      </c>
      <c r="G279" s="28" t="s">
        <v>45</v>
      </c>
      <c r="H279" s="29"/>
      <c r="I279" s="29" t="s">
        <v>46</v>
      </c>
      <c r="J279" s="30">
        <v>10</v>
      </c>
      <c r="K279" s="31">
        <f>3739</f>
        <v>3739</v>
      </c>
      <c r="L279" s="32" t="s">
        <v>995</v>
      </c>
      <c r="M279" s="31">
        <f>4124</f>
        <v>4124</v>
      </c>
      <c r="N279" s="32" t="s">
        <v>793</v>
      </c>
      <c r="O279" s="31">
        <f>3736</f>
        <v>3736</v>
      </c>
      <c r="P279" s="32" t="s">
        <v>995</v>
      </c>
      <c r="Q279" s="31">
        <f>4054</f>
        <v>4054</v>
      </c>
      <c r="R279" s="32" t="s">
        <v>893</v>
      </c>
      <c r="S279" s="33">
        <f>4010.1</f>
        <v>4010.1</v>
      </c>
      <c r="T279" s="30">
        <f>3078390</f>
        <v>3078390</v>
      </c>
      <c r="U279" s="30">
        <f>392600</f>
        <v>392600</v>
      </c>
      <c r="V279" s="30">
        <f>12271545027</f>
        <v>12271545027</v>
      </c>
      <c r="W279" s="30">
        <f>1552848817</f>
        <v>1552848817</v>
      </c>
      <c r="X279" s="34">
        <f>20</f>
        <v>20</v>
      </c>
    </row>
    <row r="280" spans="1:24" x14ac:dyDescent="0.15">
      <c r="A280" s="25" t="s">
        <v>1210</v>
      </c>
      <c r="B280" s="25" t="s">
        <v>755</v>
      </c>
      <c r="C280" s="25" t="s">
        <v>756</v>
      </c>
      <c r="D280" s="25" t="s">
        <v>757</v>
      </c>
      <c r="E280" s="26" t="s">
        <v>45</v>
      </c>
      <c r="F280" s="27" t="s">
        <v>45</v>
      </c>
      <c r="G280" s="28" t="s">
        <v>45</v>
      </c>
      <c r="H280" s="29"/>
      <c r="I280" s="29" t="s">
        <v>46</v>
      </c>
      <c r="J280" s="30">
        <v>10</v>
      </c>
      <c r="K280" s="31">
        <f>2371</f>
        <v>2371</v>
      </c>
      <c r="L280" s="32" t="s">
        <v>995</v>
      </c>
      <c r="M280" s="31">
        <f>2636</f>
        <v>2636</v>
      </c>
      <c r="N280" s="32" t="s">
        <v>998</v>
      </c>
      <c r="O280" s="31">
        <f>2369</f>
        <v>2369</v>
      </c>
      <c r="P280" s="32" t="s">
        <v>995</v>
      </c>
      <c r="Q280" s="31">
        <f>2625.5</f>
        <v>2625.5</v>
      </c>
      <c r="R280" s="32" t="s">
        <v>893</v>
      </c>
      <c r="S280" s="33">
        <f>2558.53</f>
        <v>2558.5300000000002</v>
      </c>
      <c r="T280" s="30">
        <f>4319490</f>
        <v>4319490</v>
      </c>
      <c r="U280" s="30">
        <f>926420</f>
        <v>926420</v>
      </c>
      <c r="V280" s="30">
        <f>10897270314</f>
        <v>10897270314</v>
      </c>
      <c r="W280" s="30">
        <f>2296873394</f>
        <v>2296873394</v>
      </c>
      <c r="X280" s="34">
        <f>20</f>
        <v>20</v>
      </c>
    </row>
    <row r="281" spans="1:24" x14ac:dyDescent="0.15">
      <c r="A281" s="25" t="s">
        <v>1210</v>
      </c>
      <c r="B281" s="25" t="s">
        <v>758</v>
      </c>
      <c r="C281" s="25" t="s">
        <v>759</v>
      </c>
      <c r="D281" s="25" t="s">
        <v>760</v>
      </c>
      <c r="E281" s="26" t="s">
        <v>45</v>
      </c>
      <c r="F281" s="27" t="s">
        <v>45</v>
      </c>
      <c r="G281" s="28" t="s">
        <v>45</v>
      </c>
      <c r="H281" s="29"/>
      <c r="I281" s="29" t="s">
        <v>46</v>
      </c>
      <c r="J281" s="30">
        <v>10</v>
      </c>
      <c r="K281" s="31">
        <f>336.1</f>
        <v>336.1</v>
      </c>
      <c r="L281" s="32" t="s">
        <v>995</v>
      </c>
      <c r="M281" s="31">
        <f>338.5</f>
        <v>338.5</v>
      </c>
      <c r="N281" s="32" t="s">
        <v>1005</v>
      </c>
      <c r="O281" s="31">
        <f>329</f>
        <v>329</v>
      </c>
      <c r="P281" s="32" t="s">
        <v>1017</v>
      </c>
      <c r="Q281" s="31">
        <f>330.6</f>
        <v>330.6</v>
      </c>
      <c r="R281" s="32" t="s">
        <v>893</v>
      </c>
      <c r="S281" s="33">
        <f>335.04</f>
        <v>335.04</v>
      </c>
      <c r="T281" s="30">
        <f>113718280</f>
        <v>113718280</v>
      </c>
      <c r="U281" s="30">
        <f>97911880</f>
        <v>97911880</v>
      </c>
      <c r="V281" s="30">
        <f>38301327173</f>
        <v>38301327173</v>
      </c>
      <c r="W281" s="30">
        <f>33026411633</f>
        <v>33026411633</v>
      </c>
      <c r="X281" s="34">
        <f>20</f>
        <v>20</v>
      </c>
    </row>
    <row r="282" spans="1:24" x14ac:dyDescent="0.15">
      <c r="A282" s="25" t="s">
        <v>1210</v>
      </c>
      <c r="B282" s="25" t="s">
        <v>761</v>
      </c>
      <c r="C282" s="25" t="s">
        <v>762</v>
      </c>
      <c r="D282" s="25" t="s">
        <v>763</v>
      </c>
      <c r="E282" s="26" t="s">
        <v>45</v>
      </c>
      <c r="F282" s="27" t="s">
        <v>45</v>
      </c>
      <c r="G282" s="28" t="s">
        <v>45</v>
      </c>
      <c r="H282" s="29"/>
      <c r="I282" s="29" t="s">
        <v>46</v>
      </c>
      <c r="J282" s="30">
        <v>1</v>
      </c>
      <c r="K282" s="31">
        <f>1151</f>
        <v>1151</v>
      </c>
      <c r="L282" s="32" t="s">
        <v>995</v>
      </c>
      <c r="M282" s="31">
        <f>1279</f>
        <v>1279</v>
      </c>
      <c r="N282" s="32" t="s">
        <v>893</v>
      </c>
      <c r="O282" s="31">
        <f>1149</f>
        <v>1149</v>
      </c>
      <c r="P282" s="32" t="s">
        <v>995</v>
      </c>
      <c r="Q282" s="31">
        <f>1273</f>
        <v>1273</v>
      </c>
      <c r="R282" s="32" t="s">
        <v>893</v>
      </c>
      <c r="S282" s="33">
        <f>1230.3</f>
        <v>1230.3</v>
      </c>
      <c r="T282" s="30">
        <f>30109269</f>
        <v>30109269</v>
      </c>
      <c r="U282" s="30">
        <f>100265</f>
        <v>100265</v>
      </c>
      <c r="V282" s="30">
        <f>37156759820</f>
        <v>37156759820</v>
      </c>
      <c r="W282" s="30">
        <f>119419110</f>
        <v>119419110</v>
      </c>
      <c r="X282" s="34">
        <f>20</f>
        <v>20</v>
      </c>
    </row>
    <row r="283" spans="1:24" x14ac:dyDescent="0.15">
      <c r="A283" s="25" t="s">
        <v>1210</v>
      </c>
      <c r="B283" s="25" t="s">
        <v>764</v>
      </c>
      <c r="C283" s="25" t="s">
        <v>765</v>
      </c>
      <c r="D283" s="25" t="s">
        <v>766</v>
      </c>
      <c r="E283" s="26" t="s">
        <v>45</v>
      </c>
      <c r="F283" s="27" t="s">
        <v>45</v>
      </c>
      <c r="G283" s="28" t="s">
        <v>45</v>
      </c>
      <c r="H283" s="29"/>
      <c r="I283" s="29" t="s">
        <v>46</v>
      </c>
      <c r="J283" s="30">
        <v>1</v>
      </c>
      <c r="K283" s="31">
        <f>1654</f>
        <v>1654</v>
      </c>
      <c r="L283" s="32" t="s">
        <v>995</v>
      </c>
      <c r="M283" s="31">
        <f>1799</f>
        <v>1799</v>
      </c>
      <c r="N283" s="32" t="s">
        <v>1001</v>
      </c>
      <c r="O283" s="31">
        <f>1654</f>
        <v>1654</v>
      </c>
      <c r="P283" s="32" t="s">
        <v>995</v>
      </c>
      <c r="Q283" s="31">
        <f>1760</f>
        <v>1760</v>
      </c>
      <c r="R283" s="32" t="s">
        <v>893</v>
      </c>
      <c r="S283" s="33">
        <f>1713.1</f>
        <v>1713.1</v>
      </c>
      <c r="T283" s="30">
        <f>75810</f>
        <v>75810</v>
      </c>
      <c r="U283" s="30" t="str">
        <f>"－"</f>
        <v>－</v>
      </c>
      <c r="V283" s="30">
        <f>129734532</f>
        <v>129734532</v>
      </c>
      <c r="W283" s="30" t="str">
        <f>"－"</f>
        <v>－</v>
      </c>
      <c r="X283" s="34">
        <f>20</f>
        <v>20</v>
      </c>
    </row>
    <row r="284" spans="1:24" x14ac:dyDescent="0.15">
      <c r="A284" s="25" t="s">
        <v>1210</v>
      </c>
      <c r="B284" s="25" t="s">
        <v>767</v>
      </c>
      <c r="C284" s="25" t="s">
        <v>768</v>
      </c>
      <c r="D284" s="25" t="s">
        <v>769</v>
      </c>
      <c r="E284" s="26" t="s">
        <v>45</v>
      </c>
      <c r="F284" s="27" t="s">
        <v>45</v>
      </c>
      <c r="G284" s="28" t="s">
        <v>45</v>
      </c>
      <c r="H284" s="29"/>
      <c r="I284" s="29" t="s">
        <v>46</v>
      </c>
      <c r="J284" s="30">
        <v>1</v>
      </c>
      <c r="K284" s="31">
        <f>2057</f>
        <v>2057</v>
      </c>
      <c r="L284" s="32" t="s">
        <v>995</v>
      </c>
      <c r="M284" s="31">
        <f>2592</f>
        <v>2592</v>
      </c>
      <c r="N284" s="32" t="s">
        <v>893</v>
      </c>
      <c r="O284" s="31">
        <f>2057</f>
        <v>2057</v>
      </c>
      <c r="P284" s="32" t="s">
        <v>995</v>
      </c>
      <c r="Q284" s="31">
        <f>2097</f>
        <v>2097</v>
      </c>
      <c r="R284" s="32" t="s">
        <v>893</v>
      </c>
      <c r="S284" s="33">
        <f>2074.47</f>
        <v>2074.4699999999998</v>
      </c>
      <c r="T284" s="30">
        <f>1604364</f>
        <v>1604364</v>
      </c>
      <c r="U284" s="30">
        <f>1593000</f>
        <v>1593000</v>
      </c>
      <c r="V284" s="30">
        <f>3311916795</f>
        <v>3311916795</v>
      </c>
      <c r="W284" s="30">
        <f>3286693100</f>
        <v>3286693100</v>
      </c>
      <c r="X284" s="34">
        <f>19</f>
        <v>19</v>
      </c>
    </row>
    <row r="285" spans="1:24" x14ac:dyDescent="0.15">
      <c r="A285" s="25" t="s">
        <v>1210</v>
      </c>
      <c r="B285" s="25" t="s">
        <v>770</v>
      </c>
      <c r="C285" s="25" t="s">
        <v>771</v>
      </c>
      <c r="D285" s="25" t="s">
        <v>1087</v>
      </c>
      <c r="E285" s="26" t="s">
        <v>45</v>
      </c>
      <c r="F285" s="27" t="s">
        <v>45</v>
      </c>
      <c r="G285" s="28" t="s">
        <v>45</v>
      </c>
      <c r="H285" s="29"/>
      <c r="I285" s="29" t="s">
        <v>46</v>
      </c>
      <c r="J285" s="30">
        <v>1</v>
      </c>
      <c r="K285" s="31">
        <f>3145</f>
        <v>3145</v>
      </c>
      <c r="L285" s="32" t="s">
        <v>995</v>
      </c>
      <c r="M285" s="31">
        <f>3395</f>
        <v>3395</v>
      </c>
      <c r="N285" s="32" t="s">
        <v>80</v>
      </c>
      <c r="O285" s="31">
        <f>3145</f>
        <v>3145</v>
      </c>
      <c r="P285" s="32" t="s">
        <v>995</v>
      </c>
      <c r="Q285" s="31">
        <f>3360</f>
        <v>3360</v>
      </c>
      <c r="R285" s="32" t="s">
        <v>893</v>
      </c>
      <c r="S285" s="33">
        <f>3306.25</f>
        <v>3306.25</v>
      </c>
      <c r="T285" s="30">
        <f>1051317</f>
        <v>1051317</v>
      </c>
      <c r="U285" s="30">
        <f>819909</f>
        <v>819909</v>
      </c>
      <c r="V285" s="30">
        <f>3464191815</f>
        <v>3464191815</v>
      </c>
      <c r="W285" s="30">
        <f>2700478130</f>
        <v>2700478130</v>
      </c>
      <c r="X285" s="34">
        <f>20</f>
        <v>20</v>
      </c>
    </row>
    <row r="286" spans="1:24" x14ac:dyDescent="0.15">
      <c r="A286" s="25" t="s">
        <v>1210</v>
      </c>
      <c r="B286" s="25" t="s">
        <v>773</v>
      </c>
      <c r="C286" s="25" t="s">
        <v>774</v>
      </c>
      <c r="D286" s="25" t="s">
        <v>1088</v>
      </c>
      <c r="E286" s="26" t="s">
        <v>45</v>
      </c>
      <c r="F286" s="27" t="s">
        <v>45</v>
      </c>
      <c r="G286" s="28" t="s">
        <v>45</v>
      </c>
      <c r="H286" s="29"/>
      <c r="I286" s="29" t="s">
        <v>46</v>
      </c>
      <c r="J286" s="30">
        <v>1</v>
      </c>
      <c r="K286" s="31">
        <f>2303</f>
        <v>2303</v>
      </c>
      <c r="L286" s="32" t="s">
        <v>995</v>
      </c>
      <c r="M286" s="31">
        <f>2409</f>
        <v>2409</v>
      </c>
      <c r="N286" s="32" t="s">
        <v>80</v>
      </c>
      <c r="O286" s="31">
        <f>2299</f>
        <v>2299</v>
      </c>
      <c r="P286" s="32" t="s">
        <v>995</v>
      </c>
      <c r="Q286" s="31">
        <f>2378</f>
        <v>2378</v>
      </c>
      <c r="R286" s="32" t="s">
        <v>893</v>
      </c>
      <c r="S286" s="33">
        <f>2361.15</f>
        <v>2361.15</v>
      </c>
      <c r="T286" s="30">
        <f>949861</f>
        <v>949861</v>
      </c>
      <c r="U286" s="30" t="str">
        <f>"－"</f>
        <v>－</v>
      </c>
      <c r="V286" s="30">
        <f>2233064119</f>
        <v>2233064119</v>
      </c>
      <c r="W286" s="30" t="str">
        <f>"－"</f>
        <v>－</v>
      </c>
      <c r="X286" s="34">
        <f>20</f>
        <v>20</v>
      </c>
    </row>
    <row r="287" spans="1:24" x14ac:dyDescent="0.15">
      <c r="A287" s="25" t="s">
        <v>1210</v>
      </c>
      <c r="B287" s="25" t="s">
        <v>776</v>
      </c>
      <c r="C287" s="25" t="s">
        <v>777</v>
      </c>
      <c r="D287" s="25" t="s">
        <v>778</v>
      </c>
      <c r="E287" s="26" t="s">
        <v>45</v>
      </c>
      <c r="F287" s="27" t="s">
        <v>45</v>
      </c>
      <c r="G287" s="28" t="s">
        <v>45</v>
      </c>
      <c r="H287" s="29"/>
      <c r="I287" s="29" t="s">
        <v>46</v>
      </c>
      <c r="J287" s="30">
        <v>1</v>
      </c>
      <c r="K287" s="31">
        <f>1951</f>
        <v>1951</v>
      </c>
      <c r="L287" s="32" t="s">
        <v>995</v>
      </c>
      <c r="M287" s="31">
        <f>2060</f>
        <v>2060</v>
      </c>
      <c r="N287" s="32" t="s">
        <v>793</v>
      </c>
      <c r="O287" s="31">
        <f>1951</f>
        <v>1951</v>
      </c>
      <c r="P287" s="32" t="s">
        <v>995</v>
      </c>
      <c r="Q287" s="31">
        <f>2035</f>
        <v>2035</v>
      </c>
      <c r="R287" s="32" t="s">
        <v>893</v>
      </c>
      <c r="S287" s="33">
        <f>2020.55</f>
        <v>2020.55</v>
      </c>
      <c r="T287" s="30">
        <f>59197</f>
        <v>59197</v>
      </c>
      <c r="U287" s="30" t="str">
        <f>"－"</f>
        <v>－</v>
      </c>
      <c r="V287" s="30">
        <f>119351336</f>
        <v>119351336</v>
      </c>
      <c r="W287" s="30" t="str">
        <f>"－"</f>
        <v>－</v>
      </c>
      <c r="X287" s="34">
        <f>20</f>
        <v>20</v>
      </c>
    </row>
    <row r="288" spans="1:24" x14ac:dyDescent="0.15">
      <c r="A288" s="25" t="s">
        <v>1210</v>
      </c>
      <c r="B288" s="25" t="s">
        <v>779</v>
      </c>
      <c r="C288" s="25" t="s">
        <v>780</v>
      </c>
      <c r="D288" s="25" t="s">
        <v>781</v>
      </c>
      <c r="E288" s="26" t="s">
        <v>45</v>
      </c>
      <c r="F288" s="27" t="s">
        <v>45</v>
      </c>
      <c r="G288" s="28" t="s">
        <v>45</v>
      </c>
      <c r="H288" s="29"/>
      <c r="I288" s="29" t="s">
        <v>46</v>
      </c>
      <c r="J288" s="30">
        <v>1</v>
      </c>
      <c r="K288" s="31">
        <f>1148</f>
        <v>1148</v>
      </c>
      <c r="L288" s="32" t="s">
        <v>995</v>
      </c>
      <c r="M288" s="31">
        <f>1291</f>
        <v>1291</v>
      </c>
      <c r="N288" s="32" t="s">
        <v>255</v>
      </c>
      <c r="O288" s="31">
        <f>1140</f>
        <v>1140</v>
      </c>
      <c r="P288" s="32" t="s">
        <v>995</v>
      </c>
      <c r="Q288" s="31">
        <f>1273</f>
        <v>1273</v>
      </c>
      <c r="R288" s="32" t="s">
        <v>893</v>
      </c>
      <c r="S288" s="33">
        <f>1250.25</f>
        <v>1250.25</v>
      </c>
      <c r="T288" s="30">
        <f>47351</f>
        <v>47351</v>
      </c>
      <c r="U288" s="30" t="str">
        <f>"－"</f>
        <v>－</v>
      </c>
      <c r="V288" s="30">
        <f>59812334</f>
        <v>59812334</v>
      </c>
      <c r="W288" s="30" t="str">
        <f>"－"</f>
        <v>－</v>
      </c>
      <c r="X288" s="34">
        <f>20</f>
        <v>20</v>
      </c>
    </row>
    <row r="289" spans="1:24" x14ac:dyDescent="0.15">
      <c r="A289" s="25" t="s">
        <v>1210</v>
      </c>
      <c r="B289" s="25" t="s">
        <v>797</v>
      </c>
      <c r="C289" s="25" t="s">
        <v>798</v>
      </c>
      <c r="D289" s="25" t="s">
        <v>799</v>
      </c>
      <c r="E289" s="26" t="s">
        <v>45</v>
      </c>
      <c r="F289" s="27" t="s">
        <v>45</v>
      </c>
      <c r="G289" s="28" t="s">
        <v>45</v>
      </c>
      <c r="H289" s="29"/>
      <c r="I289" s="29" t="s">
        <v>46</v>
      </c>
      <c r="J289" s="30">
        <v>1</v>
      </c>
      <c r="K289" s="31">
        <f>1837</f>
        <v>1837</v>
      </c>
      <c r="L289" s="32" t="s">
        <v>995</v>
      </c>
      <c r="M289" s="31">
        <f>1940</f>
        <v>1940</v>
      </c>
      <c r="N289" s="32" t="s">
        <v>1002</v>
      </c>
      <c r="O289" s="31">
        <f>1811</f>
        <v>1811</v>
      </c>
      <c r="P289" s="32" t="s">
        <v>999</v>
      </c>
      <c r="Q289" s="31">
        <f>1816</f>
        <v>1816</v>
      </c>
      <c r="R289" s="32" t="s">
        <v>893</v>
      </c>
      <c r="S289" s="33">
        <f>1870.6</f>
        <v>1870.6</v>
      </c>
      <c r="T289" s="30">
        <f>9739</f>
        <v>9739</v>
      </c>
      <c r="U289" s="30">
        <f>36</f>
        <v>36</v>
      </c>
      <c r="V289" s="30">
        <f>18308773</f>
        <v>18308773</v>
      </c>
      <c r="W289" s="30">
        <f>61812</f>
        <v>61812</v>
      </c>
      <c r="X289" s="34">
        <f>20</f>
        <v>20</v>
      </c>
    </row>
    <row r="290" spans="1:24" x14ac:dyDescent="0.15">
      <c r="A290" s="25" t="s">
        <v>1210</v>
      </c>
      <c r="B290" s="25" t="s">
        <v>800</v>
      </c>
      <c r="C290" s="25" t="s">
        <v>801</v>
      </c>
      <c r="D290" s="25" t="s">
        <v>802</v>
      </c>
      <c r="E290" s="26" t="s">
        <v>45</v>
      </c>
      <c r="F290" s="27" t="s">
        <v>45</v>
      </c>
      <c r="G290" s="28" t="s">
        <v>45</v>
      </c>
      <c r="H290" s="29"/>
      <c r="I290" s="29" t="s">
        <v>46</v>
      </c>
      <c r="J290" s="30">
        <v>1</v>
      </c>
      <c r="K290" s="31">
        <f>2356</f>
        <v>2356</v>
      </c>
      <c r="L290" s="32" t="s">
        <v>995</v>
      </c>
      <c r="M290" s="31">
        <f>2453</f>
        <v>2453</v>
      </c>
      <c r="N290" s="32" t="s">
        <v>876</v>
      </c>
      <c r="O290" s="31">
        <f>2308</f>
        <v>2308</v>
      </c>
      <c r="P290" s="32" t="s">
        <v>1017</v>
      </c>
      <c r="Q290" s="31">
        <f>2311</f>
        <v>2311</v>
      </c>
      <c r="R290" s="32" t="s">
        <v>893</v>
      </c>
      <c r="S290" s="33">
        <f>2380.65</f>
        <v>2380.65</v>
      </c>
      <c r="T290" s="30">
        <f>1921</f>
        <v>1921</v>
      </c>
      <c r="U290" s="30" t="str">
        <f>"－"</f>
        <v>－</v>
      </c>
      <c r="V290" s="30">
        <f>4612964</f>
        <v>4612964</v>
      </c>
      <c r="W290" s="30" t="str">
        <f>"－"</f>
        <v>－</v>
      </c>
      <c r="X290" s="34">
        <f>20</f>
        <v>20</v>
      </c>
    </row>
    <row r="291" spans="1:24" x14ac:dyDescent="0.15">
      <c r="A291" s="25" t="s">
        <v>1210</v>
      </c>
      <c r="B291" s="25" t="s">
        <v>803</v>
      </c>
      <c r="C291" s="25" t="s">
        <v>804</v>
      </c>
      <c r="D291" s="25" t="s">
        <v>805</v>
      </c>
      <c r="E291" s="26" t="s">
        <v>45</v>
      </c>
      <c r="F291" s="27" t="s">
        <v>45</v>
      </c>
      <c r="G291" s="28" t="s">
        <v>45</v>
      </c>
      <c r="H291" s="29"/>
      <c r="I291" s="29" t="s">
        <v>46</v>
      </c>
      <c r="J291" s="30">
        <v>1</v>
      </c>
      <c r="K291" s="31">
        <f>9980</f>
        <v>9980</v>
      </c>
      <c r="L291" s="32" t="s">
        <v>995</v>
      </c>
      <c r="M291" s="31">
        <f>10855</f>
        <v>10855</v>
      </c>
      <c r="N291" s="32" t="s">
        <v>793</v>
      </c>
      <c r="O291" s="31">
        <f>9971</f>
        <v>9971</v>
      </c>
      <c r="P291" s="32" t="s">
        <v>995</v>
      </c>
      <c r="Q291" s="31">
        <f>10830</f>
        <v>10830</v>
      </c>
      <c r="R291" s="32" t="s">
        <v>893</v>
      </c>
      <c r="S291" s="33">
        <f>10594.75</f>
        <v>10594.75</v>
      </c>
      <c r="T291" s="30">
        <f>331297</f>
        <v>331297</v>
      </c>
      <c r="U291" s="30">
        <f>129117</f>
        <v>129117</v>
      </c>
      <c r="V291" s="30">
        <f>3475477348</f>
        <v>3475477348</v>
      </c>
      <c r="W291" s="30">
        <f>1353456156</f>
        <v>1353456156</v>
      </c>
      <c r="X291" s="34">
        <f>20</f>
        <v>20</v>
      </c>
    </row>
    <row r="292" spans="1:24" x14ac:dyDescent="0.15">
      <c r="A292" s="25" t="s">
        <v>1210</v>
      </c>
      <c r="B292" s="25" t="s">
        <v>806</v>
      </c>
      <c r="C292" s="25" t="s">
        <v>807</v>
      </c>
      <c r="D292" s="25" t="s">
        <v>808</v>
      </c>
      <c r="E292" s="26" t="s">
        <v>45</v>
      </c>
      <c r="F292" s="27" t="s">
        <v>45</v>
      </c>
      <c r="G292" s="28" t="s">
        <v>45</v>
      </c>
      <c r="H292" s="29"/>
      <c r="I292" s="29" t="s">
        <v>46</v>
      </c>
      <c r="J292" s="30">
        <v>1</v>
      </c>
      <c r="K292" s="31">
        <f>15640</f>
        <v>15640</v>
      </c>
      <c r="L292" s="32" t="s">
        <v>995</v>
      </c>
      <c r="M292" s="31">
        <f>17245</f>
        <v>17245</v>
      </c>
      <c r="N292" s="32" t="s">
        <v>793</v>
      </c>
      <c r="O292" s="31">
        <f>15625</f>
        <v>15625</v>
      </c>
      <c r="P292" s="32" t="s">
        <v>995</v>
      </c>
      <c r="Q292" s="31">
        <f>16960</f>
        <v>16960</v>
      </c>
      <c r="R292" s="32" t="s">
        <v>893</v>
      </c>
      <c r="S292" s="33">
        <f>16771.75</f>
        <v>16771.75</v>
      </c>
      <c r="T292" s="30">
        <f>765885</f>
        <v>765885</v>
      </c>
      <c r="U292" s="30">
        <f>12101</f>
        <v>12101</v>
      </c>
      <c r="V292" s="30">
        <f>12861549289</f>
        <v>12861549289</v>
      </c>
      <c r="W292" s="30">
        <f>206643694</f>
        <v>206643694</v>
      </c>
      <c r="X292" s="34">
        <f>20</f>
        <v>20</v>
      </c>
    </row>
    <row r="293" spans="1:24" x14ac:dyDescent="0.15">
      <c r="A293" s="25" t="s">
        <v>1210</v>
      </c>
      <c r="B293" s="25" t="s">
        <v>809</v>
      </c>
      <c r="C293" s="25" t="s">
        <v>810</v>
      </c>
      <c r="D293" s="25" t="s">
        <v>811</v>
      </c>
      <c r="E293" s="26" t="s">
        <v>45</v>
      </c>
      <c r="F293" s="27" t="s">
        <v>45</v>
      </c>
      <c r="G293" s="28" t="s">
        <v>45</v>
      </c>
      <c r="H293" s="29"/>
      <c r="I293" s="29" t="s">
        <v>46</v>
      </c>
      <c r="J293" s="30">
        <v>1</v>
      </c>
      <c r="K293" s="31">
        <f>9950</f>
        <v>9950</v>
      </c>
      <c r="L293" s="32" t="s">
        <v>995</v>
      </c>
      <c r="M293" s="31">
        <f>11080</f>
        <v>11080</v>
      </c>
      <c r="N293" s="32" t="s">
        <v>998</v>
      </c>
      <c r="O293" s="31">
        <f>9941</f>
        <v>9941</v>
      </c>
      <c r="P293" s="32" t="s">
        <v>995</v>
      </c>
      <c r="Q293" s="31">
        <f>11040</f>
        <v>11040</v>
      </c>
      <c r="R293" s="32" t="s">
        <v>893</v>
      </c>
      <c r="S293" s="33">
        <f>10749.15</f>
        <v>10749.15</v>
      </c>
      <c r="T293" s="30">
        <f>773493</f>
        <v>773493</v>
      </c>
      <c r="U293" s="30">
        <f>361215</f>
        <v>361215</v>
      </c>
      <c r="V293" s="30">
        <f>8236709027</f>
        <v>8236709027</v>
      </c>
      <c r="W293" s="30">
        <f>3823618109</f>
        <v>3823618109</v>
      </c>
      <c r="X293" s="34">
        <f>20</f>
        <v>20</v>
      </c>
    </row>
    <row r="294" spans="1:24" x14ac:dyDescent="0.15">
      <c r="A294" s="25" t="s">
        <v>1210</v>
      </c>
      <c r="B294" s="25" t="s">
        <v>812</v>
      </c>
      <c r="C294" s="25" t="s">
        <v>813</v>
      </c>
      <c r="D294" s="25" t="s">
        <v>814</v>
      </c>
      <c r="E294" s="26" t="s">
        <v>45</v>
      </c>
      <c r="F294" s="27" t="s">
        <v>45</v>
      </c>
      <c r="G294" s="28" t="s">
        <v>45</v>
      </c>
      <c r="H294" s="29"/>
      <c r="I294" s="29" t="s">
        <v>46</v>
      </c>
      <c r="J294" s="30">
        <v>10</v>
      </c>
      <c r="K294" s="31">
        <f>2917.5</f>
        <v>2917.5</v>
      </c>
      <c r="L294" s="32" t="s">
        <v>995</v>
      </c>
      <c r="M294" s="31">
        <f>3148</f>
        <v>3148</v>
      </c>
      <c r="N294" s="32" t="s">
        <v>793</v>
      </c>
      <c r="O294" s="31">
        <f>2914.5</f>
        <v>2914.5</v>
      </c>
      <c r="P294" s="32" t="s">
        <v>995</v>
      </c>
      <c r="Q294" s="31">
        <f>3094</f>
        <v>3094</v>
      </c>
      <c r="R294" s="32" t="s">
        <v>893</v>
      </c>
      <c r="S294" s="33">
        <f>3072.73</f>
        <v>3072.73</v>
      </c>
      <c r="T294" s="30">
        <f>1230090</f>
        <v>1230090</v>
      </c>
      <c r="U294" s="30">
        <f>160010</f>
        <v>160010</v>
      </c>
      <c r="V294" s="30">
        <f>3743125675</f>
        <v>3743125675</v>
      </c>
      <c r="W294" s="30">
        <f>480354180</f>
        <v>480354180</v>
      </c>
      <c r="X294" s="34">
        <f>20</f>
        <v>20</v>
      </c>
    </row>
    <row r="295" spans="1:24" x14ac:dyDescent="0.15">
      <c r="A295" s="25" t="s">
        <v>1210</v>
      </c>
      <c r="B295" s="25" t="s">
        <v>815</v>
      </c>
      <c r="C295" s="25" t="s">
        <v>816</v>
      </c>
      <c r="D295" s="25" t="s">
        <v>817</v>
      </c>
      <c r="E295" s="26" t="s">
        <v>45</v>
      </c>
      <c r="F295" s="27" t="s">
        <v>45</v>
      </c>
      <c r="G295" s="28" t="s">
        <v>45</v>
      </c>
      <c r="H295" s="29"/>
      <c r="I295" s="29" t="s">
        <v>46</v>
      </c>
      <c r="J295" s="30">
        <v>10</v>
      </c>
      <c r="K295" s="31">
        <f>1954.5</f>
        <v>1954.5</v>
      </c>
      <c r="L295" s="32" t="s">
        <v>995</v>
      </c>
      <c r="M295" s="31">
        <f>2125.5</f>
        <v>2125.5</v>
      </c>
      <c r="N295" s="32" t="s">
        <v>793</v>
      </c>
      <c r="O295" s="31">
        <f>1952</f>
        <v>1952</v>
      </c>
      <c r="P295" s="32" t="s">
        <v>995</v>
      </c>
      <c r="Q295" s="31">
        <f>2120</f>
        <v>2120</v>
      </c>
      <c r="R295" s="32" t="s">
        <v>893</v>
      </c>
      <c r="S295" s="33">
        <f>2072.93</f>
        <v>2072.9299999999998</v>
      </c>
      <c r="T295" s="30">
        <f>3390170</f>
        <v>3390170</v>
      </c>
      <c r="U295" s="30">
        <f>1550000</f>
        <v>1550000</v>
      </c>
      <c r="V295" s="30">
        <f>7003531865</f>
        <v>7003531865</v>
      </c>
      <c r="W295" s="30">
        <f>3186557550</f>
        <v>3186557550</v>
      </c>
      <c r="X295" s="34">
        <f>20</f>
        <v>20</v>
      </c>
    </row>
    <row r="296" spans="1:24" x14ac:dyDescent="0.15">
      <c r="A296" s="25" t="s">
        <v>1210</v>
      </c>
      <c r="B296" s="25" t="s">
        <v>818</v>
      </c>
      <c r="C296" s="25" t="s">
        <v>819</v>
      </c>
      <c r="D296" s="25" t="s">
        <v>820</v>
      </c>
      <c r="E296" s="26" t="s">
        <v>45</v>
      </c>
      <c r="F296" s="27" t="s">
        <v>45</v>
      </c>
      <c r="G296" s="28" t="s">
        <v>45</v>
      </c>
      <c r="H296" s="29"/>
      <c r="I296" s="29" t="s">
        <v>46</v>
      </c>
      <c r="J296" s="30">
        <v>10</v>
      </c>
      <c r="K296" s="31">
        <f>3020</f>
        <v>3020</v>
      </c>
      <c r="L296" s="32" t="s">
        <v>995</v>
      </c>
      <c r="M296" s="31">
        <f>3297</f>
        <v>3297</v>
      </c>
      <c r="N296" s="32" t="s">
        <v>997</v>
      </c>
      <c r="O296" s="31">
        <f>3020</f>
        <v>3020</v>
      </c>
      <c r="P296" s="32" t="s">
        <v>995</v>
      </c>
      <c r="Q296" s="31">
        <f>3230</f>
        <v>3230</v>
      </c>
      <c r="R296" s="32" t="s">
        <v>893</v>
      </c>
      <c r="S296" s="33">
        <f>3206.45</f>
        <v>3206.45</v>
      </c>
      <c r="T296" s="30">
        <f>204770</f>
        <v>204770</v>
      </c>
      <c r="U296" s="30">
        <f>40</f>
        <v>40</v>
      </c>
      <c r="V296" s="30">
        <f>644202260</f>
        <v>644202260</v>
      </c>
      <c r="W296" s="30">
        <f>126960</f>
        <v>126960</v>
      </c>
      <c r="X296" s="34">
        <f>20</f>
        <v>20</v>
      </c>
    </row>
    <row r="297" spans="1:24" x14ac:dyDescent="0.15">
      <c r="A297" s="25" t="s">
        <v>1210</v>
      </c>
      <c r="B297" s="25" t="s">
        <v>821</v>
      </c>
      <c r="C297" s="25" t="s">
        <v>822</v>
      </c>
      <c r="D297" s="25" t="s">
        <v>823</v>
      </c>
      <c r="E297" s="26" t="s">
        <v>45</v>
      </c>
      <c r="F297" s="27" t="s">
        <v>45</v>
      </c>
      <c r="G297" s="28" t="s">
        <v>45</v>
      </c>
      <c r="H297" s="29"/>
      <c r="I297" s="29" t="s">
        <v>46</v>
      </c>
      <c r="J297" s="30">
        <v>1</v>
      </c>
      <c r="K297" s="31">
        <f>2697</f>
        <v>2697</v>
      </c>
      <c r="L297" s="32" t="s">
        <v>995</v>
      </c>
      <c r="M297" s="31">
        <f>2915</f>
        <v>2915</v>
      </c>
      <c r="N297" s="32" t="s">
        <v>793</v>
      </c>
      <c r="O297" s="31">
        <f>2697</f>
        <v>2697</v>
      </c>
      <c r="P297" s="32" t="s">
        <v>995</v>
      </c>
      <c r="Q297" s="31">
        <f>2875</f>
        <v>2875</v>
      </c>
      <c r="R297" s="32" t="s">
        <v>893</v>
      </c>
      <c r="S297" s="33">
        <f>2831.3</f>
        <v>2831.3</v>
      </c>
      <c r="T297" s="30">
        <f>9160</f>
        <v>9160</v>
      </c>
      <c r="U297" s="30" t="str">
        <f>"－"</f>
        <v>－</v>
      </c>
      <c r="V297" s="30">
        <f>25897265</f>
        <v>25897265</v>
      </c>
      <c r="W297" s="30" t="str">
        <f>"－"</f>
        <v>－</v>
      </c>
      <c r="X297" s="34">
        <f>20</f>
        <v>20</v>
      </c>
    </row>
    <row r="298" spans="1:24" x14ac:dyDescent="0.15">
      <c r="A298" s="25" t="s">
        <v>1210</v>
      </c>
      <c r="B298" s="25" t="s">
        <v>824</v>
      </c>
      <c r="C298" s="25" t="s">
        <v>1188</v>
      </c>
      <c r="D298" s="25" t="s">
        <v>1187</v>
      </c>
      <c r="E298" s="26" t="s">
        <v>45</v>
      </c>
      <c r="F298" s="27" t="s">
        <v>45</v>
      </c>
      <c r="G298" s="28" t="s">
        <v>45</v>
      </c>
      <c r="H298" s="29"/>
      <c r="I298" s="29" t="s">
        <v>46</v>
      </c>
      <c r="J298" s="30">
        <v>1</v>
      </c>
      <c r="K298" s="31">
        <f>1425</f>
        <v>1425</v>
      </c>
      <c r="L298" s="32" t="s">
        <v>995</v>
      </c>
      <c r="M298" s="31">
        <f>1535</f>
        <v>1535</v>
      </c>
      <c r="N298" s="32" t="s">
        <v>80</v>
      </c>
      <c r="O298" s="31">
        <f>1425</f>
        <v>1425</v>
      </c>
      <c r="P298" s="32" t="s">
        <v>995</v>
      </c>
      <c r="Q298" s="31">
        <f>1519</f>
        <v>1519</v>
      </c>
      <c r="R298" s="32" t="s">
        <v>893</v>
      </c>
      <c r="S298" s="33">
        <f>1498.75</f>
        <v>1498.75</v>
      </c>
      <c r="T298" s="30">
        <f>25228</f>
        <v>25228</v>
      </c>
      <c r="U298" s="30" t="str">
        <f>"－"</f>
        <v>－</v>
      </c>
      <c r="V298" s="30">
        <f>38045112</f>
        <v>38045112</v>
      </c>
      <c r="W298" s="30" t="str">
        <f>"－"</f>
        <v>－</v>
      </c>
      <c r="X298" s="34">
        <f>20</f>
        <v>20</v>
      </c>
    </row>
    <row r="299" spans="1:24" x14ac:dyDescent="0.15">
      <c r="A299" s="25" t="s">
        <v>1210</v>
      </c>
      <c r="B299" s="25" t="s">
        <v>827</v>
      </c>
      <c r="C299" s="25" t="s">
        <v>828</v>
      </c>
      <c r="D299" s="25" t="s">
        <v>829</v>
      </c>
      <c r="E299" s="26" t="s">
        <v>45</v>
      </c>
      <c r="F299" s="27" t="s">
        <v>45</v>
      </c>
      <c r="G299" s="28" t="s">
        <v>45</v>
      </c>
      <c r="H299" s="29"/>
      <c r="I299" s="29" t="s">
        <v>46</v>
      </c>
      <c r="J299" s="30">
        <v>1</v>
      </c>
      <c r="K299" s="31">
        <f>1825</f>
        <v>1825</v>
      </c>
      <c r="L299" s="32" t="s">
        <v>995</v>
      </c>
      <c r="M299" s="31">
        <f>2009</f>
        <v>2009</v>
      </c>
      <c r="N299" s="32" t="s">
        <v>793</v>
      </c>
      <c r="O299" s="31">
        <f>1817</f>
        <v>1817</v>
      </c>
      <c r="P299" s="32" t="s">
        <v>995</v>
      </c>
      <c r="Q299" s="31">
        <f>1974</f>
        <v>1974</v>
      </c>
      <c r="R299" s="32" t="s">
        <v>893</v>
      </c>
      <c r="S299" s="33">
        <f>1937.8</f>
        <v>1937.8</v>
      </c>
      <c r="T299" s="30">
        <f>209310</f>
        <v>209310</v>
      </c>
      <c r="U299" s="30">
        <f>100000</f>
        <v>100000</v>
      </c>
      <c r="V299" s="30">
        <f>407382812</f>
        <v>407382812</v>
      </c>
      <c r="W299" s="30">
        <f>194373000</f>
        <v>194373000</v>
      </c>
      <c r="X299" s="34">
        <f>20</f>
        <v>20</v>
      </c>
    </row>
    <row r="300" spans="1:24" x14ac:dyDescent="0.15">
      <c r="A300" s="25" t="s">
        <v>1210</v>
      </c>
      <c r="B300" s="25" t="s">
        <v>830</v>
      </c>
      <c r="C300" s="25" t="s">
        <v>831</v>
      </c>
      <c r="D300" s="25" t="s">
        <v>832</v>
      </c>
      <c r="E300" s="26" t="s">
        <v>45</v>
      </c>
      <c r="F300" s="27" t="s">
        <v>45</v>
      </c>
      <c r="G300" s="28" t="s">
        <v>45</v>
      </c>
      <c r="H300" s="29"/>
      <c r="I300" s="29" t="s">
        <v>46</v>
      </c>
      <c r="J300" s="30">
        <v>1</v>
      </c>
      <c r="K300" s="31">
        <f>1491</f>
        <v>1491</v>
      </c>
      <c r="L300" s="32" t="s">
        <v>995</v>
      </c>
      <c r="M300" s="31">
        <f>1610</f>
        <v>1610</v>
      </c>
      <c r="N300" s="32" t="s">
        <v>793</v>
      </c>
      <c r="O300" s="31">
        <f>1491</f>
        <v>1491</v>
      </c>
      <c r="P300" s="32" t="s">
        <v>995</v>
      </c>
      <c r="Q300" s="31">
        <f>1603</f>
        <v>1603</v>
      </c>
      <c r="R300" s="32" t="s">
        <v>893</v>
      </c>
      <c r="S300" s="33">
        <f>1559.95</f>
        <v>1559.95</v>
      </c>
      <c r="T300" s="30">
        <f>25701</f>
        <v>25701</v>
      </c>
      <c r="U300" s="30" t="str">
        <f>"－"</f>
        <v>－</v>
      </c>
      <c r="V300" s="30">
        <f>40691455</f>
        <v>40691455</v>
      </c>
      <c r="W300" s="30" t="str">
        <f>"－"</f>
        <v>－</v>
      </c>
      <c r="X300" s="34">
        <f>20</f>
        <v>20</v>
      </c>
    </row>
    <row r="301" spans="1:24" x14ac:dyDescent="0.15">
      <c r="A301" s="25" t="s">
        <v>1210</v>
      </c>
      <c r="B301" s="25" t="s">
        <v>833</v>
      </c>
      <c r="C301" s="25" t="s">
        <v>834</v>
      </c>
      <c r="D301" s="25" t="s">
        <v>835</v>
      </c>
      <c r="E301" s="26" t="s">
        <v>45</v>
      </c>
      <c r="F301" s="27" t="s">
        <v>45</v>
      </c>
      <c r="G301" s="28" t="s">
        <v>45</v>
      </c>
      <c r="H301" s="29"/>
      <c r="I301" s="29" t="s">
        <v>46</v>
      </c>
      <c r="J301" s="30">
        <v>1</v>
      </c>
      <c r="K301" s="31">
        <f>2675</f>
        <v>2675</v>
      </c>
      <c r="L301" s="32" t="s">
        <v>995</v>
      </c>
      <c r="M301" s="31">
        <f>2785</f>
        <v>2785</v>
      </c>
      <c r="N301" s="32" t="s">
        <v>875</v>
      </c>
      <c r="O301" s="31">
        <f>2668</f>
        <v>2668</v>
      </c>
      <c r="P301" s="32" t="s">
        <v>995</v>
      </c>
      <c r="Q301" s="31">
        <f>2703</f>
        <v>2703</v>
      </c>
      <c r="R301" s="32" t="s">
        <v>893</v>
      </c>
      <c r="S301" s="33">
        <f>2720.65</f>
        <v>2720.65</v>
      </c>
      <c r="T301" s="30">
        <f>122180</f>
        <v>122180</v>
      </c>
      <c r="U301" s="30">
        <f>85000</f>
        <v>85000</v>
      </c>
      <c r="V301" s="30">
        <f>334071234</f>
        <v>334071234</v>
      </c>
      <c r="W301" s="30">
        <f>232655200</f>
        <v>232655200</v>
      </c>
      <c r="X301" s="34">
        <f>20</f>
        <v>20</v>
      </c>
    </row>
    <row r="302" spans="1:24" x14ac:dyDescent="0.15">
      <c r="A302" s="25" t="s">
        <v>1210</v>
      </c>
      <c r="B302" s="25" t="s">
        <v>836</v>
      </c>
      <c r="C302" s="25" t="s">
        <v>1186</v>
      </c>
      <c r="D302" s="25" t="s">
        <v>1185</v>
      </c>
      <c r="E302" s="26" t="s">
        <v>45</v>
      </c>
      <c r="F302" s="27" t="s">
        <v>45</v>
      </c>
      <c r="G302" s="28" t="s">
        <v>45</v>
      </c>
      <c r="H302" s="29"/>
      <c r="I302" s="29" t="s">
        <v>46</v>
      </c>
      <c r="J302" s="30">
        <v>1</v>
      </c>
      <c r="K302" s="31">
        <f>2512</f>
        <v>2512</v>
      </c>
      <c r="L302" s="32" t="s">
        <v>995</v>
      </c>
      <c r="M302" s="31">
        <f>2663</f>
        <v>2663</v>
      </c>
      <c r="N302" s="32" t="s">
        <v>80</v>
      </c>
      <c r="O302" s="31">
        <f>2507</f>
        <v>2507</v>
      </c>
      <c r="P302" s="32" t="s">
        <v>995</v>
      </c>
      <c r="Q302" s="31">
        <f>2626</f>
        <v>2626</v>
      </c>
      <c r="R302" s="32" t="s">
        <v>893</v>
      </c>
      <c r="S302" s="33">
        <f>2600.75</f>
        <v>2600.75</v>
      </c>
      <c r="T302" s="30">
        <f>285131</f>
        <v>285131</v>
      </c>
      <c r="U302" s="30">
        <f>115002</f>
        <v>115002</v>
      </c>
      <c r="V302" s="30">
        <f>744076342</f>
        <v>744076342</v>
      </c>
      <c r="W302" s="30">
        <f>302401128</f>
        <v>302401128</v>
      </c>
      <c r="X302" s="34">
        <f>20</f>
        <v>20</v>
      </c>
    </row>
    <row r="303" spans="1:24" x14ac:dyDescent="0.15">
      <c r="A303" s="25" t="s">
        <v>1210</v>
      </c>
      <c r="B303" s="25" t="s">
        <v>839</v>
      </c>
      <c r="C303" s="25" t="s">
        <v>840</v>
      </c>
      <c r="D303" s="25" t="s">
        <v>841</v>
      </c>
      <c r="E303" s="26" t="s">
        <v>45</v>
      </c>
      <c r="F303" s="27" t="s">
        <v>45</v>
      </c>
      <c r="G303" s="28" t="s">
        <v>45</v>
      </c>
      <c r="H303" s="29"/>
      <c r="I303" s="29" t="s">
        <v>46</v>
      </c>
      <c r="J303" s="30">
        <v>1</v>
      </c>
      <c r="K303" s="31">
        <f>30670</f>
        <v>30670</v>
      </c>
      <c r="L303" s="32" t="s">
        <v>995</v>
      </c>
      <c r="M303" s="31">
        <f>32030</f>
        <v>32030</v>
      </c>
      <c r="N303" s="32" t="s">
        <v>80</v>
      </c>
      <c r="O303" s="31">
        <f>30670</f>
        <v>30670</v>
      </c>
      <c r="P303" s="32" t="s">
        <v>995</v>
      </c>
      <c r="Q303" s="31">
        <f>31500</f>
        <v>31500</v>
      </c>
      <c r="R303" s="32" t="s">
        <v>1017</v>
      </c>
      <c r="S303" s="33">
        <f>31358.67</f>
        <v>31358.67</v>
      </c>
      <c r="T303" s="30">
        <f>106</f>
        <v>106</v>
      </c>
      <c r="U303" s="30" t="str">
        <f>"－"</f>
        <v>－</v>
      </c>
      <c r="V303" s="30">
        <f>3311150</f>
        <v>3311150</v>
      </c>
      <c r="W303" s="30" t="str">
        <f>"－"</f>
        <v>－</v>
      </c>
      <c r="X303" s="34">
        <f>15</f>
        <v>15</v>
      </c>
    </row>
    <row r="304" spans="1:24" x14ac:dyDescent="0.15">
      <c r="A304" s="25" t="s">
        <v>1210</v>
      </c>
      <c r="B304" s="25" t="s">
        <v>842</v>
      </c>
      <c r="C304" s="25" t="s">
        <v>843</v>
      </c>
      <c r="D304" s="25" t="s">
        <v>844</v>
      </c>
      <c r="E304" s="26" t="s">
        <v>45</v>
      </c>
      <c r="F304" s="27" t="s">
        <v>45</v>
      </c>
      <c r="G304" s="28" t="s">
        <v>45</v>
      </c>
      <c r="H304" s="29"/>
      <c r="I304" s="29" t="s">
        <v>46</v>
      </c>
      <c r="J304" s="30">
        <v>1</v>
      </c>
      <c r="K304" s="31">
        <f>2321</f>
        <v>2321</v>
      </c>
      <c r="L304" s="32" t="s">
        <v>995</v>
      </c>
      <c r="M304" s="31">
        <f>2450</f>
        <v>2450</v>
      </c>
      <c r="N304" s="32" t="s">
        <v>80</v>
      </c>
      <c r="O304" s="31">
        <f>2321</f>
        <v>2321</v>
      </c>
      <c r="P304" s="32" t="s">
        <v>995</v>
      </c>
      <c r="Q304" s="31">
        <f>2427</f>
        <v>2427</v>
      </c>
      <c r="R304" s="32" t="s">
        <v>1017</v>
      </c>
      <c r="S304" s="33">
        <f>2402.63</f>
        <v>2402.63</v>
      </c>
      <c r="T304" s="30">
        <f>4992</f>
        <v>4992</v>
      </c>
      <c r="U304" s="30" t="str">
        <f>"－"</f>
        <v>－</v>
      </c>
      <c r="V304" s="30">
        <f>12114676</f>
        <v>12114676</v>
      </c>
      <c r="W304" s="30" t="str">
        <f>"－"</f>
        <v>－</v>
      </c>
      <c r="X304" s="34">
        <f>16</f>
        <v>16</v>
      </c>
    </row>
    <row r="305" spans="1:24" x14ac:dyDescent="0.15">
      <c r="A305" s="25" t="s">
        <v>1210</v>
      </c>
      <c r="B305" s="25" t="s">
        <v>845</v>
      </c>
      <c r="C305" s="25" t="s">
        <v>846</v>
      </c>
      <c r="D305" s="25" t="s">
        <v>847</v>
      </c>
      <c r="E305" s="26" t="s">
        <v>45</v>
      </c>
      <c r="F305" s="27" t="s">
        <v>45</v>
      </c>
      <c r="G305" s="28" t="s">
        <v>45</v>
      </c>
      <c r="H305" s="29"/>
      <c r="I305" s="29" t="s">
        <v>46</v>
      </c>
      <c r="J305" s="30">
        <v>1</v>
      </c>
      <c r="K305" s="31">
        <f>2967</f>
        <v>2967</v>
      </c>
      <c r="L305" s="32" t="s">
        <v>995</v>
      </c>
      <c r="M305" s="31">
        <f>3685</f>
        <v>3685</v>
      </c>
      <c r="N305" s="32" t="s">
        <v>893</v>
      </c>
      <c r="O305" s="31">
        <f>2952</f>
        <v>2952</v>
      </c>
      <c r="P305" s="32" t="s">
        <v>995</v>
      </c>
      <c r="Q305" s="31">
        <f>3675</f>
        <v>3675</v>
      </c>
      <c r="R305" s="32" t="s">
        <v>893</v>
      </c>
      <c r="S305" s="33">
        <f>3422.3</f>
        <v>3422.3</v>
      </c>
      <c r="T305" s="30">
        <f>4794909</f>
        <v>4794909</v>
      </c>
      <c r="U305" s="30">
        <f>631533</f>
        <v>631533</v>
      </c>
      <c r="V305" s="30">
        <f>16437057432</f>
        <v>16437057432</v>
      </c>
      <c r="W305" s="30">
        <f>2210152524</f>
        <v>2210152524</v>
      </c>
      <c r="X305" s="34">
        <f>20</f>
        <v>20</v>
      </c>
    </row>
    <row r="306" spans="1:24" x14ac:dyDescent="0.15">
      <c r="A306" s="25" t="s">
        <v>1210</v>
      </c>
      <c r="B306" s="25" t="s">
        <v>848</v>
      </c>
      <c r="C306" s="25" t="s">
        <v>849</v>
      </c>
      <c r="D306" s="25" t="s">
        <v>850</v>
      </c>
      <c r="E306" s="26" t="s">
        <v>45</v>
      </c>
      <c r="F306" s="27" t="s">
        <v>45</v>
      </c>
      <c r="G306" s="28" t="s">
        <v>45</v>
      </c>
      <c r="H306" s="29"/>
      <c r="I306" s="29" t="s">
        <v>46</v>
      </c>
      <c r="J306" s="30">
        <v>1</v>
      </c>
      <c r="K306" s="31">
        <f>1851</f>
        <v>1851</v>
      </c>
      <c r="L306" s="32" t="s">
        <v>995</v>
      </c>
      <c r="M306" s="31">
        <f>1928</f>
        <v>1928</v>
      </c>
      <c r="N306" s="32" t="s">
        <v>78</v>
      </c>
      <c r="O306" s="31">
        <f>1838</f>
        <v>1838</v>
      </c>
      <c r="P306" s="32" t="s">
        <v>995</v>
      </c>
      <c r="Q306" s="31">
        <f>1888</f>
        <v>1888</v>
      </c>
      <c r="R306" s="32" t="s">
        <v>893</v>
      </c>
      <c r="S306" s="33">
        <f>1886.6</f>
        <v>1886.6</v>
      </c>
      <c r="T306" s="30">
        <f>120819</f>
        <v>120819</v>
      </c>
      <c r="U306" s="30">
        <f>101000</f>
        <v>101000</v>
      </c>
      <c r="V306" s="30">
        <f>226392068</f>
        <v>226392068</v>
      </c>
      <c r="W306" s="30">
        <f>188922520</f>
        <v>188922520</v>
      </c>
      <c r="X306" s="34">
        <f>20</f>
        <v>20</v>
      </c>
    </row>
    <row r="307" spans="1:24" x14ac:dyDescent="0.15">
      <c r="A307" s="25" t="s">
        <v>1210</v>
      </c>
      <c r="B307" s="25" t="s">
        <v>851</v>
      </c>
      <c r="C307" s="25" t="s">
        <v>852</v>
      </c>
      <c r="D307" s="25" t="s">
        <v>853</v>
      </c>
      <c r="E307" s="26" t="s">
        <v>45</v>
      </c>
      <c r="F307" s="27" t="s">
        <v>45</v>
      </c>
      <c r="G307" s="28" t="s">
        <v>45</v>
      </c>
      <c r="H307" s="29"/>
      <c r="I307" s="29" t="s">
        <v>46</v>
      </c>
      <c r="J307" s="30">
        <v>1</v>
      </c>
      <c r="K307" s="31">
        <f>1657</f>
        <v>1657</v>
      </c>
      <c r="L307" s="32" t="s">
        <v>995</v>
      </c>
      <c r="M307" s="31">
        <f>1710</f>
        <v>1710</v>
      </c>
      <c r="N307" s="32" t="s">
        <v>78</v>
      </c>
      <c r="O307" s="31">
        <f>1630</f>
        <v>1630</v>
      </c>
      <c r="P307" s="32" t="s">
        <v>1000</v>
      </c>
      <c r="Q307" s="31">
        <f>1690</f>
        <v>1690</v>
      </c>
      <c r="R307" s="32" t="s">
        <v>893</v>
      </c>
      <c r="S307" s="33">
        <f>1683.05</f>
        <v>1683.05</v>
      </c>
      <c r="T307" s="30">
        <f>2060</f>
        <v>2060</v>
      </c>
      <c r="U307" s="30" t="str">
        <f>"－"</f>
        <v>－</v>
      </c>
      <c r="V307" s="30">
        <f>3465285</f>
        <v>3465285</v>
      </c>
      <c r="W307" s="30" t="str">
        <f>"－"</f>
        <v>－</v>
      </c>
      <c r="X307" s="34">
        <f>20</f>
        <v>20</v>
      </c>
    </row>
    <row r="308" spans="1:24" x14ac:dyDescent="0.15">
      <c r="A308" s="25" t="s">
        <v>1210</v>
      </c>
      <c r="B308" s="25" t="s">
        <v>854</v>
      </c>
      <c r="C308" s="25" t="s">
        <v>855</v>
      </c>
      <c r="D308" s="25" t="s">
        <v>856</v>
      </c>
      <c r="E308" s="26" t="s">
        <v>45</v>
      </c>
      <c r="F308" s="27" t="s">
        <v>45</v>
      </c>
      <c r="G308" s="28" t="s">
        <v>45</v>
      </c>
      <c r="H308" s="29"/>
      <c r="I308" s="29" t="s">
        <v>46</v>
      </c>
      <c r="J308" s="30">
        <v>10</v>
      </c>
      <c r="K308" s="31">
        <f>5303</f>
        <v>5303</v>
      </c>
      <c r="L308" s="32" t="s">
        <v>995</v>
      </c>
      <c r="M308" s="31">
        <f>5545</f>
        <v>5545</v>
      </c>
      <c r="N308" s="32" t="s">
        <v>80</v>
      </c>
      <c r="O308" s="31">
        <f>5291</f>
        <v>5291</v>
      </c>
      <c r="P308" s="32" t="s">
        <v>995</v>
      </c>
      <c r="Q308" s="31">
        <f>5406</f>
        <v>5406</v>
      </c>
      <c r="R308" s="32" t="s">
        <v>1017</v>
      </c>
      <c r="S308" s="33">
        <f>5400.89</f>
        <v>5400.89</v>
      </c>
      <c r="T308" s="30">
        <f>990420</f>
        <v>990420</v>
      </c>
      <c r="U308" s="30">
        <f>706720</f>
        <v>706720</v>
      </c>
      <c r="V308" s="30">
        <f>5314847226</f>
        <v>5314847226</v>
      </c>
      <c r="W308" s="30">
        <f>3788832606</f>
        <v>3788832606</v>
      </c>
      <c r="X308" s="34">
        <f>19</f>
        <v>19</v>
      </c>
    </row>
    <row r="309" spans="1:24" x14ac:dyDescent="0.15">
      <c r="A309" s="25" t="s">
        <v>1210</v>
      </c>
      <c r="B309" s="25" t="s">
        <v>857</v>
      </c>
      <c r="C309" s="25" t="s">
        <v>858</v>
      </c>
      <c r="D309" s="25" t="s">
        <v>859</v>
      </c>
      <c r="E309" s="26" t="s">
        <v>45</v>
      </c>
      <c r="F309" s="27" t="s">
        <v>45</v>
      </c>
      <c r="G309" s="28" t="s">
        <v>45</v>
      </c>
      <c r="H309" s="29"/>
      <c r="I309" s="29" t="s">
        <v>46</v>
      </c>
      <c r="J309" s="30">
        <v>10</v>
      </c>
      <c r="K309" s="31">
        <f>3656</f>
        <v>3656</v>
      </c>
      <c r="L309" s="32" t="s">
        <v>995</v>
      </c>
      <c r="M309" s="31">
        <f>3849</f>
        <v>3849</v>
      </c>
      <c r="N309" s="32" t="s">
        <v>80</v>
      </c>
      <c r="O309" s="31">
        <f>3653</f>
        <v>3653</v>
      </c>
      <c r="P309" s="32" t="s">
        <v>995</v>
      </c>
      <c r="Q309" s="31">
        <f>3820</f>
        <v>3820</v>
      </c>
      <c r="R309" s="32" t="s">
        <v>893</v>
      </c>
      <c r="S309" s="33">
        <f>3756.8</f>
        <v>3756.8</v>
      </c>
      <c r="T309" s="30">
        <f>2824870</f>
        <v>2824870</v>
      </c>
      <c r="U309" s="30">
        <f>2454270</f>
        <v>2454270</v>
      </c>
      <c r="V309" s="30">
        <f>10585744354</f>
        <v>10585744354</v>
      </c>
      <c r="W309" s="30">
        <f>9201144304</f>
        <v>9201144304</v>
      </c>
      <c r="X309" s="34">
        <f>20</f>
        <v>20</v>
      </c>
    </row>
    <row r="310" spans="1:24" x14ac:dyDescent="0.15">
      <c r="A310" s="25" t="s">
        <v>1210</v>
      </c>
      <c r="B310" s="25" t="s">
        <v>860</v>
      </c>
      <c r="C310" s="25" t="s">
        <v>861</v>
      </c>
      <c r="D310" s="25" t="s">
        <v>862</v>
      </c>
      <c r="E310" s="26" t="s">
        <v>45</v>
      </c>
      <c r="F310" s="27" t="s">
        <v>45</v>
      </c>
      <c r="G310" s="28" t="s">
        <v>45</v>
      </c>
      <c r="H310" s="29"/>
      <c r="I310" s="29" t="s">
        <v>46</v>
      </c>
      <c r="J310" s="30">
        <v>10</v>
      </c>
      <c r="K310" s="31">
        <f>612.4</f>
        <v>612.4</v>
      </c>
      <c r="L310" s="32" t="s">
        <v>995</v>
      </c>
      <c r="M310" s="31">
        <f>643.9</f>
        <v>643.9</v>
      </c>
      <c r="N310" s="32" t="s">
        <v>893</v>
      </c>
      <c r="O310" s="31">
        <f>612.4</f>
        <v>612.4</v>
      </c>
      <c r="P310" s="32" t="s">
        <v>995</v>
      </c>
      <c r="Q310" s="31">
        <f>641.6</f>
        <v>641.6</v>
      </c>
      <c r="R310" s="32" t="s">
        <v>893</v>
      </c>
      <c r="S310" s="33">
        <f>630.41</f>
        <v>630.41</v>
      </c>
      <c r="T310" s="30">
        <f>32650</f>
        <v>32650</v>
      </c>
      <c r="U310" s="30" t="str">
        <f>"－"</f>
        <v>－</v>
      </c>
      <c r="V310" s="30">
        <f>20699155</f>
        <v>20699155</v>
      </c>
      <c r="W310" s="30" t="str">
        <f>"－"</f>
        <v>－</v>
      </c>
      <c r="X310" s="34">
        <f>19</f>
        <v>19</v>
      </c>
    </row>
    <row r="311" spans="1:24" x14ac:dyDescent="0.15">
      <c r="A311" s="25" t="s">
        <v>1210</v>
      </c>
      <c r="B311" s="25" t="s">
        <v>863</v>
      </c>
      <c r="C311" s="25" t="s">
        <v>864</v>
      </c>
      <c r="D311" s="25" t="s">
        <v>865</v>
      </c>
      <c r="E311" s="26" t="s">
        <v>45</v>
      </c>
      <c r="F311" s="27" t="s">
        <v>45</v>
      </c>
      <c r="G311" s="28" t="s">
        <v>45</v>
      </c>
      <c r="H311" s="29"/>
      <c r="I311" s="29" t="s">
        <v>46</v>
      </c>
      <c r="J311" s="30">
        <v>1</v>
      </c>
      <c r="K311" s="31">
        <f>2043</f>
        <v>2043</v>
      </c>
      <c r="L311" s="32" t="s">
        <v>995</v>
      </c>
      <c r="M311" s="31">
        <f>2242</f>
        <v>2242</v>
      </c>
      <c r="N311" s="32" t="s">
        <v>998</v>
      </c>
      <c r="O311" s="31">
        <f>2039</f>
        <v>2039</v>
      </c>
      <c r="P311" s="32" t="s">
        <v>995</v>
      </c>
      <c r="Q311" s="31">
        <f>2238</f>
        <v>2238</v>
      </c>
      <c r="R311" s="32" t="s">
        <v>893</v>
      </c>
      <c r="S311" s="33">
        <f>2175</f>
        <v>2175</v>
      </c>
      <c r="T311" s="30">
        <f>4475</f>
        <v>4475</v>
      </c>
      <c r="U311" s="30" t="str">
        <f>"－"</f>
        <v>－</v>
      </c>
      <c r="V311" s="30">
        <f>9754152</f>
        <v>9754152</v>
      </c>
      <c r="W311" s="30" t="str">
        <f>"－"</f>
        <v>－</v>
      </c>
      <c r="X311" s="34">
        <f>20</f>
        <v>20</v>
      </c>
    </row>
    <row r="312" spans="1:24" x14ac:dyDescent="0.15">
      <c r="A312" s="25" t="s">
        <v>1210</v>
      </c>
      <c r="B312" s="25" t="s">
        <v>866</v>
      </c>
      <c r="C312" s="25" t="s">
        <v>1184</v>
      </c>
      <c r="D312" s="25" t="s">
        <v>1183</v>
      </c>
      <c r="E312" s="26" t="s">
        <v>45</v>
      </c>
      <c r="F312" s="27" t="s">
        <v>45</v>
      </c>
      <c r="G312" s="28" t="s">
        <v>45</v>
      </c>
      <c r="H312" s="29"/>
      <c r="I312" s="29" t="s">
        <v>46</v>
      </c>
      <c r="J312" s="30">
        <v>1</v>
      </c>
      <c r="K312" s="31">
        <f>1950</f>
        <v>1950</v>
      </c>
      <c r="L312" s="32" t="s">
        <v>995</v>
      </c>
      <c r="M312" s="31">
        <f>2100</f>
        <v>2100</v>
      </c>
      <c r="N312" s="32" t="s">
        <v>793</v>
      </c>
      <c r="O312" s="31">
        <f>1927</f>
        <v>1927</v>
      </c>
      <c r="P312" s="32" t="s">
        <v>995</v>
      </c>
      <c r="Q312" s="31">
        <f>2081</f>
        <v>2081</v>
      </c>
      <c r="R312" s="32" t="s">
        <v>893</v>
      </c>
      <c r="S312" s="33">
        <f>2024.5</f>
        <v>2024.5</v>
      </c>
      <c r="T312" s="30">
        <f>92321</f>
        <v>92321</v>
      </c>
      <c r="U312" s="30">
        <f>68200</f>
        <v>68200</v>
      </c>
      <c r="V312" s="30">
        <f>186223250</f>
        <v>186223250</v>
      </c>
      <c r="W312" s="30">
        <f>138424858</f>
        <v>138424858</v>
      </c>
      <c r="X312" s="34">
        <f>20</f>
        <v>20</v>
      </c>
    </row>
    <row r="313" spans="1:24" x14ac:dyDescent="0.15">
      <c r="A313" s="25" t="s">
        <v>1210</v>
      </c>
      <c r="B313" s="25" t="s">
        <v>869</v>
      </c>
      <c r="C313" s="25" t="s">
        <v>870</v>
      </c>
      <c r="D313" s="25" t="s">
        <v>871</v>
      </c>
      <c r="E313" s="26" t="s">
        <v>45</v>
      </c>
      <c r="F313" s="27" t="s">
        <v>45</v>
      </c>
      <c r="G313" s="28" t="s">
        <v>45</v>
      </c>
      <c r="H313" s="29"/>
      <c r="I313" s="29" t="s">
        <v>46</v>
      </c>
      <c r="J313" s="30">
        <v>1</v>
      </c>
      <c r="K313" s="31">
        <f>7884</f>
        <v>7884</v>
      </c>
      <c r="L313" s="32" t="s">
        <v>995</v>
      </c>
      <c r="M313" s="31">
        <f>8261</f>
        <v>8261</v>
      </c>
      <c r="N313" s="32" t="s">
        <v>80</v>
      </c>
      <c r="O313" s="31">
        <f>7884</f>
        <v>7884</v>
      </c>
      <c r="P313" s="32" t="s">
        <v>995</v>
      </c>
      <c r="Q313" s="31">
        <f>8031</f>
        <v>8031</v>
      </c>
      <c r="R313" s="32" t="s">
        <v>893</v>
      </c>
      <c r="S313" s="33">
        <f>8031.8</f>
        <v>8031.8</v>
      </c>
      <c r="T313" s="30">
        <f>459896</f>
        <v>459896</v>
      </c>
      <c r="U313" s="30">
        <f>311003</f>
        <v>311003</v>
      </c>
      <c r="V313" s="30">
        <f>3708255653</f>
        <v>3708255653</v>
      </c>
      <c r="W313" s="30">
        <f>2510656377</f>
        <v>2510656377</v>
      </c>
      <c r="X313" s="34">
        <f>20</f>
        <v>20</v>
      </c>
    </row>
    <row r="314" spans="1:24" x14ac:dyDescent="0.15">
      <c r="A314" s="25" t="s">
        <v>1210</v>
      </c>
      <c r="B314" s="25" t="s">
        <v>872</v>
      </c>
      <c r="C314" s="25" t="s">
        <v>873</v>
      </c>
      <c r="D314" s="25" t="s">
        <v>874</v>
      </c>
      <c r="E314" s="26" t="s">
        <v>45</v>
      </c>
      <c r="F314" s="27" t="s">
        <v>45</v>
      </c>
      <c r="G314" s="28" t="s">
        <v>45</v>
      </c>
      <c r="H314" s="29"/>
      <c r="I314" s="29" t="s">
        <v>46</v>
      </c>
      <c r="J314" s="30">
        <v>1</v>
      </c>
      <c r="K314" s="31">
        <f>5460</f>
        <v>5460</v>
      </c>
      <c r="L314" s="32" t="s">
        <v>995</v>
      </c>
      <c r="M314" s="31">
        <f>5751</f>
        <v>5751</v>
      </c>
      <c r="N314" s="32" t="s">
        <v>893</v>
      </c>
      <c r="O314" s="31">
        <f>5442</f>
        <v>5442</v>
      </c>
      <c r="P314" s="32" t="s">
        <v>995</v>
      </c>
      <c r="Q314" s="31">
        <f>5661</f>
        <v>5661</v>
      </c>
      <c r="R314" s="32" t="s">
        <v>893</v>
      </c>
      <c r="S314" s="33">
        <f>5575.53</f>
        <v>5575.53</v>
      </c>
      <c r="T314" s="30">
        <f>55780</f>
        <v>55780</v>
      </c>
      <c r="U314" s="30">
        <f>27000</f>
        <v>27000</v>
      </c>
      <c r="V314" s="30">
        <f>312753161</f>
        <v>312753161</v>
      </c>
      <c r="W314" s="30">
        <f>152445600</f>
        <v>152445600</v>
      </c>
      <c r="X314" s="34">
        <f>19</f>
        <v>19</v>
      </c>
    </row>
    <row r="315" spans="1:24" x14ac:dyDescent="0.15">
      <c r="A315" s="25" t="s">
        <v>1210</v>
      </c>
      <c r="B315" s="25" t="s">
        <v>878</v>
      </c>
      <c r="C315" s="25" t="s">
        <v>879</v>
      </c>
      <c r="D315" s="25" t="s">
        <v>880</v>
      </c>
      <c r="E315" s="26" t="s">
        <v>45</v>
      </c>
      <c r="F315" s="27" t="s">
        <v>45</v>
      </c>
      <c r="G315" s="28" t="s">
        <v>45</v>
      </c>
      <c r="H315" s="29"/>
      <c r="I315" s="29" t="s">
        <v>46</v>
      </c>
      <c r="J315" s="30">
        <v>1</v>
      </c>
      <c r="K315" s="31">
        <f>20250</f>
        <v>20250</v>
      </c>
      <c r="L315" s="32" t="s">
        <v>995</v>
      </c>
      <c r="M315" s="31">
        <f>22325</f>
        <v>22325</v>
      </c>
      <c r="N315" s="32" t="s">
        <v>793</v>
      </c>
      <c r="O315" s="31">
        <f>20240</f>
        <v>20240</v>
      </c>
      <c r="P315" s="32" t="s">
        <v>995</v>
      </c>
      <c r="Q315" s="31">
        <f>21955</f>
        <v>21955</v>
      </c>
      <c r="R315" s="32" t="s">
        <v>893</v>
      </c>
      <c r="S315" s="33">
        <f>21705.5</f>
        <v>21705.5</v>
      </c>
      <c r="T315" s="30">
        <f>338018</f>
        <v>338018</v>
      </c>
      <c r="U315" s="30" t="str">
        <f>"－"</f>
        <v>－</v>
      </c>
      <c r="V315" s="30">
        <f>7351847990</f>
        <v>7351847990</v>
      </c>
      <c r="W315" s="30" t="str">
        <f>"－"</f>
        <v>－</v>
      </c>
      <c r="X315" s="34">
        <f>20</f>
        <v>20</v>
      </c>
    </row>
    <row r="316" spans="1:24" x14ac:dyDescent="0.15">
      <c r="A316" s="25" t="s">
        <v>1210</v>
      </c>
      <c r="B316" s="25" t="s">
        <v>881</v>
      </c>
      <c r="C316" s="25" t="s">
        <v>882</v>
      </c>
      <c r="D316" s="25" t="s">
        <v>883</v>
      </c>
      <c r="E316" s="26" t="s">
        <v>45</v>
      </c>
      <c r="F316" s="27" t="s">
        <v>45</v>
      </c>
      <c r="G316" s="28" t="s">
        <v>45</v>
      </c>
      <c r="H316" s="29"/>
      <c r="I316" s="29" t="s">
        <v>46</v>
      </c>
      <c r="J316" s="30">
        <v>1</v>
      </c>
      <c r="K316" s="31">
        <f>9360</f>
        <v>9360</v>
      </c>
      <c r="L316" s="32" t="s">
        <v>995</v>
      </c>
      <c r="M316" s="31">
        <f>10410</f>
        <v>10410</v>
      </c>
      <c r="N316" s="32" t="s">
        <v>998</v>
      </c>
      <c r="O316" s="31">
        <f>9355</f>
        <v>9355</v>
      </c>
      <c r="P316" s="32" t="s">
        <v>995</v>
      </c>
      <c r="Q316" s="31">
        <f>10375</f>
        <v>10375</v>
      </c>
      <c r="R316" s="32" t="s">
        <v>893</v>
      </c>
      <c r="S316" s="33">
        <f>10104.45</f>
        <v>10104.450000000001</v>
      </c>
      <c r="T316" s="30">
        <f>731170</f>
        <v>731170</v>
      </c>
      <c r="U316" s="30">
        <f>187701</f>
        <v>187701</v>
      </c>
      <c r="V316" s="30">
        <f>7388408848</f>
        <v>7388408848</v>
      </c>
      <c r="W316" s="30">
        <f>1925084699</f>
        <v>1925084699</v>
      </c>
      <c r="X316" s="34">
        <f>20</f>
        <v>20</v>
      </c>
    </row>
    <row r="317" spans="1:24" x14ac:dyDescent="0.15">
      <c r="A317" s="25" t="s">
        <v>1210</v>
      </c>
      <c r="B317" s="25" t="s">
        <v>884</v>
      </c>
      <c r="C317" s="25" t="s">
        <v>885</v>
      </c>
      <c r="D317" s="25" t="s">
        <v>886</v>
      </c>
      <c r="E317" s="26" t="s">
        <v>45</v>
      </c>
      <c r="F317" s="27" t="s">
        <v>45</v>
      </c>
      <c r="G317" s="28" t="s">
        <v>45</v>
      </c>
      <c r="H317" s="29"/>
      <c r="I317" s="29" t="s">
        <v>46</v>
      </c>
      <c r="J317" s="30">
        <v>1</v>
      </c>
      <c r="K317" s="31">
        <f>25410</f>
        <v>25410</v>
      </c>
      <c r="L317" s="32" t="s">
        <v>995</v>
      </c>
      <c r="M317" s="31">
        <f>25430</f>
        <v>25430</v>
      </c>
      <c r="N317" s="32" t="s">
        <v>995</v>
      </c>
      <c r="O317" s="31">
        <f>22760</f>
        <v>22760</v>
      </c>
      <c r="P317" s="32" t="s">
        <v>998</v>
      </c>
      <c r="Q317" s="31">
        <f>22835</f>
        <v>22835</v>
      </c>
      <c r="R317" s="32" t="s">
        <v>893</v>
      </c>
      <c r="S317" s="33">
        <f>23519.75</f>
        <v>23519.75</v>
      </c>
      <c r="T317" s="30">
        <f>232514</f>
        <v>232514</v>
      </c>
      <c r="U317" s="30">
        <f>17003</f>
        <v>17003</v>
      </c>
      <c r="V317" s="30">
        <f>5444795498</f>
        <v>5444795498</v>
      </c>
      <c r="W317" s="30">
        <f>405537613</f>
        <v>405537613</v>
      </c>
      <c r="X317" s="34">
        <f>20</f>
        <v>20</v>
      </c>
    </row>
    <row r="318" spans="1:24" x14ac:dyDescent="0.15">
      <c r="A318" s="25" t="s">
        <v>1210</v>
      </c>
      <c r="B318" s="25" t="s">
        <v>887</v>
      </c>
      <c r="C318" s="25" t="s">
        <v>888</v>
      </c>
      <c r="D318" s="25" t="s">
        <v>889</v>
      </c>
      <c r="E318" s="26" t="s">
        <v>45</v>
      </c>
      <c r="F318" s="27" t="s">
        <v>45</v>
      </c>
      <c r="G318" s="28" t="s">
        <v>45</v>
      </c>
      <c r="H318" s="29"/>
      <c r="I318" s="29" t="s">
        <v>46</v>
      </c>
      <c r="J318" s="30">
        <v>10</v>
      </c>
      <c r="K318" s="31">
        <f>3950</f>
        <v>3950</v>
      </c>
      <c r="L318" s="32" t="s">
        <v>995</v>
      </c>
      <c r="M318" s="31">
        <f>4147</f>
        <v>4147</v>
      </c>
      <c r="N318" s="32" t="s">
        <v>80</v>
      </c>
      <c r="O318" s="31">
        <f>3950</f>
        <v>3950</v>
      </c>
      <c r="P318" s="32" t="s">
        <v>995</v>
      </c>
      <c r="Q318" s="31">
        <f>4115</f>
        <v>4115</v>
      </c>
      <c r="R318" s="32" t="s">
        <v>893</v>
      </c>
      <c r="S318" s="33">
        <f>4056.5</f>
        <v>4056.5</v>
      </c>
      <c r="T318" s="30">
        <f>670450</f>
        <v>670450</v>
      </c>
      <c r="U318" s="30">
        <f>668000</f>
        <v>668000</v>
      </c>
      <c r="V318" s="30">
        <f>2701912420</f>
        <v>2701912420</v>
      </c>
      <c r="W318" s="30">
        <f>2692040000</f>
        <v>2692040000</v>
      </c>
      <c r="X318" s="34">
        <f>14</f>
        <v>14</v>
      </c>
    </row>
    <row r="319" spans="1:24" x14ac:dyDescent="0.15">
      <c r="A319" s="25" t="s">
        <v>1210</v>
      </c>
      <c r="B319" s="25" t="s">
        <v>890</v>
      </c>
      <c r="C319" s="25" t="s">
        <v>891</v>
      </c>
      <c r="D319" s="25" t="s">
        <v>892</v>
      </c>
      <c r="E319" s="26" t="s">
        <v>45</v>
      </c>
      <c r="F319" s="27" t="s">
        <v>45</v>
      </c>
      <c r="G319" s="28" t="s">
        <v>45</v>
      </c>
      <c r="H319" s="29"/>
      <c r="I319" s="29" t="s">
        <v>46</v>
      </c>
      <c r="J319" s="30">
        <v>10</v>
      </c>
      <c r="K319" s="31">
        <f>4768</f>
        <v>4768</v>
      </c>
      <c r="L319" s="32" t="s">
        <v>995</v>
      </c>
      <c r="M319" s="31">
        <f>5093</f>
        <v>5093</v>
      </c>
      <c r="N319" s="32" t="s">
        <v>1017</v>
      </c>
      <c r="O319" s="31">
        <f>4768</f>
        <v>4768</v>
      </c>
      <c r="P319" s="32" t="s">
        <v>995</v>
      </c>
      <c r="Q319" s="31">
        <f>5027</f>
        <v>5027</v>
      </c>
      <c r="R319" s="32" t="s">
        <v>893</v>
      </c>
      <c r="S319" s="33">
        <f>4949.89</f>
        <v>4949.8900000000003</v>
      </c>
      <c r="T319" s="30">
        <f>24830</f>
        <v>24830</v>
      </c>
      <c r="U319" s="30">
        <f>4020</f>
        <v>4020</v>
      </c>
      <c r="V319" s="30">
        <f>123307778</f>
        <v>123307778</v>
      </c>
      <c r="W319" s="30">
        <f>19937178</f>
        <v>19937178</v>
      </c>
      <c r="X319" s="34">
        <f>19</f>
        <v>19</v>
      </c>
    </row>
    <row r="320" spans="1:24" x14ac:dyDescent="0.15">
      <c r="A320" s="25" t="s">
        <v>1210</v>
      </c>
      <c r="B320" s="25" t="s">
        <v>902</v>
      </c>
      <c r="C320" s="25" t="s">
        <v>903</v>
      </c>
      <c r="D320" s="25" t="s">
        <v>904</v>
      </c>
      <c r="E320" s="26" t="s">
        <v>45</v>
      </c>
      <c r="F320" s="27" t="s">
        <v>45</v>
      </c>
      <c r="G320" s="28" t="s">
        <v>45</v>
      </c>
      <c r="H320" s="29"/>
      <c r="I320" s="29" t="s">
        <v>46</v>
      </c>
      <c r="J320" s="30">
        <v>10</v>
      </c>
      <c r="K320" s="31">
        <f>1954</f>
        <v>1954</v>
      </c>
      <c r="L320" s="32" t="s">
        <v>995</v>
      </c>
      <c r="M320" s="31">
        <f>2174</f>
        <v>2174</v>
      </c>
      <c r="N320" s="32" t="s">
        <v>998</v>
      </c>
      <c r="O320" s="31">
        <f>1952.5</f>
        <v>1952.5</v>
      </c>
      <c r="P320" s="32" t="s">
        <v>995</v>
      </c>
      <c r="Q320" s="31">
        <f>2166.5</f>
        <v>2166.5</v>
      </c>
      <c r="R320" s="32" t="s">
        <v>893</v>
      </c>
      <c r="S320" s="33">
        <f>2109.53</f>
        <v>2109.5300000000002</v>
      </c>
      <c r="T320" s="30">
        <f>2185770</f>
        <v>2185770</v>
      </c>
      <c r="U320" s="30">
        <f>93000</f>
        <v>93000</v>
      </c>
      <c r="V320" s="30">
        <f>4579260450</f>
        <v>4579260450</v>
      </c>
      <c r="W320" s="30">
        <f>200080200</f>
        <v>200080200</v>
      </c>
      <c r="X320" s="34">
        <f>20</f>
        <v>20</v>
      </c>
    </row>
    <row r="321" spans="1:24" x14ac:dyDescent="0.15">
      <c r="A321" s="25" t="s">
        <v>1210</v>
      </c>
      <c r="B321" s="25" t="s">
        <v>905</v>
      </c>
      <c r="C321" s="25" t="s">
        <v>906</v>
      </c>
      <c r="D321" s="25" t="s">
        <v>907</v>
      </c>
      <c r="E321" s="26" t="s">
        <v>45</v>
      </c>
      <c r="F321" s="27" t="s">
        <v>45</v>
      </c>
      <c r="G321" s="28" t="s">
        <v>45</v>
      </c>
      <c r="H321" s="29"/>
      <c r="I321" s="29" t="s">
        <v>46</v>
      </c>
      <c r="J321" s="30">
        <v>10</v>
      </c>
      <c r="K321" s="31">
        <f>1813.5</f>
        <v>1813.5</v>
      </c>
      <c r="L321" s="32" t="s">
        <v>995</v>
      </c>
      <c r="M321" s="31">
        <f>1950</f>
        <v>1950</v>
      </c>
      <c r="N321" s="32" t="s">
        <v>893</v>
      </c>
      <c r="O321" s="31">
        <f>1812</f>
        <v>1812</v>
      </c>
      <c r="P321" s="32" t="s">
        <v>995</v>
      </c>
      <c r="Q321" s="31">
        <f>1949.5</f>
        <v>1949.5</v>
      </c>
      <c r="R321" s="32" t="s">
        <v>893</v>
      </c>
      <c r="S321" s="33">
        <f>1898.83</f>
        <v>1898.83</v>
      </c>
      <c r="T321" s="30">
        <f>612090</f>
        <v>612090</v>
      </c>
      <c r="U321" s="30" t="str">
        <f>"－"</f>
        <v>－</v>
      </c>
      <c r="V321" s="30">
        <f>1158629185</f>
        <v>1158629185</v>
      </c>
      <c r="W321" s="30" t="str">
        <f>"－"</f>
        <v>－</v>
      </c>
      <c r="X321" s="34">
        <f>20</f>
        <v>20</v>
      </c>
    </row>
    <row r="322" spans="1:24" x14ac:dyDescent="0.15">
      <c r="A322" s="25" t="s">
        <v>1210</v>
      </c>
      <c r="B322" s="25" t="s">
        <v>908</v>
      </c>
      <c r="C322" s="25" t="s">
        <v>909</v>
      </c>
      <c r="D322" s="25" t="s">
        <v>910</v>
      </c>
      <c r="E322" s="26" t="s">
        <v>45</v>
      </c>
      <c r="F322" s="27" t="s">
        <v>45</v>
      </c>
      <c r="G322" s="28" t="s">
        <v>45</v>
      </c>
      <c r="H322" s="29"/>
      <c r="I322" s="29" t="s">
        <v>46</v>
      </c>
      <c r="J322" s="30">
        <v>1</v>
      </c>
      <c r="K322" s="31">
        <f>1720</f>
        <v>1720</v>
      </c>
      <c r="L322" s="32" t="s">
        <v>995</v>
      </c>
      <c r="M322" s="31">
        <f>1812</f>
        <v>1812</v>
      </c>
      <c r="N322" s="32" t="s">
        <v>793</v>
      </c>
      <c r="O322" s="31">
        <f>1719</f>
        <v>1719</v>
      </c>
      <c r="P322" s="32" t="s">
        <v>995</v>
      </c>
      <c r="Q322" s="31">
        <f>1807</f>
        <v>1807</v>
      </c>
      <c r="R322" s="32" t="s">
        <v>893</v>
      </c>
      <c r="S322" s="33">
        <f>1773.95</f>
        <v>1773.95</v>
      </c>
      <c r="T322" s="30">
        <f>211055</f>
        <v>211055</v>
      </c>
      <c r="U322" s="30" t="str">
        <f>"－"</f>
        <v>－</v>
      </c>
      <c r="V322" s="30">
        <f>372899098</f>
        <v>372899098</v>
      </c>
      <c r="W322" s="30" t="str">
        <f>"－"</f>
        <v>－</v>
      </c>
      <c r="X322" s="34">
        <f>20</f>
        <v>20</v>
      </c>
    </row>
    <row r="323" spans="1:24" x14ac:dyDescent="0.15">
      <c r="A323" s="25" t="s">
        <v>1210</v>
      </c>
      <c r="B323" s="25" t="s">
        <v>911</v>
      </c>
      <c r="C323" s="25" t="s">
        <v>912</v>
      </c>
      <c r="D323" s="25" t="s">
        <v>913</v>
      </c>
      <c r="E323" s="26" t="s">
        <v>45</v>
      </c>
      <c r="F323" s="27" t="s">
        <v>45</v>
      </c>
      <c r="G323" s="28" t="s">
        <v>45</v>
      </c>
      <c r="H323" s="29"/>
      <c r="I323" s="29" t="s">
        <v>46</v>
      </c>
      <c r="J323" s="30">
        <v>1</v>
      </c>
      <c r="K323" s="31">
        <f>1760</f>
        <v>1760</v>
      </c>
      <c r="L323" s="32" t="s">
        <v>995</v>
      </c>
      <c r="M323" s="31">
        <f>1839</f>
        <v>1839</v>
      </c>
      <c r="N323" s="32" t="s">
        <v>793</v>
      </c>
      <c r="O323" s="31">
        <f>1758</f>
        <v>1758</v>
      </c>
      <c r="P323" s="32" t="s">
        <v>995</v>
      </c>
      <c r="Q323" s="31">
        <f>1809</f>
        <v>1809</v>
      </c>
      <c r="R323" s="32" t="s">
        <v>893</v>
      </c>
      <c r="S323" s="33">
        <f>1802.07</f>
        <v>1802.07</v>
      </c>
      <c r="T323" s="30">
        <f>149630</f>
        <v>149630</v>
      </c>
      <c r="U323" s="30">
        <f>140000</f>
        <v>140000</v>
      </c>
      <c r="V323" s="30">
        <f>273335582</f>
        <v>273335582</v>
      </c>
      <c r="W323" s="30">
        <f>256225200</f>
        <v>256225200</v>
      </c>
      <c r="X323" s="34">
        <f>15</f>
        <v>15</v>
      </c>
    </row>
    <row r="324" spans="1:24" x14ac:dyDescent="0.15">
      <c r="A324" s="25" t="s">
        <v>1210</v>
      </c>
      <c r="B324" s="25" t="s">
        <v>914</v>
      </c>
      <c r="C324" s="25" t="s">
        <v>915</v>
      </c>
      <c r="D324" s="25" t="s">
        <v>916</v>
      </c>
      <c r="E324" s="26" t="s">
        <v>45</v>
      </c>
      <c r="F324" s="27" t="s">
        <v>45</v>
      </c>
      <c r="G324" s="28" t="s">
        <v>45</v>
      </c>
      <c r="H324" s="29"/>
      <c r="I324" s="29" t="s">
        <v>46</v>
      </c>
      <c r="J324" s="30">
        <v>1</v>
      </c>
      <c r="K324" s="31">
        <f>3745</f>
        <v>3745</v>
      </c>
      <c r="L324" s="32" t="s">
        <v>995</v>
      </c>
      <c r="M324" s="31">
        <f>3905</f>
        <v>3905</v>
      </c>
      <c r="N324" s="32" t="s">
        <v>793</v>
      </c>
      <c r="O324" s="31">
        <f>3735</f>
        <v>3735</v>
      </c>
      <c r="P324" s="32" t="s">
        <v>1000</v>
      </c>
      <c r="Q324" s="31">
        <f>3860</f>
        <v>3860</v>
      </c>
      <c r="R324" s="32" t="s">
        <v>893</v>
      </c>
      <c r="S324" s="33">
        <f>3824</f>
        <v>3824</v>
      </c>
      <c r="T324" s="30">
        <f>9427</f>
        <v>9427</v>
      </c>
      <c r="U324" s="30" t="str">
        <f>"－"</f>
        <v>－</v>
      </c>
      <c r="V324" s="30">
        <f>36085375</f>
        <v>36085375</v>
      </c>
      <c r="W324" s="30" t="str">
        <f>"－"</f>
        <v>－</v>
      </c>
      <c r="X324" s="34">
        <f>20</f>
        <v>20</v>
      </c>
    </row>
    <row r="325" spans="1:24" x14ac:dyDescent="0.15">
      <c r="A325" s="25" t="s">
        <v>1210</v>
      </c>
      <c r="B325" s="25" t="s">
        <v>917</v>
      </c>
      <c r="C325" s="25" t="s">
        <v>918</v>
      </c>
      <c r="D325" s="25" t="s">
        <v>919</v>
      </c>
      <c r="E325" s="26" t="s">
        <v>45</v>
      </c>
      <c r="F325" s="27" t="s">
        <v>45</v>
      </c>
      <c r="G325" s="28" t="s">
        <v>45</v>
      </c>
      <c r="H325" s="29"/>
      <c r="I325" s="29" t="s">
        <v>46</v>
      </c>
      <c r="J325" s="30">
        <v>10</v>
      </c>
      <c r="K325" s="31">
        <f>2299</f>
        <v>2299</v>
      </c>
      <c r="L325" s="32" t="s">
        <v>999</v>
      </c>
      <c r="M325" s="31">
        <f>2394</f>
        <v>2394</v>
      </c>
      <c r="N325" s="32" t="s">
        <v>793</v>
      </c>
      <c r="O325" s="31">
        <f>2299</f>
        <v>2299</v>
      </c>
      <c r="P325" s="32" t="s">
        <v>999</v>
      </c>
      <c r="Q325" s="31">
        <f>2355</f>
        <v>2355</v>
      </c>
      <c r="R325" s="32" t="s">
        <v>1017</v>
      </c>
      <c r="S325" s="33">
        <f>2353.83</f>
        <v>2353.83</v>
      </c>
      <c r="T325" s="30">
        <f>1470</f>
        <v>1470</v>
      </c>
      <c r="U325" s="30" t="str">
        <f>"－"</f>
        <v>－</v>
      </c>
      <c r="V325" s="30">
        <f>3431310</f>
        <v>3431310</v>
      </c>
      <c r="W325" s="30" t="str">
        <f>"－"</f>
        <v>－</v>
      </c>
      <c r="X325" s="34">
        <f>6</f>
        <v>6</v>
      </c>
    </row>
    <row r="326" spans="1:24" x14ac:dyDescent="0.15">
      <c r="A326" s="25" t="s">
        <v>1210</v>
      </c>
      <c r="B326" s="25" t="s">
        <v>928</v>
      </c>
      <c r="C326" s="25" t="s">
        <v>929</v>
      </c>
      <c r="D326" s="25" t="s">
        <v>930</v>
      </c>
      <c r="E326" s="26" t="s">
        <v>45</v>
      </c>
      <c r="F326" s="27" t="s">
        <v>45</v>
      </c>
      <c r="G326" s="28" t="s">
        <v>45</v>
      </c>
      <c r="H326" s="29"/>
      <c r="I326" s="29" t="s">
        <v>46</v>
      </c>
      <c r="J326" s="30">
        <v>10</v>
      </c>
      <c r="K326" s="31">
        <f>221</f>
        <v>221</v>
      </c>
      <c r="L326" s="32" t="s">
        <v>995</v>
      </c>
      <c r="M326" s="31">
        <f>249.7</f>
        <v>249.7</v>
      </c>
      <c r="N326" s="32" t="s">
        <v>999</v>
      </c>
      <c r="O326" s="31">
        <f>218.3</f>
        <v>218.3</v>
      </c>
      <c r="P326" s="32" t="s">
        <v>1005</v>
      </c>
      <c r="Q326" s="31">
        <f>232.1</f>
        <v>232.1</v>
      </c>
      <c r="R326" s="32" t="s">
        <v>893</v>
      </c>
      <c r="S326" s="33">
        <f>232.14</f>
        <v>232.14</v>
      </c>
      <c r="T326" s="30">
        <f>22840</f>
        <v>22840</v>
      </c>
      <c r="U326" s="30" t="str">
        <f>"－"</f>
        <v>－</v>
      </c>
      <c r="V326" s="30">
        <f>5315616</f>
        <v>5315616</v>
      </c>
      <c r="W326" s="30" t="str">
        <f>"－"</f>
        <v>－</v>
      </c>
      <c r="X326" s="34">
        <f>20</f>
        <v>20</v>
      </c>
    </row>
    <row r="327" spans="1:24" x14ac:dyDescent="0.15">
      <c r="A327" s="25" t="s">
        <v>1210</v>
      </c>
      <c r="B327" s="25" t="s">
        <v>920</v>
      </c>
      <c r="C327" s="25" t="s">
        <v>921</v>
      </c>
      <c r="D327" s="25" t="s">
        <v>922</v>
      </c>
      <c r="E327" s="26" t="s">
        <v>45</v>
      </c>
      <c r="F327" s="27" t="s">
        <v>45</v>
      </c>
      <c r="G327" s="28" t="s">
        <v>45</v>
      </c>
      <c r="H327" s="29"/>
      <c r="I327" s="29" t="s">
        <v>46</v>
      </c>
      <c r="J327" s="30">
        <v>10</v>
      </c>
      <c r="K327" s="31">
        <f>181</f>
        <v>181</v>
      </c>
      <c r="L327" s="32" t="s">
        <v>995</v>
      </c>
      <c r="M327" s="31">
        <f>188.3</f>
        <v>188.3</v>
      </c>
      <c r="N327" s="32" t="s">
        <v>78</v>
      </c>
      <c r="O327" s="31">
        <f>178.2</f>
        <v>178.2</v>
      </c>
      <c r="P327" s="32" t="s">
        <v>56</v>
      </c>
      <c r="Q327" s="31">
        <f>180.7</f>
        <v>180.7</v>
      </c>
      <c r="R327" s="32" t="s">
        <v>893</v>
      </c>
      <c r="S327" s="33">
        <f>182.75</f>
        <v>182.75</v>
      </c>
      <c r="T327" s="30">
        <f>13740</f>
        <v>13740</v>
      </c>
      <c r="U327" s="30" t="str">
        <f>"－"</f>
        <v>－</v>
      </c>
      <c r="V327" s="30">
        <f>2496893</f>
        <v>2496893</v>
      </c>
      <c r="W327" s="30" t="str">
        <f>"－"</f>
        <v>－</v>
      </c>
      <c r="X327" s="34">
        <f>19</f>
        <v>19</v>
      </c>
    </row>
    <row r="328" spans="1:24" x14ac:dyDescent="0.15">
      <c r="A328" s="25" t="s">
        <v>1210</v>
      </c>
      <c r="B328" s="25" t="s">
        <v>923</v>
      </c>
      <c r="C328" s="25" t="s">
        <v>924</v>
      </c>
      <c r="D328" s="25" t="s">
        <v>925</v>
      </c>
      <c r="E328" s="26" t="s">
        <v>45</v>
      </c>
      <c r="F328" s="27" t="s">
        <v>45</v>
      </c>
      <c r="G328" s="28" t="s">
        <v>45</v>
      </c>
      <c r="H328" s="29"/>
      <c r="I328" s="29" t="s">
        <v>46</v>
      </c>
      <c r="J328" s="30">
        <v>10</v>
      </c>
      <c r="K328" s="31">
        <f>673.3</f>
        <v>673.3</v>
      </c>
      <c r="L328" s="32" t="s">
        <v>999</v>
      </c>
      <c r="M328" s="31">
        <f>680.9</f>
        <v>680.9</v>
      </c>
      <c r="N328" s="32" t="s">
        <v>876</v>
      </c>
      <c r="O328" s="31">
        <f>667</f>
        <v>667</v>
      </c>
      <c r="P328" s="32" t="s">
        <v>56</v>
      </c>
      <c r="Q328" s="31">
        <f>680</f>
        <v>680</v>
      </c>
      <c r="R328" s="32" t="s">
        <v>893</v>
      </c>
      <c r="S328" s="33">
        <f>675.81</f>
        <v>675.81</v>
      </c>
      <c r="T328" s="30">
        <f>11980</f>
        <v>11980</v>
      </c>
      <c r="U328" s="30">
        <f>9670</f>
        <v>9670</v>
      </c>
      <c r="V328" s="30">
        <f>8127988</f>
        <v>8127988</v>
      </c>
      <c r="W328" s="30">
        <f>6568444</f>
        <v>6568444</v>
      </c>
      <c r="X328" s="34">
        <f>11</f>
        <v>11</v>
      </c>
    </row>
    <row r="329" spans="1:24" x14ac:dyDescent="0.15">
      <c r="A329" s="25" t="s">
        <v>1210</v>
      </c>
      <c r="B329" s="25" t="s">
        <v>931</v>
      </c>
      <c r="C329" s="25" t="s">
        <v>932</v>
      </c>
      <c r="D329" s="25" t="s">
        <v>933</v>
      </c>
      <c r="E329" s="26" t="s">
        <v>45</v>
      </c>
      <c r="F329" s="27" t="s">
        <v>45</v>
      </c>
      <c r="G329" s="28" t="s">
        <v>45</v>
      </c>
      <c r="H329" s="29"/>
      <c r="I329" s="29" t="s">
        <v>46</v>
      </c>
      <c r="J329" s="30">
        <v>1</v>
      </c>
      <c r="K329" s="31">
        <f>1128</f>
        <v>1128</v>
      </c>
      <c r="L329" s="32" t="s">
        <v>995</v>
      </c>
      <c r="M329" s="31">
        <f>1245</f>
        <v>1245</v>
      </c>
      <c r="N329" s="32" t="s">
        <v>255</v>
      </c>
      <c r="O329" s="31">
        <f>1118</f>
        <v>1118</v>
      </c>
      <c r="P329" s="32" t="s">
        <v>995</v>
      </c>
      <c r="Q329" s="31">
        <f>1238</f>
        <v>1238</v>
      </c>
      <c r="R329" s="32" t="s">
        <v>893</v>
      </c>
      <c r="S329" s="33">
        <f>1199.95</f>
        <v>1199.95</v>
      </c>
      <c r="T329" s="30">
        <f>94803</f>
        <v>94803</v>
      </c>
      <c r="U329" s="30">
        <f>3</f>
        <v>3</v>
      </c>
      <c r="V329" s="30">
        <f>113622774</f>
        <v>113622774</v>
      </c>
      <c r="W329" s="30">
        <f>3483</f>
        <v>3483</v>
      </c>
      <c r="X329" s="34">
        <f>20</f>
        <v>20</v>
      </c>
    </row>
    <row r="330" spans="1:24" x14ac:dyDescent="0.15">
      <c r="A330" s="25" t="s">
        <v>1210</v>
      </c>
      <c r="B330" s="25" t="s">
        <v>934</v>
      </c>
      <c r="C330" s="25" t="s">
        <v>935</v>
      </c>
      <c r="D330" s="25" t="s">
        <v>936</v>
      </c>
      <c r="E330" s="26" t="s">
        <v>45</v>
      </c>
      <c r="F330" s="27" t="s">
        <v>45</v>
      </c>
      <c r="G330" s="28" t="s">
        <v>45</v>
      </c>
      <c r="H330" s="29"/>
      <c r="I330" s="29" t="s">
        <v>46</v>
      </c>
      <c r="J330" s="30">
        <v>1</v>
      </c>
      <c r="K330" s="31">
        <f>940</f>
        <v>940</v>
      </c>
      <c r="L330" s="32" t="s">
        <v>995</v>
      </c>
      <c r="M330" s="31">
        <f>956</f>
        <v>956</v>
      </c>
      <c r="N330" s="32" t="s">
        <v>876</v>
      </c>
      <c r="O330" s="31">
        <f>934</f>
        <v>934</v>
      </c>
      <c r="P330" s="32" t="s">
        <v>1004</v>
      </c>
      <c r="Q330" s="31">
        <f>955</f>
        <v>955</v>
      </c>
      <c r="R330" s="32" t="s">
        <v>893</v>
      </c>
      <c r="S330" s="33">
        <f>945.6</f>
        <v>945.6</v>
      </c>
      <c r="T330" s="30">
        <f>3450502</f>
        <v>3450502</v>
      </c>
      <c r="U330" s="30">
        <f>3172000</f>
        <v>3172000</v>
      </c>
      <c r="V330" s="30">
        <f>3257947830</f>
        <v>3257947830</v>
      </c>
      <c r="W330" s="30">
        <f>2995805850</f>
        <v>2995805850</v>
      </c>
      <c r="X330" s="34">
        <f>20</f>
        <v>20</v>
      </c>
    </row>
    <row r="331" spans="1:24" x14ac:dyDescent="0.15">
      <c r="A331" s="25" t="s">
        <v>1210</v>
      </c>
      <c r="B331" s="25" t="s">
        <v>937</v>
      </c>
      <c r="C331" s="25" t="s">
        <v>938</v>
      </c>
      <c r="D331" s="25" t="s">
        <v>939</v>
      </c>
      <c r="E331" s="26" t="s">
        <v>45</v>
      </c>
      <c r="F331" s="27" t="s">
        <v>45</v>
      </c>
      <c r="G331" s="28" t="s">
        <v>45</v>
      </c>
      <c r="H331" s="29"/>
      <c r="I331" s="29" t="s">
        <v>46</v>
      </c>
      <c r="J331" s="30">
        <v>10</v>
      </c>
      <c r="K331" s="31">
        <f>704.4</f>
        <v>704.4</v>
      </c>
      <c r="L331" s="32" t="s">
        <v>995</v>
      </c>
      <c r="M331" s="31">
        <f>721.2</f>
        <v>721.2</v>
      </c>
      <c r="N331" s="32" t="s">
        <v>893</v>
      </c>
      <c r="O331" s="31">
        <f>700.8</f>
        <v>700.8</v>
      </c>
      <c r="P331" s="32" t="s">
        <v>995</v>
      </c>
      <c r="Q331" s="31">
        <f>718.6</f>
        <v>718.6</v>
      </c>
      <c r="R331" s="32" t="s">
        <v>893</v>
      </c>
      <c r="S331" s="33">
        <f>711.45</f>
        <v>711.45</v>
      </c>
      <c r="T331" s="30">
        <f>1902830</f>
        <v>1902830</v>
      </c>
      <c r="U331" s="30">
        <f>1124080</f>
        <v>1124080</v>
      </c>
      <c r="V331" s="30">
        <f>1354897915</f>
        <v>1354897915</v>
      </c>
      <c r="W331" s="30">
        <f>800286758</f>
        <v>800286758</v>
      </c>
      <c r="X331" s="34">
        <f>20</f>
        <v>20</v>
      </c>
    </row>
    <row r="332" spans="1:24" x14ac:dyDescent="0.15">
      <c r="A332" s="25" t="s">
        <v>1210</v>
      </c>
      <c r="B332" s="25" t="s">
        <v>940</v>
      </c>
      <c r="C332" s="25" t="s">
        <v>941</v>
      </c>
      <c r="D332" s="25" t="s">
        <v>942</v>
      </c>
      <c r="E332" s="26" t="s">
        <v>45</v>
      </c>
      <c r="F332" s="27" t="s">
        <v>45</v>
      </c>
      <c r="G332" s="28" t="s">
        <v>45</v>
      </c>
      <c r="H332" s="29"/>
      <c r="I332" s="29" t="s">
        <v>46</v>
      </c>
      <c r="J332" s="30">
        <v>10</v>
      </c>
      <c r="K332" s="31">
        <f>681</f>
        <v>681</v>
      </c>
      <c r="L332" s="32" t="s">
        <v>995</v>
      </c>
      <c r="M332" s="31">
        <f>702.1</f>
        <v>702.1</v>
      </c>
      <c r="N332" s="32" t="s">
        <v>80</v>
      </c>
      <c r="O332" s="31">
        <f>680.7</f>
        <v>680.7</v>
      </c>
      <c r="P332" s="32" t="s">
        <v>995</v>
      </c>
      <c r="Q332" s="31">
        <f>698.2</f>
        <v>698.2</v>
      </c>
      <c r="R332" s="32" t="s">
        <v>893</v>
      </c>
      <c r="S332" s="33">
        <f>689.42</f>
        <v>689.42</v>
      </c>
      <c r="T332" s="30">
        <f>2107880</f>
        <v>2107880</v>
      </c>
      <c r="U332" s="30">
        <f>1991030</f>
        <v>1991030</v>
      </c>
      <c r="V332" s="30">
        <f>1442212406</f>
        <v>1442212406</v>
      </c>
      <c r="W332" s="30">
        <f>1361466624</f>
        <v>1361466624</v>
      </c>
      <c r="X332" s="34">
        <f>20</f>
        <v>20</v>
      </c>
    </row>
    <row r="333" spans="1:24" x14ac:dyDescent="0.15">
      <c r="A333" s="25" t="s">
        <v>1210</v>
      </c>
      <c r="B333" s="25" t="s">
        <v>943</v>
      </c>
      <c r="C333" s="25" t="s">
        <v>944</v>
      </c>
      <c r="D333" s="25" t="s">
        <v>945</v>
      </c>
      <c r="E333" s="26" t="s">
        <v>45</v>
      </c>
      <c r="F333" s="27" t="s">
        <v>45</v>
      </c>
      <c r="G333" s="28" t="s">
        <v>45</v>
      </c>
      <c r="H333" s="29"/>
      <c r="I333" s="29" t="s">
        <v>46</v>
      </c>
      <c r="J333" s="30">
        <v>1</v>
      </c>
      <c r="K333" s="31">
        <f>1118</f>
        <v>1118</v>
      </c>
      <c r="L333" s="32" t="s">
        <v>995</v>
      </c>
      <c r="M333" s="31">
        <f>1188</f>
        <v>1188</v>
      </c>
      <c r="N333" s="32" t="s">
        <v>255</v>
      </c>
      <c r="O333" s="31">
        <f>1118</f>
        <v>1118</v>
      </c>
      <c r="P333" s="32" t="s">
        <v>995</v>
      </c>
      <c r="Q333" s="31">
        <f>1186</f>
        <v>1186</v>
      </c>
      <c r="R333" s="32" t="s">
        <v>893</v>
      </c>
      <c r="S333" s="33">
        <f>1168.6</f>
        <v>1168.5999999999999</v>
      </c>
      <c r="T333" s="30">
        <f>31623</f>
        <v>31623</v>
      </c>
      <c r="U333" s="30" t="str">
        <f>"－"</f>
        <v>－</v>
      </c>
      <c r="V333" s="30">
        <f>36722863</f>
        <v>36722863</v>
      </c>
      <c r="W333" s="30" t="str">
        <f>"－"</f>
        <v>－</v>
      </c>
      <c r="X333" s="34">
        <f>20</f>
        <v>20</v>
      </c>
    </row>
    <row r="334" spans="1:24" x14ac:dyDescent="0.15">
      <c r="A334" s="25" t="s">
        <v>1210</v>
      </c>
      <c r="B334" s="25" t="s">
        <v>952</v>
      </c>
      <c r="C334" s="25" t="s">
        <v>953</v>
      </c>
      <c r="D334" s="25" t="s">
        <v>954</v>
      </c>
      <c r="E334" s="26" t="s">
        <v>45</v>
      </c>
      <c r="F334" s="27" t="s">
        <v>45</v>
      </c>
      <c r="G334" s="28" t="s">
        <v>45</v>
      </c>
      <c r="H334" s="29"/>
      <c r="I334" s="29" t="s">
        <v>46</v>
      </c>
      <c r="J334" s="30">
        <v>10</v>
      </c>
      <c r="K334" s="31">
        <f>2198.5</f>
        <v>2198.5</v>
      </c>
      <c r="L334" s="32" t="s">
        <v>995</v>
      </c>
      <c r="M334" s="31">
        <f>2399</f>
        <v>2399</v>
      </c>
      <c r="N334" s="32" t="s">
        <v>255</v>
      </c>
      <c r="O334" s="31">
        <f>2198.5</f>
        <v>2198.5</v>
      </c>
      <c r="P334" s="32" t="s">
        <v>995</v>
      </c>
      <c r="Q334" s="31">
        <f>2368</f>
        <v>2368</v>
      </c>
      <c r="R334" s="32" t="s">
        <v>893</v>
      </c>
      <c r="S334" s="33">
        <f>2308.18</f>
        <v>2308.1799999999998</v>
      </c>
      <c r="T334" s="30">
        <f>15990</f>
        <v>15990</v>
      </c>
      <c r="U334" s="30" t="str">
        <f>"－"</f>
        <v>－</v>
      </c>
      <c r="V334" s="30">
        <f>36454505</f>
        <v>36454505</v>
      </c>
      <c r="W334" s="30" t="str">
        <f>"－"</f>
        <v>－</v>
      </c>
      <c r="X334" s="34">
        <f>20</f>
        <v>20</v>
      </c>
    </row>
    <row r="335" spans="1:24" x14ac:dyDescent="0.15">
      <c r="A335" s="25" t="s">
        <v>1210</v>
      </c>
      <c r="B335" s="25" t="s">
        <v>955</v>
      </c>
      <c r="C335" s="25" t="s">
        <v>956</v>
      </c>
      <c r="D335" s="25" t="s">
        <v>957</v>
      </c>
      <c r="E335" s="26" t="s">
        <v>45</v>
      </c>
      <c r="F335" s="27" t="s">
        <v>45</v>
      </c>
      <c r="G335" s="28" t="s">
        <v>45</v>
      </c>
      <c r="H335" s="29"/>
      <c r="I335" s="29" t="s">
        <v>46</v>
      </c>
      <c r="J335" s="30">
        <v>10</v>
      </c>
      <c r="K335" s="31">
        <f>2149.5</f>
        <v>2149.5</v>
      </c>
      <c r="L335" s="32" t="s">
        <v>995</v>
      </c>
      <c r="M335" s="31">
        <f>2345</f>
        <v>2345</v>
      </c>
      <c r="N335" s="32" t="s">
        <v>893</v>
      </c>
      <c r="O335" s="31">
        <f>2149.5</f>
        <v>2149.5</v>
      </c>
      <c r="P335" s="32" t="s">
        <v>995</v>
      </c>
      <c r="Q335" s="31">
        <f>2343.5</f>
        <v>2343.5</v>
      </c>
      <c r="R335" s="32" t="s">
        <v>893</v>
      </c>
      <c r="S335" s="33">
        <f>2261.94</f>
        <v>2261.94</v>
      </c>
      <c r="T335" s="30">
        <f>42300</f>
        <v>42300</v>
      </c>
      <c r="U335" s="30" t="str">
        <f>"－"</f>
        <v>－</v>
      </c>
      <c r="V335" s="30">
        <f>97147780</f>
        <v>97147780</v>
      </c>
      <c r="W335" s="30" t="str">
        <f>"－"</f>
        <v>－</v>
      </c>
      <c r="X335" s="34">
        <f>18</f>
        <v>18</v>
      </c>
    </row>
    <row r="336" spans="1:24" x14ac:dyDescent="0.15">
      <c r="A336" s="25" t="s">
        <v>1210</v>
      </c>
      <c r="B336" s="25" t="s">
        <v>946</v>
      </c>
      <c r="C336" s="25" t="s">
        <v>947</v>
      </c>
      <c r="D336" s="25" t="s">
        <v>948</v>
      </c>
      <c r="E336" s="26" t="s">
        <v>45</v>
      </c>
      <c r="F336" s="27" t="s">
        <v>45</v>
      </c>
      <c r="G336" s="28" t="s">
        <v>45</v>
      </c>
      <c r="H336" s="29"/>
      <c r="I336" s="29" t="s">
        <v>46</v>
      </c>
      <c r="J336" s="30">
        <v>10</v>
      </c>
      <c r="K336" s="31">
        <f>5106</f>
        <v>5106</v>
      </c>
      <c r="L336" s="32" t="s">
        <v>995</v>
      </c>
      <c r="M336" s="31">
        <f>5301</f>
        <v>5301</v>
      </c>
      <c r="N336" s="32" t="s">
        <v>792</v>
      </c>
      <c r="O336" s="31">
        <f>5106</f>
        <v>5106</v>
      </c>
      <c r="P336" s="32" t="s">
        <v>995</v>
      </c>
      <c r="Q336" s="31">
        <f>5288</f>
        <v>5288</v>
      </c>
      <c r="R336" s="32" t="s">
        <v>997</v>
      </c>
      <c r="S336" s="33">
        <f>5230.33</f>
        <v>5230.33</v>
      </c>
      <c r="T336" s="30">
        <f>20260</f>
        <v>20260</v>
      </c>
      <c r="U336" s="30" t="str">
        <f>"－"</f>
        <v>－</v>
      </c>
      <c r="V336" s="30">
        <f>103491600</f>
        <v>103491600</v>
      </c>
      <c r="W336" s="30" t="str">
        <f>"－"</f>
        <v>－</v>
      </c>
      <c r="X336" s="34">
        <f>6</f>
        <v>6</v>
      </c>
    </row>
    <row r="337" spans="1:24" x14ac:dyDescent="0.15">
      <c r="A337" s="25" t="s">
        <v>1210</v>
      </c>
      <c r="B337" s="25" t="s">
        <v>949</v>
      </c>
      <c r="C337" s="25" t="s">
        <v>950</v>
      </c>
      <c r="D337" s="25" t="s">
        <v>951</v>
      </c>
      <c r="E337" s="26" t="s">
        <v>45</v>
      </c>
      <c r="F337" s="27" t="s">
        <v>45</v>
      </c>
      <c r="G337" s="28" t="s">
        <v>45</v>
      </c>
      <c r="H337" s="29"/>
      <c r="I337" s="29" t="s">
        <v>46</v>
      </c>
      <c r="J337" s="30">
        <v>10</v>
      </c>
      <c r="K337" s="31">
        <f>4263</f>
        <v>4263</v>
      </c>
      <c r="L337" s="32" t="s">
        <v>999</v>
      </c>
      <c r="M337" s="31">
        <f>4351</f>
        <v>4351</v>
      </c>
      <c r="N337" s="32" t="s">
        <v>80</v>
      </c>
      <c r="O337" s="31">
        <f>4242</f>
        <v>4242</v>
      </c>
      <c r="P337" s="32" t="s">
        <v>1005</v>
      </c>
      <c r="Q337" s="31">
        <f>4281</f>
        <v>4281</v>
      </c>
      <c r="R337" s="32" t="s">
        <v>1001</v>
      </c>
      <c r="S337" s="33">
        <f>4271.2</f>
        <v>4271.2</v>
      </c>
      <c r="T337" s="30">
        <f>93330</f>
        <v>93330</v>
      </c>
      <c r="U337" s="30">
        <f>93000</f>
        <v>93000</v>
      </c>
      <c r="V337" s="30">
        <f>403224520</f>
        <v>403224520</v>
      </c>
      <c r="W337" s="30">
        <f>401815800</f>
        <v>401815800</v>
      </c>
      <c r="X337" s="34">
        <f>5</f>
        <v>5</v>
      </c>
    </row>
    <row r="338" spans="1:24" x14ac:dyDescent="0.15">
      <c r="A338" s="25" t="s">
        <v>1210</v>
      </c>
      <c r="B338" s="25" t="s">
        <v>958</v>
      </c>
      <c r="C338" s="25" t="s">
        <v>959</v>
      </c>
      <c r="D338" s="25" t="s">
        <v>960</v>
      </c>
      <c r="E338" s="26" t="s">
        <v>45</v>
      </c>
      <c r="F338" s="27" t="s">
        <v>45</v>
      </c>
      <c r="G338" s="28" t="s">
        <v>45</v>
      </c>
      <c r="H338" s="29"/>
      <c r="I338" s="29" t="s">
        <v>46</v>
      </c>
      <c r="J338" s="30">
        <v>10</v>
      </c>
      <c r="K338" s="31">
        <f>1822</f>
        <v>1822</v>
      </c>
      <c r="L338" s="32" t="s">
        <v>875</v>
      </c>
      <c r="M338" s="31">
        <f>1885.5</f>
        <v>1885.5</v>
      </c>
      <c r="N338" s="32" t="s">
        <v>893</v>
      </c>
      <c r="O338" s="31">
        <f>1822</f>
        <v>1822</v>
      </c>
      <c r="P338" s="32" t="s">
        <v>875</v>
      </c>
      <c r="Q338" s="31">
        <f>1885.5</f>
        <v>1885.5</v>
      </c>
      <c r="R338" s="32" t="s">
        <v>893</v>
      </c>
      <c r="S338" s="33">
        <f>1860.5</f>
        <v>1860.5</v>
      </c>
      <c r="T338" s="30">
        <f>940</f>
        <v>940</v>
      </c>
      <c r="U338" s="30" t="str">
        <f>"－"</f>
        <v>－</v>
      </c>
      <c r="V338" s="30">
        <f>1741575</f>
        <v>1741575</v>
      </c>
      <c r="W338" s="30" t="str">
        <f>"－"</f>
        <v>－</v>
      </c>
      <c r="X338" s="34">
        <f>8</f>
        <v>8</v>
      </c>
    </row>
    <row r="339" spans="1:24" x14ac:dyDescent="0.15">
      <c r="A339" s="25" t="s">
        <v>1210</v>
      </c>
      <c r="B339" s="25" t="s">
        <v>961</v>
      </c>
      <c r="C339" s="25" t="s">
        <v>962</v>
      </c>
      <c r="D339" s="25" t="s">
        <v>963</v>
      </c>
      <c r="E339" s="26" t="s">
        <v>45</v>
      </c>
      <c r="F339" s="27" t="s">
        <v>45</v>
      </c>
      <c r="G339" s="28" t="s">
        <v>45</v>
      </c>
      <c r="H339" s="29"/>
      <c r="I339" s="29" t="s">
        <v>46</v>
      </c>
      <c r="J339" s="30">
        <v>1</v>
      </c>
      <c r="K339" s="31">
        <f>1075</f>
        <v>1075</v>
      </c>
      <c r="L339" s="32" t="s">
        <v>995</v>
      </c>
      <c r="M339" s="31">
        <f>1212</f>
        <v>1212</v>
      </c>
      <c r="N339" s="32" t="s">
        <v>876</v>
      </c>
      <c r="O339" s="31">
        <f>1075</f>
        <v>1075</v>
      </c>
      <c r="P339" s="32" t="s">
        <v>995</v>
      </c>
      <c r="Q339" s="31">
        <f>1171</f>
        <v>1171</v>
      </c>
      <c r="R339" s="32" t="s">
        <v>893</v>
      </c>
      <c r="S339" s="33">
        <f>1148.25</f>
        <v>1148.25</v>
      </c>
      <c r="T339" s="30">
        <f>3750</f>
        <v>3750</v>
      </c>
      <c r="U339" s="30" t="str">
        <f>"－"</f>
        <v>－</v>
      </c>
      <c r="V339" s="30">
        <f>4218902</f>
        <v>4218902</v>
      </c>
      <c r="W339" s="30" t="str">
        <f>"－"</f>
        <v>－</v>
      </c>
      <c r="X339" s="34">
        <f>20</f>
        <v>20</v>
      </c>
    </row>
    <row r="340" spans="1:24" x14ac:dyDescent="0.15">
      <c r="A340" s="25" t="s">
        <v>1210</v>
      </c>
      <c r="B340" s="25" t="s">
        <v>964</v>
      </c>
      <c r="C340" s="25" t="s">
        <v>965</v>
      </c>
      <c r="D340" s="25" t="s">
        <v>966</v>
      </c>
      <c r="E340" s="26" t="s">
        <v>45</v>
      </c>
      <c r="F340" s="27" t="s">
        <v>45</v>
      </c>
      <c r="G340" s="28" t="s">
        <v>45</v>
      </c>
      <c r="H340" s="29"/>
      <c r="I340" s="29" t="s">
        <v>46</v>
      </c>
      <c r="J340" s="30">
        <v>1</v>
      </c>
      <c r="K340" s="31">
        <f>1095</f>
        <v>1095</v>
      </c>
      <c r="L340" s="32" t="s">
        <v>995</v>
      </c>
      <c r="M340" s="31">
        <f>1170</f>
        <v>1170</v>
      </c>
      <c r="N340" s="32" t="s">
        <v>793</v>
      </c>
      <c r="O340" s="31">
        <f>1090</f>
        <v>1090</v>
      </c>
      <c r="P340" s="32" t="s">
        <v>995</v>
      </c>
      <c r="Q340" s="31">
        <f>1099</f>
        <v>1099</v>
      </c>
      <c r="R340" s="32" t="s">
        <v>893</v>
      </c>
      <c r="S340" s="33">
        <f>1108.05</f>
        <v>1108.05</v>
      </c>
      <c r="T340" s="30">
        <f>1192223</f>
        <v>1192223</v>
      </c>
      <c r="U340" s="30">
        <f>50</f>
        <v>50</v>
      </c>
      <c r="V340" s="30">
        <f>1321207284</f>
        <v>1321207284</v>
      </c>
      <c r="W340" s="30">
        <f>51950</f>
        <v>51950</v>
      </c>
      <c r="X340" s="34">
        <f>20</f>
        <v>20</v>
      </c>
    </row>
    <row r="341" spans="1:24" x14ac:dyDescent="0.15">
      <c r="A341" s="25" t="s">
        <v>1210</v>
      </c>
      <c r="B341" s="25" t="s">
        <v>967</v>
      </c>
      <c r="C341" s="25" t="s">
        <v>968</v>
      </c>
      <c r="D341" s="25" t="s">
        <v>969</v>
      </c>
      <c r="E341" s="26" t="s">
        <v>45</v>
      </c>
      <c r="F341" s="27" t="s">
        <v>45</v>
      </c>
      <c r="G341" s="28" t="s">
        <v>45</v>
      </c>
      <c r="H341" s="29"/>
      <c r="I341" s="29" t="s">
        <v>46</v>
      </c>
      <c r="J341" s="30">
        <v>1</v>
      </c>
      <c r="K341" s="31">
        <f>900</f>
        <v>900</v>
      </c>
      <c r="L341" s="32" t="s">
        <v>995</v>
      </c>
      <c r="M341" s="31">
        <f>953</f>
        <v>953</v>
      </c>
      <c r="N341" s="32" t="s">
        <v>876</v>
      </c>
      <c r="O341" s="31">
        <f>897</f>
        <v>897</v>
      </c>
      <c r="P341" s="32" t="s">
        <v>995</v>
      </c>
      <c r="Q341" s="31">
        <f>941</f>
        <v>941</v>
      </c>
      <c r="R341" s="32" t="s">
        <v>893</v>
      </c>
      <c r="S341" s="33">
        <f>934.75</f>
        <v>934.75</v>
      </c>
      <c r="T341" s="30">
        <f>1095317</f>
        <v>1095317</v>
      </c>
      <c r="U341" s="30">
        <f>1</f>
        <v>1</v>
      </c>
      <c r="V341" s="30">
        <f>1023237228</f>
        <v>1023237228</v>
      </c>
      <c r="W341" s="30">
        <f>961</f>
        <v>961</v>
      </c>
      <c r="X341" s="34">
        <f>20</f>
        <v>20</v>
      </c>
    </row>
    <row r="342" spans="1:24" x14ac:dyDescent="0.15">
      <c r="A342" s="25" t="s">
        <v>1210</v>
      </c>
      <c r="B342" s="25" t="s">
        <v>974</v>
      </c>
      <c r="C342" s="25" t="s">
        <v>975</v>
      </c>
      <c r="D342" s="25" t="s">
        <v>976</v>
      </c>
      <c r="E342" s="26" t="s">
        <v>45</v>
      </c>
      <c r="F342" s="27" t="s">
        <v>45</v>
      </c>
      <c r="G342" s="28" t="s">
        <v>45</v>
      </c>
      <c r="H342" s="29"/>
      <c r="I342" s="29" t="s">
        <v>46</v>
      </c>
      <c r="J342" s="30">
        <v>1</v>
      </c>
      <c r="K342" s="31">
        <f>996</f>
        <v>996</v>
      </c>
      <c r="L342" s="32" t="s">
        <v>995</v>
      </c>
      <c r="M342" s="31">
        <f>1100</f>
        <v>1100</v>
      </c>
      <c r="N342" s="32" t="s">
        <v>876</v>
      </c>
      <c r="O342" s="31">
        <f>990</f>
        <v>990</v>
      </c>
      <c r="P342" s="32" t="s">
        <v>995</v>
      </c>
      <c r="Q342" s="31">
        <f>1082</f>
        <v>1082</v>
      </c>
      <c r="R342" s="32" t="s">
        <v>893</v>
      </c>
      <c r="S342" s="33">
        <f>1062.95</f>
        <v>1062.95</v>
      </c>
      <c r="T342" s="30">
        <f>18156</f>
        <v>18156</v>
      </c>
      <c r="U342" s="30" t="str">
        <f>"－"</f>
        <v>－</v>
      </c>
      <c r="V342" s="30">
        <f>19296105</f>
        <v>19296105</v>
      </c>
      <c r="W342" s="30" t="str">
        <f>"－"</f>
        <v>－</v>
      </c>
      <c r="X342" s="34">
        <f>20</f>
        <v>20</v>
      </c>
    </row>
    <row r="343" spans="1:24" x14ac:dyDescent="0.15">
      <c r="A343" s="25" t="s">
        <v>1210</v>
      </c>
      <c r="B343" s="25" t="s">
        <v>977</v>
      </c>
      <c r="C343" s="25" t="s">
        <v>978</v>
      </c>
      <c r="D343" s="25" t="s">
        <v>979</v>
      </c>
      <c r="E343" s="26" t="s">
        <v>45</v>
      </c>
      <c r="F343" s="27" t="s">
        <v>45</v>
      </c>
      <c r="G343" s="28" t="s">
        <v>45</v>
      </c>
      <c r="H343" s="29"/>
      <c r="I343" s="29" t="s">
        <v>46</v>
      </c>
      <c r="J343" s="30">
        <v>1</v>
      </c>
      <c r="K343" s="31">
        <f>998</f>
        <v>998</v>
      </c>
      <c r="L343" s="32" t="s">
        <v>995</v>
      </c>
      <c r="M343" s="31">
        <f>1013</f>
        <v>1013</v>
      </c>
      <c r="N343" s="32" t="s">
        <v>1000</v>
      </c>
      <c r="O343" s="31">
        <f>986</f>
        <v>986</v>
      </c>
      <c r="P343" s="32" t="s">
        <v>1017</v>
      </c>
      <c r="Q343" s="31">
        <f>990</f>
        <v>990</v>
      </c>
      <c r="R343" s="32" t="s">
        <v>893</v>
      </c>
      <c r="S343" s="33">
        <f>1002.55</f>
        <v>1002.55</v>
      </c>
      <c r="T343" s="30">
        <f>333085</f>
        <v>333085</v>
      </c>
      <c r="U343" s="30" t="str">
        <f>"－"</f>
        <v>－</v>
      </c>
      <c r="V343" s="30">
        <f>333143645</f>
        <v>333143645</v>
      </c>
      <c r="W343" s="30" t="str">
        <f>"－"</f>
        <v>－</v>
      </c>
      <c r="X343" s="34">
        <f>20</f>
        <v>20</v>
      </c>
    </row>
    <row r="344" spans="1:24" x14ac:dyDescent="0.15">
      <c r="A344" s="25" t="s">
        <v>1210</v>
      </c>
      <c r="B344" s="25" t="s">
        <v>980</v>
      </c>
      <c r="C344" s="25" t="s">
        <v>981</v>
      </c>
      <c r="D344" s="25" t="s">
        <v>1089</v>
      </c>
      <c r="E344" s="26" t="s">
        <v>45</v>
      </c>
      <c r="F344" s="27" t="s">
        <v>45</v>
      </c>
      <c r="G344" s="28" t="s">
        <v>45</v>
      </c>
      <c r="H344" s="29"/>
      <c r="I344" s="29" t="s">
        <v>46</v>
      </c>
      <c r="J344" s="30">
        <v>1</v>
      </c>
      <c r="K344" s="31">
        <f>25925</f>
        <v>25925</v>
      </c>
      <c r="L344" s="32" t="s">
        <v>995</v>
      </c>
      <c r="M344" s="31">
        <f>32120</f>
        <v>32120</v>
      </c>
      <c r="N344" s="32" t="s">
        <v>998</v>
      </c>
      <c r="O344" s="31">
        <f>25880</f>
        <v>25880</v>
      </c>
      <c r="P344" s="32" t="s">
        <v>995</v>
      </c>
      <c r="Q344" s="31">
        <f>31880</f>
        <v>31880</v>
      </c>
      <c r="R344" s="32" t="s">
        <v>893</v>
      </c>
      <c r="S344" s="33">
        <f>30213</f>
        <v>30213</v>
      </c>
      <c r="T344" s="30">
        <f>381094</f>
        <v>381094</v>
      </c>
      <c r="U344" s="30">
        <f>5</f>
        <v>5</v>
      </c>
      <c r="V344" s="30">
        <f>11464848465</f>
        <v>11464848465</v>
      </c>
      <c r="W344" s="30">
        <f>159250</f>
        <v>159250</v>
      </c>
      <c r="X344" s="34">
        <f>20</f>
        <v>20</v>
      </c>
    </row>
    <row r="345" spans="1:24" x14ac:dyDescent="0.15">
      <c r="A345" s="25" t="s">
        <v>1210</v>
      </c>
      <c r="B345" s="25" t="s">
        <v>983</v>
      </c>
      <c r="C345" s="25" t="s">
        <v>984</v>
      </c>
      <c r="D345" s="25" t="s">
        <v>1090</v>
      </c>
      <c r="E345" s="26" t="s">
        <v>45</v>
      </c>
      <c r="F345" s="27" t="s">
        <v>45</v>
      </c>
      <c r="G345" s="28" t="s">
        <v>45</v>
      </c>
      <c r="H345" s="29"/>
      <c r="I345" s="29" t="s">
        <v>46</v>
      </c>
      <c r="J345" s="30">
        <v>1</v>
      </c>
      <c r="K345" s="31">
        <f>37940</f>
        <v>37940</v>
      </c>
      <c r="L345" s="32" t="s">
        <v>995</v>
      </c>
      <c r="M345" s="31">
        <f>38020</f>
        <v>38020</v>
      </c>
      <c r="N345" s="32" t="s">
        <v>995</v>
      </c>
      <c r="O345" s="31">
        <f>30350</f>
        <v>30350</v>
      </c>
      <c r="P345" s="32" t="s">
        <v>998</v>
      </c>
      <c r="Q345" s="31">
        <f>30540</f>
        <v>30540</v>
      </c>
      <c r="R345" s="32" t="s">
        <v>893</v>
      </c>
      <c r="S345" s="33">
        <f>32467.5</f>
        <v>32467.5</v>
      </c>
      <c r="T345" s="30">
        <f>226828</f>
        <v>226828</v>
      </c>
      <c r="U345" s="30">
        <f>3</f>
        <v>3</v>
      </c>
      <c r="V345" s="30">
        <f>7442573165</f>
        <v>7442573165</v>
      </c>
      <c r="W345" s="30">
        <f>86275</f>
        <v>86275</v>
      </c>
      <c r="X345" s="34">
        <f>20</f>
        <v>20</v>
      </c>
    </row>
  </sheetData>
  <mergeCells count="3">
    <mergeCell ref="N1:X3"/>
    <mergeCell ref="A2:M2"/>
    <mergeCell ref="A3:M3"/>
  </mergeCells>
  <phoneticPr fontId="3"/>
  <printOptions horizontalCentered="1"/>
  <pageMargins left="0.39370078740157483" right="0.39370078740157483" top="0.39370078740157483" bottom="0.59055118110236227" header="0.27559055118110237" footer="0.27559055118110237"/>
  <pageSetup paperSize="9" scale="34" fitToHeight="0" orientation="landscape" r:id="rId1"/>
  <headerFooter>
    <oddFooter>&amp;C&amp;P/&amp;N&amp;RCopyright (c) Tokyo Stock Exchange, Inc. All Rights Reserved.</oddFooter>
  </headerFooter>
  <customProperties>
    <customPr name="layoutContexts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F5B71A-DD6C-4E25-9FB2-99605AA66E9B}">
  <sheetPr>
    <pageSetUpPr fitToPage="1"/>
  </sheetPr>
  <dimension ref="A1:X336"/>
  <sheetViews>
    <sheetView showGridLines="0" view="pageBreakPreview" zoomScaleNormal="70" zoomScaleSheetLayoutView="100" workbookViewId="0">
      <pane ySplit="6" topLeftCell="A7" activePane="bottomLeft" state="frozen"/>
      <selection activeCell="A2" sqref="A2:M2"/>
      <selection pane="bottomLeft"/>
    </sheetView>
  </sheetViews>
  <sheetFormatPr defaultRowHeight="13.5" customHeight="1" x14ac:dyDescent="0.4"/>
  <cols>
    <col min="1" max="1" width="13.125" style="3" bestFit="1" customWidth="1"/>
    <col min="2" max="2" width="10.75" style="3" bestFit="1" customWidth="1"/>
    <col min="3" max="4" width="27.625" style="3" customWidth="1"/>
    <col min="5" max="5" width="13.75" style="3" bestFit="1" customWidth="1"/>
    <col min="6" max="6" width="20.75" style="3" bestFit="1" customWidth="1"/>
    <col min="7" max="7" width="11.25" style="3" customWidth="1"/>
    <col min="8" max="8" width="8.75" style="3" bestFit="1" customWidth="1"/>
    <col min="9" max="9" width="11.75" style="3" bestFit="1" customWidth="1"/>
    <col min="10" max="10" width="12.625" style="3" bestFit="1" customWidth="1"/>
    <col min="11" max="11" width="16.25" style="3" customWidth="1"/>
    <col min="12" max="12" width="5.625" style="3" bestFit="1" customWidth="1"/>
    <col min="13" max="13" width="16.25" style="3" customWidth="1"/>
    <col min="14" max="14" width="5.625" style="3" bestFit="1" customWidth="1"/>
    <col min="15" max="15" width="16.25" style="3" customWidth="1"/>
    <col min="16" max="16" width="5.625" style="3" bestFit="1" customWidth="1"/>
    <col min="17" max="17" width="16.25" style="3" customWidth="1"/>
    <col min="18" max="18" width="5.625" style="3" bestFit="1" customWidth="1"/>
    <col min="19" max="19" width="23.875" style="3" bestFit="1" customWidth="1"/>
    <col min="20" max="20" width="16.25" style="3" customWidth="1"/>
    <col min="21" max="21" width="24.125" style="3" customWidth="1"/>
    <col min="22" max="22" width="19.875" style="3" bestFit="1" customWidth="1"/>
    <col min="23" max="23" width="25" style="3" bestFit="1" customWidth="1"/>
    <col min="24" max="24" width="13.125" style="3" bestFit="1" customWidth="1"/>
    <col min="25" max="16384" width="9" style="3"/>
  </cols>
  <sheetData>
    <row r="1" spans="1:24" ht="13.5" customHeight="1" x14ac:dyDescent="0.4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6" t="s">
        <v>0</v>
      </c>
      <c r="O1" s="36"/>
      <c r="P1" s="36"/>
      <c r="Q1" s="36"/>
      <c r="R1" s="36"/>
      <c r="S1" s="36"/>
      <c r="T1" s="36"/>
      <c r="U1" s="36"/>
      <c r="V1" s="36"/>
      <c r="W1" s="36"/>
      <c r="X1" s="37"/>
    </row>
    <row r="2" spans="1:24" ht="99" customHeight="1" x14ac:dyDescent="0.4">
      <c r="A2" s="42" t="s">
        <v>1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38"/>
      <c r="O2" s="38"/>
      <c r="P2" s="38"/>
      <c r="Q2" s="38"/>
      <c r="R2" s="38"/>
      <c r="S2" s="38"/>
      <c r="T2" s="38"/>
      <c r="U2" s="38"/>
      <c r="V2" s="38"/>
      <c r="W2" s="38"/>
      <c r="X2" s="39"/>
    </row>
    <row r="3" spans="1:24" ht="39" customHeight="1" x14ac:dyDescent="0.4">
      <c r="A3" s="44" t="s">
        <v>2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0"/>
      <c r="O3" s="40"/>
      <c r="P3" s="40"/>
      <c r="Q3" s="40"/>
      <c r="R3" s="40"/>
      <c r="S3" s="40"/>
      <c r="T3" s="40"/>
      <c r="U3" s="40"/>
      <c r="V3" s="40"/>
      <c r="W3" s="40"/>
      <c r="X3" s="41"/>
    </row>
    <row r="4" spans="1:24" s="10" customFormat="1" ht="13.5" customHeight="1" x14ac:dyDescent="0.4">
      <c r="A4" s="4" t="s">
        <v>3</v>
      </c>
      <c r="B4" s="4" t="s">
        <v>4</v>
      </c>
      <c r="C4" s="4"/>
      <c r="D4" s="4"/>
      <c r="E4" s="5"/>
      <c r="F4" s="6"/>
      <c r="G4" s="7" t="s">
        <v>5</v>
      </c>
      <c r="H4" s="4" t="s">
        <v>6</v>
      </c>
      <c r="I4" s="4" t="s">
        <v>7</v>
      </c>
      <c r="J4" s="4" t="s">
        <v>8</v>
      </c>
      <c r="K4" s="8" t="s">
        <v>9</v>
      </c>
      <c r="L4" s="7" t="s">
        <v>5</v>
      </c>
      <c r="M4" s="8" t="s">
        <v>10</v>
      </c>
      <c r="N4" s="7" t="s">
        <v>5</v>
      </c>
      <c r="O4" s="8" t="s">
        <v>11</v>
      </c>
      <c r="P4" s="7" t="s">
        <v>5</v>
      </c>
      <c r="Q4" s="8" t="s">
        <v>12</v>
      </c>
      <c r="R4" s="7" t="s">
        <v>5</v>
      </c>
      <c r="S4" s="4" t="s">
        <v>13</v>
      </c>
      <c r="T4" s="4" t="s">
        <v>14</v>
      </c>
      <c r="U4" s="9" t="s">
        <v>15</v>
      </c>
      <c r="V4" s="4" t="s">
        <v>16</v>
      </c>
      <c r="W4" s="4" t="s">
        <v>17</v>
      </c>
      <c r="X4" s="4" t="s">
        <v>18</v>
      </c>
    </row>
    <row r="5" spans="1:24" ht="13.5" customHeight="1" x14ac:dyDescent="0.4">
      <c r="A5" s="11" t="s">
        <v>19</v>
      </c>
      <c r="B5" s="11" t="s">
        <v>20</v>
      </c>
      <c r="C5" s="11" t="s">
        <v>21</v>
      </c>
      <c r="D5" s="11" t="s">
        <v>22</v>
      </c>
      <c r="E5" s="12" t="s">
        <v>23</v>
      </c>
      <c r="F5" s="13" t="s">
        <v>24</v>
      </c>
      <c r="G5" s="14" t="s">
        <v>25</v>
      </c>
      <c r="H5" s="15" t="s">
        <v>26</v>
      </c>
      <c r="I5" s="15" t="s">
        <v>27</v>
      </c>
      <c r="J5" s="15" t="s">
        <v>28</v>
      </c>
      <c r="K5" s="16" t="s">
        <v>29</v>
      </c>
      <c r="L5" s="14" t="s">
        <v>25</v>
      </c>
      <c r="M5" s="16" t="s">
        <v>30</v>
      </c>
      <c r="N5" s="14" t="s">
        <v>25</v>
      </c>
      <c r="O5" s="16" t="s">
        <v>31</v>
      </c>
      <c r="P5" s="14" t="s">
        <v>25</v>
      </c>
      <c r="Q5" s="16" t="s">
        <v>32</v>
      </c>
      <c r="R5" s="14" t="s">
        <v>25</v>
      </c>
      <c r="S5" s="17" t="s">
        <v>33</v>
      </c>
      <c r="T5" s="17" t="s">
        <v>34</v>
      </c>
      <c r="U5" s="11" t="s">
        <v>35</v>
      </c>
      <c r="V5" s="17" t="s">
        <v>36</v>
      </c>
      <c r="W5" s="17" t="s">
        <v>37</v>
      </c>
      <c r="X5" s="17" t="s">
        <v>38</v>
      </c>
    </row>
    <row r="6" spans="1:24" ht="13.5" customHeight="1" x14ac:dyDescent="0.15">
      <c r="A6" s="18"/>
      <c r="B6" s="18"/>
      <c r="C6" s="18"/>
      <c r="D6" s="18"/>
      <c r="E6" s="19"/>
      <c r="F6" s="20"/>
      <c r="G6" s="21"/>
      <c r="H6" s="22"/>
      <c r="I6" s="22"/>
      <c r="J6" s="22" t="s">
        <v>39</v>
      </c>
      <c r="K6" s="23" t="s">
        <v>40</v>
      </c>
      <c r="L6" s="24"/>
      <c r="M6" s="23" t="s">
        <v>40</v>
      </c>
      <c r="N6" s="24"/>
      <c r="O6" s="23" t="s">
        <v>40</v>
      </c>
      <c r="P6" s="24"/>
      <c r="Q6" s="23" t="s">
        <v>40</v>
      </c>
      <c r="R6" s="24"/>
      <c r="S6" s="23" t="s">
        <v>40</v>
      </c>
      <c r="T6" s="22" t="s">
        <v>41</v>
      </c>
      <c r="U6" s="22" t="s">
        <v>41</v>
      </c>
      <c r="V6" s="23" t="s">
        <v>40</v>
      </c>
      <c r="W6" s="23" t="s">
        <v>40</v>
      </c>
      <c r="X6" s="22"/>
    </row>
    <row r="7" spans="1:24" s="35" customFormat="1" ht="13.5" customHeight="1" x14ac:dyDescent="0.15">
      <c r="A7" s="25" t="s">
        <v>1182</v>
      </c>
      <c r="B7" s="25" t="s">
        <v>42</v>
      </c>
      <c r="C7" s="25" t="s">
        <v>1033</v>
      </c>
      <c r="D7" s="25" t="s">
        <v>1034</v>
      </c>
      <c r="E7" s="26" t="s">
        <v>45</v>
      </c>
      <c r="F7" s="27" t="s">
        <v>45</v>
      </c>
      <c r="G7" s="28" t="s">
        <v>45</v>
      </c>
      <c r="H7" s="29"/>
      <c r="I7" s="29" t="s">
        <v>46</v>
      </c>
      <c r="J7" s="30">
        <v>10</v>
      </c>
      <c r="K7" s="31">
        <f>2467</f>
        <v>2467</v>
      </c>
      <c r="L7" s="32" t="s">
        <v>999</v>
      </c>
      <c r="M7" s="31">
        <f>2488</f>
        <v>2488</v>
      </c>
      <c r="N7" s="32" t="s">
        <v>999</v>
      </c>
      <c r="O7" s="31">
        <f>2320</f>
        <v>2320</v>
      </c>
      <c r="P7" s="32" t="s">
        <v>793</v>
      </c>
      <c r="Q7" s="31">
        <f>2381</f>
        <v>2381</v>
      </c>
      <c r="R7" s="32" t="s">
        <v>791</v>
      </c>
      <c r="S7" s="33">
        <f>2397.74</f>
        <v>2397.7399999999998</v>
      </c>
      <c r="T7" s="30">
        <f>11439220</f>
        <v>11439220</v>
      </c>
      <c r="U7" s="30">
        <f>7806900</f>
        <v>7806900</v>
      </c>
      <c r="V7" s="30">
        <f>27031058671</f>
        <v>27031058671</v>
      </c>
      <c r="W7" s="30">
        <f>18310082811</f>
        <v>18310082811</v>
      </c>
      <c r="X7" s="34">
        <f>21</f>
        <v>21</v>
      </c>
    </row>
    <row r="8" spans="1:24" ht="13.5" customHeight="1" x14ac:dyDescent="0.15">
      <c r="A8" s="25" t="s">
        <v>1182</v>
      </c>
      <c r="B8" s="25" t="s">
        <v>47</v>
      </c>
      <c r="C8" s="25" t="s">
        <v>48</v>
      </c>
      <c r="D8" s="25" t="s">
        <v>49</v>
      </c>
      <c r="E8" s="26" t="s">
        <v>45</v>
      </c>
      <c r="F8" s="27" t="s">
        <v>45</v>
      </c>
      <c r="G8" s="28" t="s">
        <v>45</v>
      </c>
      <c r="H8" s="29"/>
      <c r="I8" s="29" t="s">
        <v>46</v>
      </c>
      <c r="J8" s="30">
        <v>10</v>
      </c>
      <c r="K8" s="31">
        <f>2438.5</f>
        <v>2438.5</v>
      </c>
      <c r="L8" s="32" t="s">
        <v>999</v>
      </c>
      <c r="M8" s="31">
        <f>2462</f>
        <v>2462</v>
      </c>
      <c r="N8" s="32" t="s">
        <v>999</v>
      </c>
      <c r="O8" s="31">
        <f>2294.5</f>
        <v>2294.5</v>
      </c>
      <c r="P8" s="32" t="s">
        <v>793</v>
      </c>
      <c r="Q8" s="31">
        <f>2356.5</f>
        <v>2356.5</v>
      </c>
      <c r="R8" s="32" t="s">
        <v>791</v>
      </c>
      <c r="S8" s="33">
        <f>2372</f>
        <v>2372</v>
      </c>
      <c r="T8" s="30">
        <f>61886050</f>
        <v>61886050</v>
      </c>
      <c r="U8" s="30">
        <f>15442340</f>
        <v>15442340</v>
      </c>
      <c r="V8" s="30">
        <f>146004724942</f>
        <v>146004724942</v>
      </c>
      <c r="W8" s="30">
        <f>35987924682</f>
        <v>35987924682</v>
      </c>
      <c r="X8" s="34">
        <f>21</f>
        <v>21</v>
      </c>
    </row>
    <row r="9" spans="1:24" ht="13.5" customHeight="1" x14ac:dyDescent="0.15">
      <c r="A9" s="25" t="s">
        <v>1182</v>
      </c>
      <c r="B9" s="25" t="s">
        <v>50</v>
      </c>
      <c r="C9" s="25" t="s">
        <v>51</v>
      </c>
      <c r="D9" s="25" t="s">
        <v>52</v>
      </c>
      <c r="E9" s="26" t="s">
        <v>45</v>
      </c>
      <c r="F9" s="27" t="s">
        <v>45</v>
      </c>
      <c r="G9" s="28" t="s">
        <v>45</v>
      </c>
      <c r="H9" s="29"/>
      <c r="I9" s="29" t="s">
        <v>46</v>
      </c>
      <c r="J9" s="30">
        <v>1</v>
      </c>
      <c r="K9" s="31">
        <f>2412</f>
        <v>2412</v>
      </c>
      <c r="L9" s="32" t="s">
        <v>999</v>
      </c>
      <c r="M9" s="31">
        <f>2432</f>
        <v>2432</v>
      </c>
      <c r="N9" s="32" t="s">
        <v>999</v>
      </c>
      <c r="O9" s="31">
        <f>2268</f>
        <v>2268</v>
      </c>
      <c r="P9" s="32" t="s">
        <v>793</v>
      </c>
      <c r="Q9" s="31">
        <f>2327</f>
        <v>2327</v>
      </c>
      <c r="R9" s="32" t="s">
        <v>791</v>
      </c>
      <c r="S9" s="33">
        <f>2344.24</f>
        <v>2344.2399999999998</v>
      </c>
      <c r="T9" s="30">
        <f>21871530</f>
        <v>21871530</v>
      </c>
      <c r="U9" s="30">
        <f>12575853</f>
        <v>12575853</v>
      </c>
      <c r="V9" s="30">
        <f>50660781886</f>
        <v>50660781886</v>
      </c>
      <c r="W9" s="30">
        <f>28971626357</f>
        <v>28971626357</v>
      </c>
      <c r="X9" s="34">
        <f>21</f>
        <v>21</v>
      </c>
    </row>
    <row r="10" spans="1:24" ht="13.5" customHeight="1" x14ac:dyDescent="0.15">
      <c r="A10" s="25" t="s">
        <v>1182</v>
      </c>
      <c r="B10" s="25" t="s">
        <v>53</v>
      </c>
      <c r="C10" s="25" t="s">
        <v>54</v>
      </c>
      <c r="D10" s="25" t="s">
        <v>55</v>
      </c>
      <c r="E10" s="26" t="s">
        <v>45</v>
      </c>
      <c r="F10" s="27" t="s">
        <v>45</v>
      </c>
      <c r="G10" s="28" t="s">
        <v>45</v>
      </c>
      <c r="H10" s="29"/>
      <c r="I10" s="29" t="s">
        <v>46</v>
      </c>
      <c r="J10" s="30">
        <v>1</v>
      </c>
      <c r="K10" s="31">
        <f>40360</f>
        <v>40360</v>
      </c>
      <c r="L10" s="32" t="s">
        <v>999</v>
      </c>
      <c r="M10" s="31">
        <f>40480</f>
        <v>40480</v>
      </c>
      <c r="N10" s="32" t="s">
        <v>999</v>
      </c>
      <c r="O10" s="31">
        <f>38200</f>
        <v>38200</v>
      </c>
      <c r="P10" s="32" t="s">
        <v>80</v>
      </c>
      <c r="Q10" s="31">
        <f>38400</f>
        <v>38400</v>
      </c>
      <c r="R10" s="32" t="s">
        <v>791</v>
      </c>
      <c r="S10" s="33">
        <f>39056.19</f>
        <v>39056.19</v>
      </c>
      <c r="T10" s="30">
        <f>1654</f>
        <v>1654</v>
      </c>
      <c r="U10" s="30" t="str">
        <f>"－"</f>
        <v>－</v>
      </c>
      <c r="V10" s="30">
        <f>64582970</f>
        <v>64582970</v>
      </c>
      <c r="W10" s="30" t="str">
        <f>"－"</f>
        <v>－</v>
      </c>
      <c r="X10" s="34">
        <f>21</f>
        <v>21</v>
      </c>
    </row>
    <row r="11" spans="1:24" ht="13.5" customHeight="1" x14ac:dyDescent="0.15">
      <c r="A11" s="25" t="s">
        <v>1182</v>
      </c>
      <c r="B11" s="25" t="s">
        <v>57</v>
      </c>
      <c r="C11" s="25" t="s">
        <v>58</v>
      </c>
      <c r="D11" s="25" t="s">
        <v>59</v>
      </c>
      <c r="E11" s="26" t="s">
        <v>45</v>
      </c>
      <c r="F11" s="27" t="s">
        <v>45</v>
      </c>
      <c r="G11" s="28" t="s">
        <v>45</v>
      </c>
      <c r="H11" s="29"/>
      <c r="I11" s="29" t="s">
        <v>46</v>
      </c>
      <c r="J11" s="30">
        <v>10</v>
      </c>
      <c r="K11" s="31">
        <f>1171</f>
        <v>1171</v>
      </c>
      <c r="L11" s="32" t="s">
        <v>999</v>
      </c>
      <c r="M11" s="31">
        <f>1185</f>
        <v>1185</v>
      </c>
      <c r="N11" s="32" t="s">
        <v>787</v>
      </c>
      <c r="O11" s="31">
        <f>1109</f>
        <v>1109</v>
      </c>
      <c r="P11" s="32" t="s">
        <v>793</v>
      </c>
      <c r="Q11" s="31">
        <f>1134.5</f>
        <v>1134.5</v>
      </c>
      <c r="R11" s="32" t="s">
        <v>791</v>
      </c>
      <c r="S11" s="33">
        <f>1144.31</f>
        <v>1144.31</v>
      </c>
      <c r="T11" s="30">
        <f>129340</f>
        <v>129340</v>
      </c>
      <c r="U11" s="30" t="str">
        <f>"－"</f>
        <v>－</v>
      </c>
      <c r="V11" s="30">
        <f>148031630</f>
        <v>148031630</v>
      </c>
      <c r="W11" s="30" t="str">
        <f>"－"</f>
        <v>－</v>
      </c>
      <c r="X11" s="34">
        <f>21</f>
        <v>21</v>
      </c>
    </row>
    <row r="12" spans="1:24" ht="13.5" customHeight="1" x14ac:dyDescent="0.15">
      <c r="A12" s="25" t="s">
        <v>1182</v>
      </c>
      <c r="B12" s="25" t="s">
        <v>66</v>
      </c>
      <c r="C12" s="25" t="s">
        <v>67</v>
      </c>
      <c r="D12" s="25" t="s">
        <v>68</v>
      </c>
      <c r="E12" s="26" t="s">
        <v>45</v>
      </c>
      <c r="F12" s="27" t="s">
        <v>45</v>
      </c>
      <c r="G12" s="28" t="s">
        <v>45</v>
      </c>
      <c r="H12" s="29"/>
      <c r="I12" s="29" t="s">
        <v>46</v>
      </c>
      <c r="J12" s="30">
        <v>1000</v>
      </c>
      <c r="K12" s="31">
        <f>407.3</f>
        <v>407.3</v>
      </c>
      <c r="L12" s="32" t="s">
        <v>999</v>
      </c>
      <c r="M12" s="31">
        <f>408.9</f>
        <v>408.9</v>
      </c>
      <c r="N12" s="32" t="s">
        <v>787</v>
      </c>
      <c r="O12" s="31">
        <f>377.6</f>
        <v>377.6</v>
      </c>
      <c r="P12" s="32" t="s">
        <v>255</v>
      </c>
      <c r="Q12" s="31">
        <f>378</f>
        <v>378</v>
      </c>
      <c r="R12" s="32" t="s">
        <v>791</v>
      </c>
      <c r="S12" s="33">
        <f>395.84</f>
        <v>395.84</v>
      </c>
      <c r="T12" s="30">
        <f>54000</f>
        <v>54000</v>
      </c>
      <c r="U12" s="30">
        <f>1000</f>
        <v>1000</v>
      </c>
      <c r="V12" s="30">
        <f>21099700</f>
        <v>21099700</v>
      </c>
      <c r="W12" s="30">
        <f>395100</f>
        <v>395100</v>
      </c>
      <c r="X12" s="34">
        <f>16</f>
        <v>16</v>
      </c>
    </row>
    <row r="13" spans="1:24" ht="13.5" customHeight="1" x14ac:dyDescent="0.15">
      <c r="A13" s="25" t="s">
        <v>1182</v>
      </c>
      <c r="B13" s="25" t="s">
        <v>69</v>
      </c>
      <c r="C13" s="25" t="s">
        <v>1035</v>
      </c>
      <c r="D13" s="25" t="s">
        <v>1036</v>
      </c>
      <c r="E13" s="26" t="s">
        <v>45</v>
      </c>
      <c r="F13" s="27" t="s">
        <v>45</v>
      </c>
      <c r="G13" s="28" t="s">
        <v>45</v>
      </c>
      <c r="H13" s="29"/>
      <c r="I13" s="29" t="s">
        <v>46</v>
      </c>
      <c r="J13" s="30">
        <v>1</v>
      </c>
      <c r="K13" s="31">
        <f>33110</f>
        <v>33110</v>
      </c>
      <c r="L13" s="32" t="s">
        <v>999</v>
      </c>
      <c r="M13" s="31">
        <f>33550</f>
        <v>33550</v>
      </c>
      <c r="N13" s="32" t="s">
        <v>56</v>
      </c>
      <c r="O13" s="31">
        <f>31470</f>
        <v>31470</v>
      </c>
      <c r="P13" s="32" t="s">
        <v>785</v>
      </c>
      <c r="Q13" s="31">
        <f>31890</f>
        <v>31890</v>
      </c>
      <c r="R13" s="32" t="s">
        <v>791</v>
      </c>
      <c r="S13" s="33">
        <f>32381.43</f>
        <v>32381.43</v>
      </c>
      <c r="T13" s="30">
        <f>1973028</f>
        <v>1973028</v>
      </c>
      <c r="U13" s="30">
        <f>603777</f>
        <v>603777</v>
      </c>
      <c r="V13" s="30">
        <f>63286457226</f>
        <v>63286457226</v>
      </c>
      <c r="W13" s="30">
        <f>19072629316</f>
        <v>19072629316</v>
      </c>
      <c r="X13" s="34">
        <f>21</f>
        <v>21</v>
      </c>
    </row>
    <row r="14" spans="1:24" ht="13.5" customHeight="1" x14ac:dyDescent="0.15">
      <c r="A14" s="25" t="s">
        <v>1182</v>
      </c>
      <c r="B14" s="25" t="s">
        <v>72</v>
      </c>
      <c r="C14" s="25" t="s">
        <v>73</v>
      </c>
      <c r="D14" s="25" t="s">
        <v>74</v>
      </c>
      <c r="E14" s="26" t="s">
        <v>45</v>
      </c>
      <c r="F14" s="27" t="s">
        <v>45</v>
      </c>
      <c r="G14" s="28" t="s">
        <v>45</v>
      </c>
      <c r="H14" s="29"/>
      <c r="I14" s="29" t="s">
        <v>46</v>
      </c>
      <c r="J14" s="30">
        <v>1</v>
      </c>
      <c r="K14" s="31">
        <f>33260</f>
        <v>33260</v>
      </c>
      <c r="L14" s="32" t="s">
        <v>999</v>
      </c>
      <c r="M14" s="31">
        <f>33680</f>
        <v>33680</v>
      </c>
      <c r="N14" s="32" t="s">
        <v>56</v>
      </c>
      <c r="O14" s="31">
        <f>31570</f>
        <v>31570</v>
      </c>
      <c r="P14" s="32" t="s">
        <v>785</v>
      </c>
      <c r="Q14" s="31">
        <f>31970</f>
        <v>31970</v>
      </c>
      <c r="R14" s="32" t="s">
        <v>791</v>
      </c>
      <c r="S14" s="33">
        <f>32506.19</f>
        <v>32506.19</v>
      </c>
      <c r="T14" s="30">
        <f>8111162</f>
        <v>8111162</v>
      </c>
      <c r="U14" s="30">
        <f>820136</f>
        <v>820136</v>
      </c>
      <c r="V14" s="30">
        <f>262439162399</f>
        <v>262439162399</v>
      </c>
      <c r="W14" s="30">
        <f>26009917819</f>
        <v>26009917819</v>
      </c>
      <c r="X14" s="34">
        <f>21</f>
        <v>21</v>
      </c>
    </row>
    <row r="15" spans="1:24" ht="13.5" customHeight="1" x14ac:dyDescent="0.15">
      <c r="A15" s="25" t="s">
        <v>1182</v>
      </c>
      <c r="B15" s="25" t="s">
        <v>75</v>
      </c>
      <c r="C15" s="25" t="s">
        <v>76</v>
      </c>
      <c r="D15" s="25" t="s">
        <v>77</v>
      </c>
      <c r="E15" s="26" t="s">
        <v>45</v>
      </c>
      <c r="F15" s="27" t="s">
        <v>45</v>
      </c>
      <c r="G15" s="28" t="s">
        <v>45</v>
      </c>
      <c r="H15" s="29"/>
      <c r="I15" s="29" t="s">
        <v>46</v>
      </c>
      <c r="J15" s="30">
        <v>10</v>
      </c>
      <c r="K15" s="31">
        <f>7722</f>
        <v>7722</v>
      </c>
      <c r="L15" s="32" t="s">
        <v>999</v>
      </c>
      <c r="M15" s="31">
        <f>7770</f>
        <v>7770</v>
      </c>
      <c r="N15" s="32" t="s">
        <v>999</v>
      </c>
      <c r="O15" s="31">
        <f>7200</f>
        <v>7200</v>
      </c>
      <c r="P15" s="32" t="s">
        <v>793</v>
      </c>
      <c r="Q15" s="31">
        <f>7450</f>
        <v>7450</v>
      </c>
      <c r="R15" s="32" t="s">
        <v>791</v>
      </c>
      <c r="S15" s="33">
        <f>7478</f>
        <v>7478</v>
      </c>
      <c r="T15" s="30">
        <f>4300</f>
        <v>4300</v>
      </c>
      <c r="U15" s="30" t="str">
        <f>"－"</f>
        <v>－</v>
      </c>
      <c r="V15" s="30">
        <f>32187580</f>
        <v>32187580</v>
      </c>
      <c r="W15" s="30" t="str">
        <f>"－"</f>
        <v>－</v>
      </c>
      <c r="X15" s="34">
        <f>20</f>
        <v>20</v>
      </c>
    </row>
    <row r="16" spans="1:24" ht="13.5" customHeight="1" x14ac:dyDescent="0.15">
      <c r="A16" s="25" t="s">
        <v>1182</v>
      </c>
      <c r="B16" s="25" t="s">
        <v>79</v>
      </c>
      <c r="C16" s="25" t="s">
        <v>926</v>
      </c>
      <c r="D16" s="25" t="s">
        <v>927</v>
      </c>
      <c r="E16" s="26" t="s">
        <v>45</v>
      </c>
      <c r="F16" s="27" t="s">
        <v>45</v>
      </c>
      <c r="G16" s="28" t="s">
        <v>45</v>
      </c>
      <c r="H16" s="29"/>
      <c r="I16" s="29" t="s">
        <v>46</v>
      </c>
      <c r="J16" s="30">
        <v>100</v>
      </c>
      <c r="K16" s="31" t="str">
        <f>"－"</f>
        <v>－</v>
      </c>
      <c r="L16" s="32"/>
      <c r="M16" s="31" t="str">
        <f>"－"</f>
        <v>－</v>
      </c>
      <c r="N16" s="32"/>
      <c r="O16" s="31" t="str">
        <f>"－"</f>
        <v>－</v>
      </c>
      <c r="P16" s="32"/>
      <c r="Q16" s="31" t="str">
        <f>"－"</f>
        <v>－</v>
      </c>
      <c r="R16" s="32"/>
      <c r="S16" s="33" t="str">
        <f>"－"</f>
        <v>－</v>
      </c>
      <c r="T16" s="30" t="str">
        <f>"－"</f>
        <v>－</v>
      </c>
      <c r="U16" s="30" t="str">
        <f>"－"</f>
        <v>－</v>
      </c>
      <c r="V16" s="30" t="str">
        <f>"－"</f>
        <v>－</v>
      </c>
      <c r="W16" s="30" t="str">
        <f>"－"</f>
        <v>－</v>
      </c>
      <c r="X16" s="34" t="str">
        <f>"－"</f>
        <v>－</v>
      </c>
    </row>
    <row r="17" spans="1:24" ht="13.5" customHeight="1" x14ac:dyDescent="0.15">
      <c r="A17" s="25" t="s">
        <v>1182</v>
      </c>
      <c r="B17" s="25" t="s">
        <v>81</v>
      </c>
      <c r="C17" s="25" t="s">
        <v>82</v>
      </c>
      <c r="D17" s="25" t="s">
        <v>83</v>
      </c>
      <c r="E17" s="26" t="s">
        <v>45</v>
      </c>
      <c r="F17" s="27" t="s">
        <v>45</v>
      </c>
      <c r="G17" s="28" t="s">
        <v>45</v>
      </c>
      <c r="H17" s="29"/>
      <c r="I17" s="29" t="s">
        <v>46</v>
      </c>
      <c r="J17" s="30">
        <v>100</v>
      </c>
      <c r="K17" s="31">
        <f>224.9</f>
        <v>224.9</v>
      </c>
      <c r="L17" s="32" t="s">
        <v>999</v>
      </c>
      <c r="M17" s="31">
        <f>224.9</f>
        <v>224.9</v>
      </c>
      <c r="N17" s="32" t="s">
        <v>999</v>
      </c>
      <c r="O17" s="31">
        <f>209.9</f>
        <v>209.9</v>
      </c>
      <c r="P17" s="32" t="s">
        <v>784</v>
      </c>
      <c r="Q17" s="31">
        <f>215</f>
        <v>215</v>
      </c>
      <c r="R17" s="32" t="s">
        <v>791</v>
      </c>
      <c r="S17" s="33">
        <f>218.18</f>
        <v>218.18</v>
      </c>
      <c r="T17" s="30">
        <f>579300</f>
        <v>579300</v>
      </c>
      <c r="U17" s="30" t="str">
        <f>"－"</f>
        <v>－</v>
      </c>
      <c r="V17" s="30">
        <f>126145340</f>
        <v>126145340</v>
      </c>
      <c r="W17" s="30" t="str">
        <f>"－"</f>
        <v>－</v>
      </c>
      <c r="X17" s="34">
        <f>21</f>
        <v>21</v>
      </c>
    </row>
    <row r="18" spans="1:24" ht="13.5" customHeight="1" x14ac:dyDescent="0.15">
      <c r="A18" s="25" t="s">
        <v>1182</v>
      </c>
      <c r="B18" s="25" t="s">
        <v>84</v>
      </c>
      <c r="C18" s="25" t="s">
        <v>85</v>
      </c>
      <c r="D18" s="25" t="s">
        <v>86</v>
      </c>
      <c r="E18" s="26" t="s">
        <v>45</v>
      </c>
      <c r="F18" s="27" t="s">
        <v>45</v>
      </c>
      <c r="G18" s="28" t="s">
        <v>45</v>
      </c>
      <c r="H18" s="29"/>
      <c r="I18" s="29" t="s">
        <v>46</v>
      </c>
      <c r="J18" s="30">
        <v>1</v>
      </c>
      <c r="K18" s="31">
        <f>25665</f>
        <v>25665</v>
      </c>
      <c r="L18" s="32" t="s">
        <v>999</v>
      </c>
      <c r="M18" s="31">
        <f>27855</f>
        <v>27855</v>
      </c>
      <c r="N18" s="32" t="s">
        <v>893</v>
      </c>
      <c r="O18" s="31">
        <f>25090</f>
        <v>25090</v>
      </c>
      <c r="P18" s="32" t="s">
        <v>78</v>
      </c>
      <c r="Q18" s="31">
        <f>27775</f>
        <v>27775</v>
      </c>
      <c r="R18" s="32" t="s">
        <v>791</v>
      </c>
      <c r="S18" s="33">
        <f>26557.14</f>
        <v>26557.14</v>
      </c>
      <c r="T18" s="30">
        <f>143497</f>
        <v>143497</v>
      </c>
      <c r="U18" s="30">
        <f>4</f>
        <v>4</v>
      </c>
      <c r="V18" s="30">
        <f>3829104355</f>
        <v>3829104355</v>
      </c>
      <c r="W18" s="30">
        <f>99400</f>
        <v>99400</v>
      </c>
      <c r="X18" s="34">
        <f>21</f>
        <v>21</v>
      </c>
    </row>
    <row r="19" spans="1:24" ht="13.5" customHeight="1" x14ac:dyDescent="0.15">
      <c r="A19" s="25" t="s">
        <v>1182</v>
      </c>
      <c r="B19" s="25" t="s">
        <v>87</v>
      </c>
      <c r="C19" s="25" t="s">
        <v>88</v>
      </c>
      <c r="D19" s="25" t="s">
        <v>89</v>
      </c>
      <c r="E19" s="26" t="s">
        <v>45</v>
      </c>
      <c r="F19" s="27" t="s">
        <v>45</v>
      </c>
      <c r="G19" s="28" t="s">
        <v>45</v>
      </c>
      <c r="H19" s="29"/>
      <c r="I19" s="29" t="s">
        <v>46</v>
      </c>
      <c r="J19" s="30">
        <v>10</v>
      </c>
      <c r="K19" s="31">
        <f>6832</f>
        <v>6832</v>
      </c>
      <c r="L19" s="32" t="s">
        <v>999</v>
      </c>
      <c r="M19" s="31">
        <f>7422</f>
        <v>7422</v>
      </c>
      <c r="N19" s="32" t="s">
        <v>893</v>
      </c>
      <c r="O19" s="31">
        <f>6684</f>
        <v>6684</v>
      </c>
      <c r="P19" s="32" t="s">
        <v>78</v>
      </c>
      <c r="Q19" s="31">
        <f>7390</f>
        <v>7390</v>
      </c>
      <c r="R19" s="32" t="s">
        <v>791</v>
      </c>
      <c r="S19" s="33">
        <f>7071.24</f>
        <v>7071.24</v>
      </c>
      <c r="T19" s="30">
        <f>289810</f>
        <v>289810</v>
      </c>
      <c r="U19" s="30">
        <f>340</f>
        <v>340</v>
      </c>
      <c r="V19" s="30">
        <f>2058045670</f>
        <v>2058045670</v>
      </c>
      <c r="W19" s="30">
        <f>2478490</f>
        <v>2478490</v>
      </c>
      <c r="X19" s="34">
        <f>21</f>
        <v>21</v>
      </c>
    </row>
    <row r="20" spans="1:24" ht="13.5" customHeight="1" x14ac:dyDescent="0.15">
      <c r="A20" s="25" t="s">
        <v>1182</v>
      </c>
      <c r="B20" s="25" t="s">
        <v>90</v>
      </c>
      <c r="C20" s="25" t="s">
        <v>91</v>
      </c>
      <c r="D20" s="25" t="s">
        <v>92</v>
      </c>
      <c r="E20" s="26" t="s">
        <v>45</v>
      </c>
      <c r="F20" s="27" t="s">
        <v>45</v>
      </c>
      <c r="G20" s="28" t="s">
        <v>45</v>
      </c>
      <c r="H20" s="29"/>
      <c r="I20" s="29" t="s">
        <v>46</v>
      </c>
      <c r="J20" s="30">
        <v>1</v>
      </c>
      <c r="K20" s="31">
        <f>33420</f>
        <v>33420</v>
      </c>
      <c r="L20" s="32" t="s">
        <v>999</v>
      </c>
      <c r="M20" s="31">
        <f>33840</f>
        <v>33840</v>
      </c>
      <c r="N20" s="32" t="s">
        <v>56</v>
      </c>
      <c r="O20" s="31">
        <f>31740</f>
        <v>31740</v>
      </c>
      <c r="P20" s="32" t="s">
        <v>785</v>
      </c>
      <c r="Q20" s="31">
        <f>32150</f>
        <v>32150</v>
      </c>
      <c r="R20" s="32" t="s">
        <v>791</v>
      </c>
      <c r="S20" s="33">
        <f>32663.33</f>
        <v>32663.33</v>
      </c>
      <c r="T20" s="30">
        <f>1888494</f>
        <v>1888494</v>
      </c>
      <c r="U20" s="30">
        <f>859630</f>
        <v>859630</v>
      </c>
      <c r="V20" s="30">
        <f>61019911642</f>
        <v>61019911642</v>
      </c>
      <c r="W20" s="30">
        <f>27495453962</f>
        <v>27495453962</v>
      </c>
      <c r="X20" s="34">
        <f>21</f>
        <v>21</v>
      </c>
    </row>
    <row r="21" spans="1:24" ht="13.5" customHeight="1" x14ac:dyDescent="0.15">
      <c r="A21" s="25" t="s">
        <v>1182</v>
      </c>
      <c r="B21" s="25" t="s">
        <v>93</v>
      </c>
      <c r="C21" s="25" t="s">
        <v>94</v>
      </c>
      <c r="D21" s="25" t="s">
        <v>95</v>
      </c>
      <c r="E21" s="26" t="s">
        <v>45</v>
      </c>
      <c r="F21" s="27" t="s">
        <v>45</v>
      </c>
      <c r="G21" s="28" t="s">
        <v>45</v>
      </c>
      <c r="H21" s="29"/>
      <c r="I21" s="29" t="s">
        <v>46</v>
      </c>
      <c r="J21" s="30">
        <v>1</v>
      </c>
      <c r="K21" s="31">
        <f>33280</f>
        <v>33280</v>
      </c>
      <c r="L21" s="32" t="s">
        <v>999</v>
      </c>
      <c r="M21" s="31">
        <f>33710</f>
        <v>33710</v>
      </c>
      <c r="N21" s="32" t="s">
        <v>56</v>
      </c>
      <c r="O21" s="31">
        <f>31610</f>
        <v>31610</v>
      </c>
      <c r="P21" s="32" t="s">
        <v>785</v>
      </c>
      <c r="Q21" s="31">
        <f>32040</f>
        <v>32040</v>
      </c>
      <c r="R21" s="32" t="s">
        <v>791</v>
      </c>
      <c r="S21" s="33">
        <f>32540.48</f>
        <v>32540.48</v>
      </c>
      <c r="T21" s="30">
        <f>1442354</f>
        <v>1442354</v>
      </c>
      <c r="U21" s="30">
        <f>752872</f>
        <v>752872</v>
      </c>
      <c r="V21" s="30">
        <f>46283346913</f>
        <v>46283346913</v>
      </c>
      <c r="W21" s="30">
        <f>23985647163</f>
        <v>23985647163</v>
      </c>
      <c r="X21" s="34">
        <f>21</f>
        <v>21</v>
      </c>
    </row>
    <row r="22" spans="1:24" ht="13.5" customHeight="1" x14ac:dyDescent="0.15">
      <c r="A22" s="25" t="s">
        <v>1182</v>
      </c>
      <c r="B22" s="25" t="s">
        <v>96</v>
      </c>
      <c r="C22" s="25" t="s">
        <v>1113</v>
      </c>
      <c r="D22" s="25" t="s">
        <v>98</v>
      </c>
      <c r="E22" s="26" t="s">
        <v>45</v>
      </c>
      <c r="F22" s="27" t="s">
        <v>45</v>
      </c>
      <c r="G22" s="28" t="s">
        <v>45</v>
      </c>
      <c r="H22" s="29"/>
      <c r="I22" s="29" t="s">
        <v>46</v>
      </c>
      <c r="J22" s="30">
        <v>10</v>
      </c>
      <c r="K22" s="31">
        <f>2009</f>
        <v>2009</v>
      </c>
      <c r="L22" s="32" t="s">
        <v>999</v>
      </c>
      <c r="M22" s="31">
        <f>2015</f>
        <v>2015</v>
      </c>
      <c r="N22" s="32" t="s">
        <v>999</v>
      </c>
      <c r="O22" s="31">
        <f>1942.5</f>
        <v>1942.5</v>
      </c>
      <c r="P22" s="32" t="s">
        <v>785</v>
      </c>
      <c r="Q22" s="31">
        <f>1964.5</f>
        <v>1964.5</v>
      </c>
      <c r="R22" s="32" t="s">
        <v>791</v>
      </c>
      <c r="S22" s="33">
        <f>1978.05</f>
        <v>1978.05</v>
      </c>
      <c r="T22" s="30">
        <f>9424910</f>
        <v>9424910</v>
      </c>
      <c r="U22" s="30">
        <f>3116180</f>
        <v>3116180</v>
      </c>
      <c r="V22" s="30">
        <f>18648174607</f>
        <v>18648174607</v>
      </c>
      <c r="W22" s="30">
        <f>6183604377</f>
        <v>6183604377</v>
      </c>
      <c r="X22" s="34">
        <f>21</f>
        <v>21</v>
      </c>
    </row>
    <row r="23" spans="1:24" ht="13.5" customHeight="1" x14ac:dyDescent="0.15">
      <c r="A23" s="25" t="s">
        <v>1182</v>
      </c>
      <c r="B23" s="25" t="s">
        <v>99</v>
      </c>
      <c r="C23" s="25" t="s">
        <v>100</v>
      </c>
      <c r="D23" s="25" t="s">
        <v>1114</v>
      </c>
      <c r="E23" s="26" t="s">
        <v>45</v>
      </c>
      <c r="F23" s="27" t="s">
        <v>45</v>
      </c>
      <c r="G23" s="28" t="s">
        <v>45</v>
      </c>
      <c r="H23" s="29"/>
      <c r="I23" s="29" t="s">
        <v>46</v>
      </c>
      <c r="J23" s="30">
        <v>100</v>
      </c>
      <c r="K23" s="31">
        <f>1882.5</f>
        <v>1882.5</v>
      </c>
      <c r="L23" s="32" t="s">
        <v>999</v>
      </c>
      <c r="M23" s="31">
        <f>1888</f>
        <v>1888</v>
      </c>
      <c r="N23" s="32" t="s">
        <v>999</v>
      </c>
      <c r="O23" s="31">
        <f>1821</f>
        <v>1821</v>
      </c>
      <c r="P23" s="32" t="s">
        <v>785</v>
      </c>
      <c r="Q23" s="31">
        <f>1842.5</f>
        <v>1842.5</v>
      </c>
      <c r="R23" s="32" t="s">
        <v>791</v>
      </c>
      <c r="S23" s="33">
        <f>1853.45</f>
        <v>1853.45</v>
      </c>
      <c r="T23" s="30">
        <f>3346400</f>
        <v>3346400</v>
      </c>
      <c r="U23" s="30">
        <f>1917600</f>
        <v>1917600</v>
      </c>
      <c r="V23" s="30">
        <f>6198806489</f>
        <v>6198806489</v>
      </c>
      <c r="W23" s="30">
        <f>3559660189</f>
        <v>3559660189</v>
      </c>
      <c r="X23" s="34">
        <f>21</f>
        <v>21</v>
      </c>
    </row>
    <row r="24" spans="1:24" ht="13.5" customHeight="1" x14ac:dyDescent="0.15">
      <c r="A24" s="25" t="s">
        <v>1182</v>
      </c>
      <c r="B24" s="25" t="s">
        <v>102</v>
      </c>
      <c r="C24" s="25" t="s">
        <v>103</v>
      </c>
      <c r="D24" s="25" t="s">
        <v>1115</v>
      </c>
      <c r="E24" s="26" t="s">
        <v>45</v>
      </c>
      <c r="F24" s="27" t="s">
        <v>45</v>
      </c>
      <c r="G24" s="28" t="s">
        <v>45</v>
      </c>
      <c r="H24" s="29"/>
      <c r="I24" s="29" t="s">
        <v>46</v>
      </c>
      <c r="J24" s="30">
        <v>1</v>
      </c>
      <c r="K24" s="31">
        <f>33330</f>
        <v>33330</v>
      </c>
      <c r="L24" s="32" t="s">
        <v>999</v>
      </c>
      <c r="M24" s="31">
        <f>33770</f>
        <v>33770</v>
      </c>
      <c r="N24" s="32" t="s">
        <v>56</v>
      </c>
      <c r="O24" s="31">
        <f>31680</f>
        <v>31680</v>
      </c>
      <c r="P24" s="32" t="s">
        <v>785</v>
      </c>
      <c r="Q24" s="31">
        <f>32100</f>
        <v>32100</v>
      </c>
      <c r="R24" s="32" t="s">
        <v>791</v>
      </c>
      <c r="S24" s="33">
        <f>32598.57</f>
        <v>32598.57</v>
      </c>
      <c r="T24" s="30">
        <f>1650404</f>
        <v>1650404</v>
      </c>
      <c r="U24" s="30">
        <f>1061955</f>
        <v>1061955</v>
      </c>
      <c r="V24" s="30">
        <f>53456163051</f>
        <v>53456163051</v>
      </c>
      <c r="W24" s="30">
        <f>34236123691</f>
        <v>34236123691</v>
      </c>
      <c r="X24" s="34">
        <f>21</f>
        <v>21</v>
      </c>
    </row>
    <row r="25" spans="1:24" ht="13.5" customHeight="1" x14ac:dyDescent="0.15">
      <c r="A25" s="25" t="s">
        <v>1182</v>
      </c>
      <c r="B25" s="25" t="s">
        <v>105</v>
      </c>
      <c r="C25" s="25" t="s">
        <v>106</v>
      </c>
      <c r="D25" s="25" t="s">
        <v>107</v>
      </c>
      <c r="E25" s="26" t="s">
        <v>45</v>
      </c>
      <c r="F25" s="27" t="s">
        <v>45</v>
      </c>
      <c r="G25" s="28" t="s">
        <v>45</v>
      </c>
      <c r="H25" s="29"/>
      <c r="I25" s="29" t="s">
        <v>46</v>
      </c>
      <c r="J25" s="30">
        <v>10</v>
      </c>
      <c r="K25" s="31">
        <f>2436.5</f>
        <v>2436.5</v>
      </c>
      <c r="L25" s="32" t="s">
        <v>999</v>
      </c>
      <c r="M25" s="31">
        <f>2458</f>
        <v>2458</v>
      </c>
      <c r="N25" s="32" t="s">
        <v>999</v>
      </c>
      <c r="O25" s="31">
        <f>2292.5</f>
        <v>2292.5</v>
      </c>
      <c r="P25" s="32" t="s">
        <v>793</v>
      </c>
      <c r="Q25" s="31">
        <f>2353.5</f>
        <v>2353.5</v>
      </c>
      <c r="R25" s="32" t="s">
        <v>791</v>
      </c>
      <c r="S25" s="33">
        <f>2370.05</f>
        <v>2370.0500000000002</v>
      </c>
      <c r="T25" s="30">
        <f>4844790</f>
        <v>4844790</v>
      </c>
      <c r="U25" s="30">
        <f>2178210</f>
        <v>2178210</v>
      </c>
      <c r="V25" s="30">
        <f>11492539495</f>
        <v>11492539495</v>
      </c>
      <c r="W25" s="30">
        <f>5177573985</f>
        <v>5177573985</v>
      </c>
      <c r="X25" s="34">
        <f>21</f>
        <v>21</v>
      </c>
    </row>
    <row r="26" spans="1:24" ht="13.5" customHeight="1" x14ac:dyDescent="0.15">
      <c r="A26" s="25" t="s">
        <v>1182</v>
      </c>
      <c r="B26" s="25" t="s">
        <v>108</v>
      </c>
      <c r="C26" s="25" t="s">
        <v>109</v>
      </c>
      <c r="D26" s="25" t="s">
        <v>110</v>
      </c>
      <c r="E26" s="26" t="s">
        <v>45</v>
      </c>
      <c r="F26" s="27" t="s">
        <v>45</v>
      </c>
      <c r="G26" s="28" t="s">
        <v>45</v>
      </c>
      <c r="H26" s="29"/>
      <c r="I26" s="29" t="s">
        <v>46</v>
      </c>
      <c r="J26" s="30">
        <v>1</v>
      </c>
      <c r="K26" s="31">
        <f>15380</f>
        <v>15380</v>
      </c>
      <c r="L26" s="32" t="s">
        <v>999</v>
      </c>
      <c r="M26" s="31">
        <f>15400</f>
        <v>15400</v>
      </c>
      <c r="N26" s="32" t="s">
        <v>999</v>
      </c>
      <c r="O26" s="31">
        <f>15190</f>
        <v>15190</v>
      </c>
      <c r="P26" s="32" t="s">
        <v>790</v>
      </c>
      <c r="Q26" s="31">
        <f>15380</f>
        <v>15380</v>
      </c>
      <c r="R26" s="32" t="s">
        <v>893</v>
      </c>
      <c r="S26" s="33">
        <f>15351.39</f>
        <v>15351.39</v>
      </c>
      <c r="T26" s="30">
        <f>615</f>
        <v>615</v>
      </c>
      <c r="U26" s="30" t="str">
        <f>"－"</f>
        <v>－</v>
      </c>
      <c r="V26" s="30">
        <f>9432700</f>
        <v>9432700</v>
      </c>
      <c r="W26" s="30" t="str">
        <f>"－"</f>
        <v>－</v>
      </c>
      <c r="X26" s="34">
        <f>18</f>
        <v>18</v>
      </c>
    </row>
    <row r="27" spans="1:24" ht="13.5" customHeight="1" x14ac:dyDescent="0.15">
      <c r="A27" s="25" t="s">
        <v>1182</v>
      </c>
      <c r="B27" s="25" t="s">
        <v>111</v>
      </c>
      <c r="C27" s="25" t="s">
        <v>112</v>
      </c>
      <c r="D27" s="25" t="s">
        <v>113</v>
      </c>
      <c r="E27" s="26" t="s">
        <v>45</v>
      </c>
      <c r="F27" s="27" t="s">
        <v>45</v>
      </c>
      <c r="G27" s="28" t="s">
        <v>45</v>
      </c>
      <c r="H27" s="29"/>
      <c r="I27" s="29" t="s">
        <v>46</v>
      </c>
      <c r="J27" s="30">
        <v>10</v>
      </c>
      <c r="K27" s="31">
        <f>571.3</f>
        <v>571.29999999999995</v>
      </c>
      <c r="L27" s="32" t="s">
        <v>999</v>
      </c>
      <c r="M27" s="31">
        <f>639.5</f>
        <v>639.5</v>
      </c>
      <c r="N27" s="32" t="s">
        <v>793</v>
      </c>
      <c r="O27" s="31">
        <f>561</f>
        <v>561</v>
      </c>
      <c r="P27" s="32" t="s">
        <v>999</v>
      </c>
      <c r="Q27" s="31">
        <f>605.8</f>
        <v>605.79999999999995</v>
      </c>
      <c r="R27" s="32" t="s">
        <v>791</v>
      </c>
      <c r="S27" s="33">
        <f>600.33</f>
        <v>600.33000000000004</v>
      </c>
      <c r="T27" s="30">
        <f>24340410</f>
        <v>24340410</v>
      </c>
      <c r="U27" s="30">
        <f>820</f>
        <v>820</v>
      </c>
      <c r="V27" s="30">
        <f>14658117598</f>
        <v>14658117598</v>
      </c>
      <c r="W27" s="30">
        <f>479192</f>
        <v>479192</v>
      </c>
      <c r="X27" s="34">
        <f>21</f>
        <v>21</v>
      </c>
    </row>
    <row r="28" spans="1:24" ht="13.5" customHeight="1" x14ac:dyDescent="0.15">
      <c r="A28" s="25" t="s">
        <v>1182</v>
      </c>
      <c r="B28" s="25" t="s">
        <v>114</v>
      </c>
      <c r="C28" s="25" t="s">
        <v>115</v>
      </c>
      <c r="D28" s="25" t="s">
        <v>1116</v>
      </c>
      <c r="E28" s="26" t="s">
        <v>45</v>
      </c>
      <c r="F28" s="27" t="s">
        <v>45</v>
      </c>
      <c r="G28" s="28" t="s">
        <v>45</v>
      </c>
      <c r="H28" s="29"/>
      <c r="I28" s="29" t="s">
        <v>46</v>
      </c>
      <c r="J28" s="30">
        <v>1</v>
      </c>
      <c r="K28" s="31">
        <f>234</f>
        <v>234</v>
      </c>
      <c r="L28" s="32" t="s">
        <v>999</v>
      </c>
      <c r="M28" s="31">
        <f>260</f>
        <v>260</v>
      </c>
      <c r="N28" s="32" t="s">
        <v>785</v>
      </c>
      <c r="O28" s="31">
        <f>226</f>
        <v>226</v>
      </c>
      <c r="P28" s="32" t="s">
        <v>56</v>
      </c>
      <c r="Q28" s="31">
        <f>249</f>
        <v>249</v>
      </c>
      <c r="R28" s="32" t="s">
        <v>791</v>
      </c>
      <c r="S28" s="33">
        <f>243.38</f>
        <v>243.38</v>
      </c>
      <c r="T28" s="30">
        <f>1389868920</f>
        <v>1389868920</v>
      </c>
      <c r="U28" s="30">
        <f>3480306</f>
        <v>3480306</v>
      </c>
      <c r="V28" s="30">
        <f>339779063426</f>
        <v>339779063426</v>
      </c>
      <c r="W28" s="30">
        <f>808565823</f>
        <v>808565823</v>
      </c>
      <c r="X28" s="34">
        <f>21</f>
        <v>21</v>
      </c>
    </row>
    <row r="29" spans="1:24" ht="13.5" customHeight="1" x14ac:dyDescent="0.15">
      <c r="A29" s="25" t="s">
        <v>1182</v>
      </c>
      <c r="B29" s="25" t="s">
        <v>117</v>
      </c>
      <c r="C29" s="25" t="s">
        <v>118</v>
      </c>
      <c r="D29" s="25" t="s">
        <v>119</v>
      </c>
      <c r="E29" s="26" t="s">
        <v>45</v>
      </c>
      <c r="F29" s="27" t="s">
        <v>45</v>
      </c>
      <c r="G29" s="28" t="s">
        <v>45</v>
      </c>
      <c r="H29" s="29"/>
      <c r="I29" s="29" t="s">
        <v>46</v>
      </c>
      <c r="J29" s="30">
        <v>1</v>
      </c>
      <c r="K29" s="31">
        <f>36300</f>
        <v>36300</v>
      </c>
      <c r="L29" s="32" t="s">
        <v>999</v>
      </c>
      <c r="M29" s="31">
        <f>37160</f>
        <v>37160</v>
      </c>
      <c r="N29" s="32" t="s">
        <v>56</v>
      </c>
      <c r="O29" s="31">
        <f>32700</f>
        <v>32700</v>
      </c>
      <c r="P29" s="32" t="s">
        <v>893</v>
      </c>
      <c r="Q29" s="31">
        <f>33410</f>
        <v>33410</v>
      </c>
      <c r="R29" s="32" t="s">
        <v>791</v>
      </c>
      <c r="S29" s="33">
        <f>34610.95</f>
        <v>34610.949999999997</v>
      </c>
      <c r="T29" s="30">
        <f>458648</f>
        <v>458648</v>
      </c>
      <c r="U29" s="30" t="str">
        <f>"－"</f>
        <v>－</v>
      </c>
      <c r="V29" s="30">
        <f>15858534280</f>
        <v>15858534280</v>
      </c>
      <c r="W29" s="30" t="str">
        <f>"－"</f>
        <v>－</v>
      </c>
      <c r="X29" s="34">
        <f>21</f>
        <v>21</v>
      </c>
    </row>
    <row r="30" spans="1:24" ht="13.5" customHeight="1" x14ac:dyDescent="0.15">
      <c r="A30" s="25" t="s">
        <v>1182</v>
      </c>
      <c r="B30" s="25" t="s">
        <v>120</v>
      </c>
      <c r="C30" s="25" t="s">
        <v>121</v>
      </c>
      <c r="D30" s="25" t="s">
        <v>122</v>
      </c>
      <c r="E30" s="26" t="s">
        <v>45</v>
      </c>
      <c r="F30" s="27" t="s">
        <v>45</v>
      </c>
      <c r="G30" s="28" t="s">
        <v>45</v>
      </c>
      <c r="H30" s="29"/>
      <c r="I30" s="29" t="s">
        <v>46</v>
      </c>
      <c r="J30" s="30">
        <v>10</v>
      </c>
      <c r="K30" s="31">
        <f>572.3</f>
        <v>572.29999999999995</v>
      </c>
      <c r="L30" s="32" t="s">
        <v>999</v>
      </c>
      <c r="M30" s="31">
        <f>633.5</f>
        <v>633.5</v>
      </c>
      <c r="N30" s="32" t="s">
        <v>785</v>
      </c>
      <c r="O30" s="31">
        <f>553.6</f>
        <v>553.6</v>
      </c>
      <c r="P30" s="32" t="s">
        <v>56</v>
      </c>
      <c r="Q30" s="31">
        <f>610.9</f>
        <v>610.9</v>
      </c>
      <c r="R30" s="32" t="s">
        <v>791</v>
      </c>
      <c r="S30" s="33">
        <f>594.68</f>
        <v>594.67999999999995</v>
      </c>
      <c r="T30" s="30">
        <f>329554120</f>
        <v>329554120</v>
      </c>
      <c r="U30" s="30">
        <f>319480</f>
        <v>319480</v>
      </c>
      <c r="V30" s="30">
        <f>196853757307</f>
        <v>196853757307</v>
      </c>
      <c r="W30" s="30">
        <f>191068685</f>
        <v>191068685</v>
      </c>
      <c r="X30" s="34">
        <f>21</f>
        <v>21</v>
      </c>
    </row>
    <row r="31" spans="1:24" ht="13.5" customHeight="1" x14ac:dyDescent="0.15">
      <c r="A31" s="25" t="s">
        <v>1182</v>
      </c>
      <c r="B31" s="25" t="s">
        <v>123</v>
      </c>
      <c r="C31" s="25" t="s">
        <v>124</v>
      </c>
      <c r="D31" s="25" t="s">
        <v>125</v>
      </c>
      <c r="E31" s="26" t="s">
        <v>45</v>
      </c>
      <c r="F31" s="27" t="s">
        <v>45</v>
      </c>
      <c r="G31" s="28" t="s">
        <v>45</v>
      </c>
      <c r="H31" s="29"/>
      <c r="I31" s="29" t="s">
        <v>46</v>
      </c>
      <c r="J31" s="30">
        <v>1</v>
      </c>
      <c r="K31" s="31">
        <f>21610</f>
        <v>21610</v>
      </c>
      <c r="L31" s="32" t="s">
        <v>999</v>
      </c>
      <c r="M31" s="31">
        <f>21815</f>
        <v>21815</v>
      </c>
      <c r="N31" s="32" t="s">
        <v>999</v>
      </c>
      <c r="O31" s="31">
        <f>20350</f>
        <v>20350</v>
      </c>
      <c r="P31" s="32" t="s">
        <v>793</v>
      </c>
      <c r="Q31" s="31">
        <f>20780</f>
        <v>20780</v>
      </c>
      <c r="R31" s="32" t="s">
        <v>791</v>
      </c>
      <c r="S31" s="33">
        <f>21057.14</f>
        <v>21057.14</v>
      </c>
      <c r="T31" s="30">
        <f>9352</f>
        <v>9352</v>
      </c>
      <c r="U31" s="30" t="str">
        <f>"－"</f>
        <v>－</v>
      </c>
      <c r="V31" s="30">
        <f>196165315</f>
        <v>196165315</v>
      </c>
      <c r="W31" s="30" t="str">
        <f>"－"</f>
        <v>－</v>
      </c>
      <c r="X31" s="34">
        <f>21</f>
        <v>21</v>
      </c>
    </row>
    <row r="32" spans="1:24" ht="13.5" customHeight="1" x14ac:dyDescent="0.15">
      <c r="A32" s="25" t="s">
        <v>1182</v>
      </c>
      <c r="B32" s="25" t="s">
        <v>126</v>
      </c>
      <c r="C32" s="25" t="s">
        <v>1037</v>
      </c>
      <c r="D32" s="25" t="s">
        <v>1038</v>
      </c>
      <c r="E32" s="26" t="s">
        <v>45</v>
      </c>
      <c r="F32" s="27" t="s">
        <v>45</v>
      </c>
      <c r="G32" s="28" t="s">
        <v>45</v>
      </c>
      <c r="H32" s="29"/>
      <c r="I32" s="29" t="s">
        <v>46</v>
      </c>
      <c r="J32" s="30">
        <v>1</v>
      </c>
      <c r="K32" s="31">
        <f>30220</f>
        <v>30220</v>
      </c>
      <c r="L32" s="32" t="s">
        <v>999</v>
      </c>
      <c r="M32" s="31">
        <f>30910</f>
        <v>30910</v>
      </c>
      <c r="N32" s="32" t="s">
        <v>56</v>
      </c>
      <c r="O32" s="31">
        <f>27190</f>
        <v>27190</v>
      </c>
      <c r="P32" s="32" t="s">
        <v>893</v>
      </c>
      <c r="Q32" s="31">
        <f>27800</f>
        <v>27800</v>
      </c>
      <c r="R32" s="32" t="s">
        <v>791</v>
      </c>
      <c r="S32" s="33">
        <f>28790.24</f>
        <v>28790.240000000002</v>
      </c>
      <c r="T32" s="30">
        <f>1130559</f>
        <v>1130559</v>
      </c>
      <c r="U32" s="30" t="str">
        <f>"－"</f>
        <v>－</v>
      </c>
      <c r="V32" s="30">
        <f>32405886005</f>
        <v>32405886005</v>
      </c>
      <c r="W32" s="30" t="str">
        <f>"－"</f>
        <v>－</v>
      </c>
      <c r="X32" s="34">
        <f>21</f>
        <v>21</v>
      </c>
    </row>
    <row r="33" spans="1:24" ht="13.5" customHeight="1" x14ac:dyDescent="0.15">
      <c r="A33" s="25" t="s">
        <v>1182</v>
      </c>
      <c r="B33" s="25" t="s">
        <v>129</v>
      </c>
      <c r="C33" s="25" t="s">
        <v>1039</v>
      </c>
      <c r="D33" s="25" t="s">
        <v>1040</v>
      </c>
      <c r="E33" s="26" t="s">
        <v>45</v>
      </c>
      <c r="F33" s="27" t="s">
        <v>45</v>
      </c>
      <c r="G33" s="28" t="s">
        <v>45</v>
      </c>
      <c r="H33" s="29"/>
      <c r="I33" s="29" t="s">
        <v>46</v>
      </c>
      <c r="J33" s="30">
        <v>1</v>
      </c>
      <c r="K33" s="31">
        <f>610</f>
        <v>610</v>
      </c>
      <c r="L33" s="32" t="s">
        <v>999</v>
      </c>
      <c r="M33" s="31">
        <f>674</f>
        <v>674</v>
      </c>
      <c r="N33" s="32" t="s">
        <v>785</v>
      </c>
      <c r="O33" s="31">
        <f>589</f>
        <v>589</v>
      </c>
      <c r="P33" s="32" t="s">
        <v>56</v>
      </c>
      <c r="Q33" s="31">
        <f>649</f>
        <v>649</v>
      </c>
      <c r="R33" s="32" t="s">
        <v>791</v>
      </c>
      <c r="S33" s="33">
        <f>633</f>
        <v>633</v>
      </c>
      <c r="T33" s="30">
        <f>44902795</f>
        <v>44902795</v>
      </c>
      <c r="U33" s="30" t="str">
        <f>"－"</f>
        <v>－</v>
      </c>
      <c r="V33" s="30">
        <f>28490633027</f>
        <v>28490633027</v>
      </c>
      <c r="W33" s="30" t="str">
        <f>"－"</f>
        <v>－</v>
      </c>
      <c r="X33" s="34">
        <f>21</f>
        <v>21</v>
      </c>
    </row>
    <row r="34" spans="1:24" ht="13.5" customHeight="1" x14ac:dyDescent="0.15">
      <c r="A34" s="25" t="s">
        <v>1182</v>
      </c>
      <c r="B34" s="25" t="s">
        <v>132</v>
      </c>
      <c r="C34" s="25" t="s">
        <v>1041</v>
      </c>
      <c r="D34" s="25" t="s">
        <v>1042</v>
      </c>
      <c r="E34" s="26" t="s">
        <v>45</v>
      </c>
      <c r="F34" s="27" t="s">
        <v>45</v>
      </c>
      <c r="G34" s="28" t="s">
        <v>45</v>
      </c>
      <c r="H34" s="29"/>
      <c r="I34" s="29" t="s">
        <v>46</v>
      </c>
      <c r="J34" s="30">
        <v>1</v>
      </c>
      <c r="K34" s="31">
        <f>27760</f>
        <v>27760</v>
      </c>
      <c r="L34" s="32" t="s">
        <v>999</v>
      </c>
      <c r="M34" s="31">
        <f>28250</f>
        <v>28250</v>
      </c>
      <c r="N34" s="32" t="s">
        <v>999</v>
      </c>
      <c r="O34" s="31">
        <f>24435</f>
        <v>24435</v>
      </c>
      <c r="P34" s="32" t="s">
        <v>793</v>
      </c>
      <c r="Q34" s="31">
        <f>25750</f>
        <v>25750</v>
      </c>
      <c r="R34" s="32" t="s">
        <v>791</v>
      </c>
      <c r="S34" s="33">
        <f>26155.48</f>
        <v>26155.48</v>
      </c>
      <c r="T34" s="30">
        <f>268845</f>
        <v>268845</v>
      </c>
      <c r="U34" s="30" t="str">
        <f>"－"</f>
        <v>－</v>
      </c>
      <c r="V34" s="30">
        <f>7047596220</f>
        <v>7047596220</v>
      </c>
      <c r="W34" s="30" t="str">
        <f>"－"</f>
        <v>－</v>
      </c>
      <c r="X34" s="34">
        <f>21</f>
        <v>21</v>
      </c>
    </row>
    <row r="35" spans="1:24" ht="13.5" customHeight="1" x14ac:dyDescent="0.15">
      <c r="A35" s="25" t="s">
        <v>1182</v>
      </c>
      <c r="B35" s="25" t="s">
        <v>135</v>
      </c>
      <c r="C35" s="25" t="s">
        <v>1043</v>
      </c>
      <c r="D35" s="25" t="s">
        <v>1044</v>
      </c>
      <c r="E35" s="26" t="s">
        <v>45</v>
      </c>
      <c r="F35" s="27" t="s">
        <v>45</v>
      </c>
      <c r="G35" s="28" t="s">
        <v>45</v>
      </c>
      <c r="H35" s="29"/>
      <c r="I35" s="29" t="s">
        <v>46</v>
      </c>
      <c r="J35" s="30">
        <v>1</v>
      </c>
      <c r="K35" s="31">
        <f>830</f>
        <v>830</v>
      </c>
      <c r="L35" s="32" t="s">
        <v>999</v>
      </c>
      <c r="M35" s="31">
        <f>927</f>
        <v>927</v>
      </c>
      <c r="N35" s="32" t="s">
        <v>793</v>
      </c>
      <c r="O35" s="31">
        <f>814</f>
        <v>814</v>
      </c>
      <c r="P35" s="32" t="s">
        <v>999</v>
      </c>
      <c r="Q35" s="31">
        <f>880</f>
        <v>880</v>
      </c>
      <c r="R35" s="32" t="s">
        <v>791</v>
      </c>
      <c r="S35" s="33">
        <f>871</f>
        <v>871</v>
      </c>
      <c r="T35" s="30">
        <f>1914268</f>
        <v>1914268</v>
      </c>
      <c r="U35" s="30" t="str">
        <f>"－"</f>
        <v>－</v>
      </c>
      <c r="V35" s="30">
        <f>1685154667</f>
        <v>1685154667</v>
      </c>
      <c r="W35" s="30" t="str">
        <f>"－"</f>
        <v>－</v>
      </c>
      <c r="X35" s="34">
        <f>21</f>
        <v>21</v>
      </c>
    </row>
    <row r="36" spans="1:24" ht="13.5" customHeight="1" x14ac:dyDescent="0.15">
      <c r="A36" s="25" t="s">
        <v>1182</v>
      </c>
      <c r="B36" s="25" t="s">
        <v>138</v>
      </c>
      <c r="C36" s="25" t="s">
        <v>139</v>
      </c>
      <c r="D36" s="25" t="s">
        <v>140</v>
      </c>
      <c r="E36" s="26" t="s">
        <v>45</v>
      </c>
      <c r="F36" s="27" t="s">
        <v>45</v>
      </c>
      <c r="G36" s="28" t="s">
        <v>45</v>
      </c>
      <c r="H36" s="29"/>
      <c r="I36" s="29" t="s">
        <v>46</v>
      </c>
      <c r="J36" s="30">
        <v>1</v>
      </c>
      <c r="K36" s="31">
        <f>32350</f>
        <v>32350</v>
      </c>
      <c r="L36" s="32" t="s">
        <v>999</v>
      </c>
      <c r="M36" s="31">
        <f>32770</f>
        <v>32770</v>
      </c>
      <c r="N36" s="32" t="s">
        <v>56</v>
      </c>
      <c r="O36" s="31">
        <f>30740</f>
        <v>30740</v>
      </c>
      <c r="P36" s="32" t="s">
        <v>785</v>
      </c>
      <c r="Q36" s="31">
        <f>31110</f>
        <v>31110</v>
      </c>
      <c r="R36" s="32" t="s">
        <v>791</v>
      </c>
      <c r="S36" s="33">
        <f>31642.38</f>
        <v>31642.38</v>
      </c>
      <c r="T36" s="30">
        <f>146444</f>
        <v>146444</v>
      </c>
      <c r="U36" s="30">
        <f>39530</f>
        <v>39530</v>
      </c>
      <c r="V36" s="30">
        <f>4593501552</f>
        <v>4593501552</v>
      </c>
      <c r="W36" s="30">
        <f>1239376662</f>
        <v>1239376662</v>
      </c>
      <c r="X36" s="34">
        <f>21</f>
        <v>21</v>
      </c>
    </row>
    <row r="37" spans="1:24" ht="13.5" customHeight="1" x14ac:dyDescent="0.15">
      <c r="A37" s="25" t="s">
        <v>1182</v>
      </c>
      <c r="B37" s="25" t="s">
        <v>171</v>
      </c>
      <c r="C37" s="25" t="s">
        <v>172</v>
      </c>
      <c r="D37" s="25" t="s">
        <v>173</v>
      </c>
      <c r="E37" s="26" t="s">
        <v>45</v>
      </c>
      <c r="F37" s="27" t="s">
        <v>45</v>
      </c>
      <c r="G37" s="28" t="s">
        <v>45</v>
      </c>
      <c r="H37" s="29"/>
      <c r="I37" s="29" t="s">
        <v>46</v>
      </c>
      <c r="J37" s="30">
        <v>1</v>
      </c>
      <c r="K37" s="31">
        <f>32670</f>
        <v>32670</v>
      </c>
      <c r="L37" s="32" t="s">
        <v>999</v>
      </c>
      <c r="M37" s="31">
        <f>32950</f>
        <v>32950</v>
      </c>
      <c r="N37" s="32" t="s">
        <v>999</v>
      </c>
      <c r="O37" s="31">
        <f>30840</f>
        <v>30840</v>
      </c>
      <c r="P37" s="32" t="s">
        <v>893</v>
      </c>
      <c r="Q37" s="31">
        <f>31070</f>
        <v>31070</v>
      </c>
      <c r="R37" s="32" t="s">
        <v>791</v>
      </c>
      <c r="S37" s="33">
        <f>31766.67</f>
        <v>31766.67</v>
      </c>
      <c r="T37" s="30">
        <f>278536</f>
        <v>278536</v>
      </c>
      <c r="U37" s="30">
        <f>137835</f>
        <v>137835</v>
      </c>
      <c r="V37" s="30">
        <f>8847194449</f>
        <v>8847194449</v>
      </c>
      <c r="W37" s="30">
        <f>4367107049</f>
        <v>4367107049</v>
      </c>
      <c r="X37" s="34">
        <f>21</f>
        <v>21</v>
      </c>
    </row>
    <row r="38" spans="1:24" ht="13.5" customHeight="1" x14ac:dyDescent="0.15">
      <c r="A38" s="25" t="s">
        <v>1182</v>
      </c>
      <c r="B38" s="25" t="s">
        <v>174</v>
      </c>
      <c r="C38" s="25" t="s">
        <v>175</v>
      </c>
      <c r="D38" s="25" t="s">
        <v>176</v>
      </c>
      <c r="E38" s="26" t="s">
        <v>45</v>
      </c>
      <c r="F38" s="27" t="s">
        <v>45</v>
      </c>
      <c r="G38" s="28" t="s">
        <v>45</v>
      </c>
      <c r="H38" s="29"/>
      <c r="I38" s="29" t="s">
        <v>46</v>
      </c>
      <c r="J38" s="30">
        <v>10</v>
      </c>
      <c r="K38" s="31">
        <f>1903</f>
        <v>1903</v>
      </c>
      <c r="L38" s="32" t="s">
        <v>999</v>
      </c>
      <c r="M38" s="31">
        <f>1908</f>
        <v>1908</v>
      </c>
      <c r="N38" s="32" t="s">
        <v>999</v>
      </c>
      <c r="O38" s="31">
        <f>1841</f>
        <v>1841</v>
      </c>
      <c r="P38" s="32" t="s">
        <v>785</v>
      </c>
      <c r="Q38" s="31">
        <f>1863.5</f>
        <v>1863.5</v>
      </c>
      <c r="R38" s="32" t="s">
        <v>791</v>
      </c>
      <c r="S38" s="33">
        <f>1872.71</f>
        <v>1872.71</v>
      </c>
      <c r="T38" s="30">
        <f>2607410</f>
        <v>2607410</v>
      </c>
      <c r="U38" s="30">
        <f>608420</f>
        <v>608420</v>
      </c>
      <c r="V38" s="30">
        <f>4871444800</f>
        <v>4871444800</v>
      </c>
      <c r="W38" s="30">
        <f>1140831635</f>
        <v>1140831635</v>
      </c>
      <c r="X38" s="34">
        <f>21</f>
        <v>21</v>
      </c>
    </row>
    <row r="39" spans="1:24" ht="13.5" customHeight="1" x14ac:dyDescent="0.15">
      <c r="A39" s="25" t="s">
        <v>1182</v>
      </c>
      <c r="B39" s="25" t="s">
        <v>177</v>
      </c>
      <c r="C39" s="25" t="s">
        <v>178</v>
      </c>
      <c r="D39" s="25" t="s">
        <v>179</v>
      </c>
      <c r="E39" s="26" t="s">
        <v>45</v>
      </c>
      <c r="F39" s="27" t="s">
        <v>45</v>
      </c>
      <c r="G39" s="28" t="s">
        <v>45</v>
      </c>
      <c r="H39" s="29"/>
      <c r="I39" s="29" t="s">
        <v>46</v>
      </c>
      <c r="J39" s="30">
        <v>10</v>
      </c>
      <c r="K39" s="31">
        <f>1989</f>
        <v>1989</v>
      </c>
      <c r="L39" s="32" t="s">
        <v>999</v>
      </c>
      <c r="M39" s="31">
        <f>2002</f>
        <v>2002</v>
      </c>
      <c r="N39" s="32" t="s">
        <v>787</v>
      </c>
      <c r="O39" s="31">
        <f>1853</f>
        <v>1853</v>
      </c>
      <c r="P39" s="32" t="s">
        <v>793</v>
      </c>
      <c r="Q39" s="31">
        <f>1888.5</f>
        <v>1888.5</v>
      </c>
      <c r="R39" s="32" t="s">
        <v>791</v>
      </c>
      <c r="S39" s="33">
        <f>1909.11</f>
        <v>1909.11</v>
      </c>
      <c r="T39" s="30">
        <f>36580</f>
        <v>36580</v>
      </c>
      <c r="U39" s="30" t="str">
        <f>"－"</f>
        <v>－</v>
      </c>
      <c r="V39" s="30">
        <f>69993335</f>
        <v>69993335</v>
      </c>
      <c r="W39" s="30" t="str">
        <f>"－"</f>
        <v>－</v>
      </c>
      <c r="X39" s="34">
        <f>19</f>
        <v>19</v>
      </c>
    </row>
    <row r="40" spans="1:24" ht="13.5" customHeight="1" x14ac:dyDescent="0.15">
      <c r="A40" s="25" t="s">
        <v>1182</v>
      </c>
      <c r="B40" s="25" t="s">
        <v>180</v>
      </c>
      <c r="C40" s="25" t="s">
        <v>1045</v>
      </c>
      <c r="D40" s="25" t="s">
        <v>1046</v>
      </c>
      <c r="E40" s="26" t="s">
        <v>45</v>
      </c>
      <c r="F40" s="27" t="s">
        <v>45</v>
      </c>
      <c r="G40" s="28" t="s">
        <v>45</v>
      </c>
      <c r="H40" s="29"/>
      <c r="I40" s="29" t="s">
        <v>46</v>
      </c>
      <c r="J40" s="30">
        <v>1</v>
      </c>
      <c r="K40" s="31">
        <f>3365</f>
        <v>3365</v>
      </c>
      <c r="L40" s="32" t="s">
        <v>999</v>
      </c>
      <c r="M40" s="31">
        <f>3535</f>
        <v>3535</v>
      </c>
      <c r="N40" s="32" t="s">
        <v>785</v>
      </c>
      <c r="O40" s="31">
        <f>3305</f>
        <v>3305</v>
      </c>
      <c r="P40" s="32" t="s">
        <v>56</v>
      </c>
      <c r="Q40" s="31">
        <f>3470</f>
        <v>3470</v>
      </c>
      <c r="R40" s="32" t="s">
        <v>791</v>
      </c>
      <c r="S40" s="33">
        <f>3428.33</f>
        <v>3428.33</v>
      </c>
      <c r="T40" s="30">
        <f>1357448</f>
        <v>1357448</v>
      </c>
      <c r="U40" s="30">
        <f>260604</f>
        <v>260604</v>
      </c>
      <c r="V40" s="30">
        <f>4682602620</f>
        <v>4682602620</v>
      </c>
      <c r="W40" s="30">
        <f>903308150</f>
        <v>903308150</v>
      </c>
      <c r="X40" s="34">
        <f>21</f>
        <v>21</v>
      </c>
    </row>
    <row r="41" spans="1:24" ht="13.5" customHeight="1" x14ac:dyDescent="0.15">
      <c r="A41" s="25" t="s">
        <v>1182</v>
      </c>
      <c r="B41" s="25" t="s">
        <v>183</v>
      </c>
      <c r="C41" s="25" t="s">
        <v>1047</v>
      </c>
      <c r="D41" s="25" t="s">
        <v>1048</v>
      </c>
      <c r="E41" s="26" t="s">
        <v>45</v>
      </c>
      <c r="F41" s="27" t="s">
        <v>45</v>
      </c>
      <c r="G41" s="28" t="s">
        <v>45</v>
      </c>
      <c r="H41" s="29"/>
      <c r="I41" s="29" t="s">
        <v>46</v>
      </c>
      <c r="J41" s="30">
        <v>1</v>
      </c>
      <c r="K41" s="31">
        <f>3840</f>
        <v>3840</v>
      </c>
      <c r="L41" s="32" t="s">
        <v>999</v>
      </c>
      <c r="M41" s="31">
        <f>4060</f>
        <v>4060</v>
      </c>
      <c r="N41" s="32" t="s">
        <v>793</v>
      </c>
      <c r="O41" s="31">
        <f>3800</f>
        <v>3800</v>
      </c>
      <c r="P41" s="32" t="s">
        <v>999</v>
      </c>
      <c r="Q41" s="31">
        <f>3955</f>
        <v>3955</v>
      </c>
      <c r="R41" s="32" t="s">
        <v>791</v>
      </c>
      <c r="S41" s="33">
        <f>3936.43</f>
        <v>3936.43</v>
      </c>
      <c r="T41" s="30">
        <f>156336</f>
        <v>156336</v>
      </c>
      <c r="U41" s="30">
        <f>32004</f>
        <v>32004</v>
      </c>
      <c r="V41" s="30">
        <f>613782625</f>
        <v>613782625</v>
      </c>
      <c r="W41" s="30">
        <f>122767540</f>
        <v>122767540</v>
      </c>
      <c r="X41" s="34">
        <f>21</f>
        <v>21</v>
      </c>
    </row>
    <row r="42" spans="1:24" ht="13.5" customHeight="1" x14ac:dyDescent="0.15">
      <c r="A42" s="25" t="s">
        <v>1182</v>
      </c>
      <c r="B42" s="25" t="s">
        <v>186</v>
      </c>
      <c r="C42" s="25" t="s">
        <v>187</v>
      </c>
      <c r="D42" s="25" t="s">
        <v>188</v>
      </c>
      <c r="E42" s="26" t="s">
        <v>45</v>
      </c>
      <c r="F42" s="27" t="s">
        <v>45</v>
      </c>
      <c r="G42" s="28" t="s">
        <v>45</v>
      </c>
      <c r="H42" s="29"/>
      <c r="I42" s="29" t="s">
        <v>46</v>
      </c>
      <c r="J42" s="30">
        <v>1</v>
      </c>
      <c r="K42" s="31">
        <f>23045</f>
        <v>23045</v>
      </c>
      <c r="L42" s="32" t="s">
        <v>999</v>
      </c>
      <c r="M42" s="31">
        <f>23575</f>
        <v>23575</v>
      </c>
      <c r="N42" s="32" t="s">
        <v>56</v>
      </c>
      <c r="O42" s="31">
        <f>20725</f>
        <v>20725</v>
      </c>
      <c r="P42" s="32" t="s">
        <v>893</v>
      </c>
      <c r="Q42" s="31">
        <f>21220</f>
        <v>21220</v>
      </c>
      <c r="R42" s="32" t="s">
        <v>791</v>
      </c>
      <c r="S42" s="33">
        <f>21948.81</f>
        <v>21948.81</v>
      </c>
      <c r="T42" s="30">
        <f>9440523</f>
        <v>9440523</v>
      </c>
      <c r="U42" s="30">
        <f>9024</f>
        <v>9024</v>
      </c>
      <c r="V42" s="30">
        <f>206574506525</f>
        <v>206574506525</v>
      </c>
      <c r="W42" s="30">
        <f>197632610</f>
        <v>197632610</v>
      </c>
      <c r="X42" s="34">
        <f>21</f>
        <v>21</v>
      </c>
    </row>
    <row r="43" spans="1:24" ht="13.5" customHeight="1" x14ac:dyDescent="0.15">
      <c r="A43" s="25" t="s">
        <v>1182</v>
      </c>
      <c r="B43" s="25" t="s">
        <v>189</v>
      </c>
      <c r="C43" s="25" t="s">
        <v>190</v>
      </c>
      <c r="D43" s="25" t="s">
        <v>191</v>
      </c>
      <c r="E43" s="26" t="s">
        <v>45</v>
      </c>
      <c r="F43" s="27" t="s">
        <v>45</v>
      </c>
      <c r="G43" s="28" t="s">
        <v>45</v>
      </c>
      <c r="H43" s="29"/>
      <c r="I43" s="29" t="s">
        <v>46</v>
      </c>
      <c r="J43" s="30">
        <v>1</v>
      </c>
      <c r="K43" s="31">
        <f>944</f>
        <v>944</v>
      </c>
      <c r="L43" s="32" t="s">
        <v>999</v>
      </c>
      <c r="M43" s="31">
        <f>1044</f>
        <v>1044</v>
      </c>
      <c r="N43" s="32" t="s">
        <v>785</v>
      </c>
      <c r="O43" s="31">
        <f>911</f>
        <v>911</v>
      </c>
      <c r="P43" s="32" t="s">
        <v>56</v>
      </c>
      <c r="Q43" s="31">
        <f>1005</f>
        <v>1005</v>
      </c>
      <c r="R43" s="32" t="s">
        <v>791</v>
      </c>
      <c r="S43" s="33">
        <f>979.48</f>
        <v>979.48</v>
      </c>
      <c r="T43" s="30">
        <f>235769980</f>
        <v>235769980</v>
      </c>
      <c r="U43" s="30">
        <f>1341000</f>
        <v>1341000</v>
      </c>
      <c r="V43" s="30">
        <f>232025707941</f>
        <v>232025707941</v>
      </c>
      <c r="W43" s="30">
        <f>1313274200</f>
        <v>1313274200</v>
      </c>
      <c r="X43" s="34">
        <f>21</f>
        <v>21</v>
      </c>
    </row>
    <row r="44" spans="1:24" ht="13.5" customHeight="1" x14ac:dyDescent="0.15">
      <c r="A44" s="25" t="s">
        <v>1182</v>
      </c>
      <c r="B44" s="25" t="s">
        <v>192</v>
      </c>
      <c r="C44" s="25" t="s">
        <v>1049</v>
      </c>
      <c r="D44" s="25" t="s">
        <v>1050</v>
      </c>
      <c r="E44" s="26" t="s">
        <v>45</v>
      </c>
      <c r="F44" s="27" t="s">
        <v>45</v>
      </c>
      <c r="G44" s="28" t="s">
        <v>45</v>
      </c>
      <c r="H44" s="29"/>
      <c r="I44" s="29" t="s">
        <v>46</v>
      </c>
      <c r="J44" s="30">
        <v>1</v>
      </c>
      <c r="K44" s="31">
        <f>22015</f>
        <v>22015</v>
      </c>
      <c r="L44" s="32" t="s">
        <v>999</v>
      </c>
      <c r="M44" s="31">
        <f>22450</f>
        <v>22450</v>
      </c>
      <c r="N44" s="32" t="s">
        <v>999</v>
      </c>
      <c r="O44" s="31">
        <f>19455</f>
        <v>19455</v>
      </c>
      <c r="P44" s="32" t="s">
        <v>793</v>
      </c>
      <c r="Q44" s="31">
        <f>20300</f>
        <v>20300</v>
      </c>
      <c r="R44" s="32" t="s">
        <v>791</v>
      </c>
      <c r="S44" s="33">
        <f>20841.9</f>
        <v>20841.900000000001</v>
      </c>
      <c r="T44" s="30">
        <f>7150</f>
        <v>7150</v>
      </c>
      <c r="U44" s="30" t="str">
        <f>"－"</f>
        <v>－</v>
      </c>
      <c r="V44" s="30">
        <f>147541155</f>
        <v>147541155</v>
      </c>
      <c r="W44" s="30" t="str">
        <f>"－"</f>
        <v>－</v>
      </c>
      <c r="X44" s="34">
        <f>21</f>
        <v>21</v>
      </c>
    </row>
    <row r="45" spans="1:24" ht="13.5" customHeight="1" x14ac:dyDescent="0.15">
      <c r="A45" s="25" t="s">
        <v>1182</v>
      </c>
      <c r="B45" s="25" t="s">
        <v>195</v>
      </c>
      <c r="C45" s="25" t="s">
        <v>1051</v>
      </c>
      <c r="D45" s="25" t="s">
        <v>1052</v>
      </c>
      <c r="E45" s="26" t="s">
        <v>45</v>
      </c>
      <c r="F45" s="27" t="s">
        <v>45</v>
      </c>
      <c r="G45" s="28" t="s">
        <v>45</v>
      </c>
      <c r="H45" s="29"/>
      <c r="I45" s="29" t="s">
        <v>46</v>
      </c>
      <c r="J45" s="30">
        <v>1</v>
      </c>
      <c r="K45" s="31">
        <f>3575</f>
        <v>3575</v>
      </c>
      <c r="L45" s="32" t="s">
        <v>996</v>
      </c>
      <c r="M45" s="31">
        <f>3920</f>
        <v>3920</v>
      </c>
      <c r="N45" s="32" t="s">
        <v>786</v>
      </c>
      <c r="O45" s="31">
        <f>3575</f>
        <v>3575</v>
      </c>
      <c r="P45" s="32" t="s">
        <v>996</v>
      </c>
      <c r="Q45" s="31">
        <f>3905</f>
        <v>3905</v>
      </c>
      <c r="R45" s="32" t="s">
        <v>791</v>
      </c>
      <c r="S45" s="33">
        <f>3803.57</f>
        <v>3803.57</v>
      </c>
      <c r="T45" s="30">
        <f>360</f>
        <v>360</v>
      </c>
      <c r="U45" s="30" t="str">
        <f>"－"</f>
        <v>－</v>
      </c>
      <c r="V45" s="30">
        <f>1378730</f>
        <v>1378730</v>
      </c>
      <c r="W45" s="30" t="str">
        <f>"－"</f>
        <v>－</v>
      </c>
      <c r="X45" s="34">
        <f>14</f>
        <v>14</v>
      </c>
    </row>
    <row r="46" spans="1:24" ht="13.5" customHeight="1" x14ac:dyDescent="0.15">
      <c r="A46" s="25" t="s">
        <v>1182</v>
      </c>
      <c r="B46" s="25" t="s">
        <v>198</v>
      </c>
      <c r="C46" s="25" t="s">
        <v>1053</v>
      </c>
      <c r="D46" s="25" t="s">
        <v>1054</v>
      </c>
      <c r="E46" s="26" t="s">
        <v>45</v>
      </c>
      <c r="F46" s="27" t="s">
        <v>45</v>
      </c>
      <c r="G46" s="28" t="s">
        <v>45</v>
      </c>
      <c r="H46" s="29"/>
      <c r="I46" s="29" t="s">
        <v>46</v>
      </c>
      <c r="J46" s="30">
        <v>1</v>
      </c>
      <c r="K46" s="31">
        <f>1074</f>
        <v>1074</v>
      </c>
      <c r="L46" s="32" t="s">
        <v>999</v>
      </c>
      <c r="M46" s="31">
        <f>1219</f>
        <v>1219</v>
      </c>
      <c r="N46" s="32" t="s">
        <v>785</v>
      </c>
      <c r="O46" s="31">
        <f>1044</f>
        <v>1044</v>
      </c>
      <c r="P46" s="32" t="s">
        <v>999</v>
      </c>
      <c r="Q46" s="31">
        <f>1158</f>
        <v>1158</v>
      </c>
      <c r="R46" s="32" t="s">
        <v>791</v>
      </c>
      <c r="S46" s="33">
        <f>1121.05</f>
        <v>1121.05</v>
      </c>
      <c r="T46" s="30">
        <f>56752</f>
        <v>56752</v>
      </c>
      <c r="U46" s="30" t="str">
        <f>"－"</f>
        <v>－</v>
      </c>
      <c r="V46" s="30">
        <f>64824758</f>
        <v>64824758</v>
      </c>
      <c r="W46" s="30" t="str">
        <f>"－"</f>
        <v>－</v>
      </c>
      <c r="X46" s="34">
        <f>21</f>
        <v>21</v>
      </c>
    </row>
    <row r="47" spans="1:24" ht="13.5" customHeight="1" x14ac:dyDescent="0.15">
      <c r="A47" s="25" t="s">
        <v>1182</v>
      </c>
      <c r="B47" s="25" t="s">
        <v>207</v>
      </c>
      <c r="C47" s="25" t="s">
        <v>208</v>
      </c>
      <c r="D47" s="25" t="s">
        <v>209</v>
      </c>
      <c r="E47" s="26" t="s">
        <v>45</v>
      </c>
      <c r="F47" s="27" t="s">
        <v>45</v>
      </c>
      <c r="G47" s="28" t="s">
        <v>45</v>
      </c>
      <c r="H47" s="29"/>
      <c r="I47" s="29" t="s">
        <v>46</v>
      </c>
      <c r="J47" s="30">
        <v>10</v>
      </c>
      <c r="K47" s="31">
        <f>1041.5</f>
        <v>1041.5</v>
      </c>
      <c r="L47" s="32" t="s">
        <v>999</v>
      </c>
      <c r="M47" s="31">
        <f>1170</f>
        <v>1170</v>
      </c>
      <c r="N47" s="32" t="s">
        <v>793</v>
      </c>
      <c r="O47" s="31">
        <f>1024.5</f>
        <v>1024.5</v>
      </c>
      <c r="P47" s="32" t="s">
        <v>999</v>
      </c>
      <c r="Q47" s="31">
        <f>1129</f>
        <v>1129</v>
      </c>
      <c r="R47" s="32" t="s">
        <v>791</v>
      </c>
      <c r="S47" s="33">
        <f>1097.57</f>
        <v>1097.57</v>
      </c>
      <c r="T47" s="30">
        <f>304850</f>
        <v>304850</v>
      </c>
      <c r="U47" s="30">
        <f>90000</f>
        <v>90000</v>
      </c>
      <c r="V47" s="30">
        <f>338173375</f>
        <v>338173375</v>
      </c>
      <c r="W47" s="30">
        <f>100440000</f>
        <v>100440000</v>
      </c>
      <c r="X47" s="34">
        <f>21</f>
        <v>21</v>
      </c>
    </row>
    <row r="48" spans="1:24" ht="13.5" customHeight="1" x14ac:dyDescent="0.15">
      <c r="A48" s="25" t="s">
        <v>1182</v>
      </c>
      <c r="B48" s="25" t="s">
        <v>210</v>
      </c>
      <c r="C48" s="25" t="s">
        <v>211</v>
      </c>
      <c r="D48" s="25" t="s">
        <v>212</v>
      </c>
      <c r="E48" s="26" t="s">
        <v>45</v>
      </c>
      <c r="F48" s="27" t="s">
        <v>45</v>
      </c>
      <c r="G48" s="28" t="s">
        <v>45</v>
      </c>
      <c r="H48" s="29"/>
      <c r="I48" s="29" t="s">
        <v>46</v>
      </c>
      <c r="J48" s="30">
        <v>1</v>
      </c>
      <c r="K48" s="31">
        <f>433</f>
        <v>433</v>
      </c>
      <c r="L48" s="32" t="s">
        <v>999</v>
      </c>
      <c r="M48" s="31">
        <f>491</f>
        <v>491</v>
      </c>
      <c r="N48" s="32" t="s">
        <v>893</v>
      </c>
      <c r="O48" s="31">
        <f>423</f>
        <v>423</v>
      </c>
      <c r="P48" s="32" t="s">
        <v>999</v>
      </c>
      <c r="Q48" s="31">
        <f>461</f>
        <v>461</v>
      </c>
      <c r="R48" s="32" t="s">
        <v>791</v>
      </c>
      <c r="S48" s="33">
        <f>450.19</f>
        <v>450.19</v>
      </c>
      <c r="T48" s="30">
        <f>92044</f>
        <v>92044</v>
      </c>
      <c r="U48" s="30" t="str">
        <f>"－"</f>
        <v>－</v>
      </c>
      <c r="V48" s="30">
        <f>41676594</f>
        <v>41676594</v>
      </c>
      <c r="W48" s="30" t="str">
        <f>"－"</f>
        <v>－</v>
      </c>
      <c r="X48" s="34">
        <f>21</f>
        <v>21</v>
      </c>
    </row>
    <row r="49" spans="1:24" ht="13.5" customHeight="1" x14ac:dyDescent="0.15">
      <c r="A49" s="25" t="s">
        <v>1182</v>
      </c>
      <c r="B49" s="25" t="s">
        <v>213</v>
      </c>
      <c r="C49" s="25" t="s">
        <v>214</v>
      </c>
      <c r="D49" s="25" t="s">
        <v>215</v>
      </c>
      <c r="E49" s="26" t="s">
        <v>45</v>
      </c>
      <c r="F49" s="27" t="s">
        <v>45</v>
      </c>
      <c r="G49" s="28" t="s">
        <v>45</v>
      </c>
      <c r="H49" s="29"/>
      <c r="I49" s="29" t="s">
        <v>46</v>
      </c>
      <c r="J49" s="30">
        <v>10</v>
      </c>
      <c r="K49" s="31">
        <f>2403.5</f>
        <v>2403.5</v>
      </c>
      <c r="L49" s="32" t="s">
        <v>999</v>
      </c>
      <c r="M49" s="31">
        <f>2404</f>
        <v>2404</v>
      </c>
      <c r="N49" s="32" t="s">
        <v>999</v>
      </c>
      <c r="O49" s="31">
        <f>2250</f>
        <v>2250</v>
      </c>
      <c r="P49" s="32" t="s">
        <v>793</v>
      </c>
      <c r="Q49" s="31">
        <f>2304.5</f>
        <v>2304.5</v>
      </c>
      <c r="R49" s="32" t="s">
        <v>791</v>
      </c>
      <c r="S49" s="33">
        <f>2322.45</f>
        <v>2322.4499999999998</v>
      </c>
      <c r="T49" s="30">
        <f>1355910</f>
        <v>1355910</v>
      </c>
      <c r="U49" s="30">
        <f>360260</f>
        <v>360260</v>
      </c>
      <c r="V49" s="30">
        <f>3132509792</f>
        <v>3132509792</v>
      </c>
      <c r="W49" s="30">
        <f>833626112</f>
        <v>833626112</v>
      </c>
      <c r="X49" s="34">
        <f>21</f>
        <v>21</v>
      </c>
    </row>
    <row r="50" spans="1:24" ht="13.5" customHeight="1" x14ac:dyDescent="0.15">
      <c r="A50" s="25" t="s">
        <v>1182</v>
      </c>
      <c r="B50" s="25" t="s">
        <v>216</v>
      </c>
      <c r="C50" s="25" t="s">
        <v>217</v>
      </c>
      <c r="D50" s="25" t="s">
        <v>218</v>
      </c>
      <c r="E50" s="26" t="s">
        <v>45</v>
      </c>
      <c r="F50" s="27" t="s">
        <v>45</v>
      </c>
      <c r="G50" s="28" t="s">
        <v>45</v>
      </c>
      <c r="H50" s="29"/>
      <c r="I50" s="29" t="s">
        <v>46</v>
      </c>
      <c r="J50" s="30">
        <v>1</v>
      </c>
      <c r="K50" s="31">
        <f>21470</f>
        <v>21470</v>
      </c>
      <c r="L50" s="32" t="s">
        <v>999</v>
      </c>
      <c r="M50" s="31">
        <f>21515</f>
        <v>21515</v>
      </c>
      <c r="N50" s="32" t="s">
        <v>787</v>
      </c>
      <c r="O50" s="31">
        <f>20180</f>
        <v>20180</v>
      </c>
      <c r="P50" s="32" t="s">
        <v>793</v>
      </c>
      <c r="Q50" s="31">
        <f>20485</f>
        <v>20485</v>
      </c>
      <c r="R50" s="32" t="s">
        <v>791</v>
      </c>
      <c r="S50" s="33">
        <f>20819.05</f>
        <v>20819.05</v>
      </c>
      <c r="T50" s="30">
        <f>20315</f>
        <v>20315</v>
      </c>
      <c r="U50" s="30" t="str">
        <f>"－"</f>
        <v>－</v>
      </c>
      <c r="V50" s="30">
        <f>423474815</f>
        <v>423474815</v>
      </c>
      <c r="W50" s="30" t="str">
        <f>"－"</f>
        <v>－</v>
      </c>
      <c r="X50" s="34">
        <f>21</f>
        <v>21</v>
      </c>
    </row>
    <row r="51" spans="1:24" ht="13.5" customHeight="1" x14ac:dyDescent="0.15">
      <c r="A51" s="25" t="s">
        <v>1182</v>
      </c>
      <c r="B51" s="25" t="s">
        <v>219</v>
      </c>
      <c r="C51" s="25" t="s">
        <v>220</v>
      </c>
      <c r="D51" s="25" t="s">
        <v>221</v>
      </c>
      <c r="E51" s="26" t="s">
        <v>45</v>
      </c>
      <c r="F51" s="27" t="s">
        <v>45</v>
      </c>
      <c r="G51" s="28" t="s">
        <v>45</v>
      </c>
      <c r="H51" s="29"/>
      <c r="I51" s="29" t="s">
        <v>46</v>
      </c>
      <c r="J51" s="30">
        <v>1</v>
      </c>
      <c r="K51" s="31">
        <f>2412</f>
        <v>2412</v>
      </c>
      <c r="L51" s="32" t="s">
        <v>999</v>
      </c>
      <c r="M51" s="31">
        <f>2434</f>
        <v>2434</v>
      </c>
      <c r="N51" s="32" t="s">
        <v>999</v>
      </c>
      <c r="O51" s="31">
        <f>2269</f>
        <v>2269</v>
      </c>
      <c r="P51" s="32" t="s">
        <v>793</v>
      </c>
      <c r="Q51" s="31">
        <f>2329</f>
        <v>2329</v>
      </c>
      <c r="R51" s="32" t="s">
        <v>791</v>
      </c>
      <c r="S51" s="33">
        <f>2346.86</f>
        <v>2346.86</v>
      </c>
      <c r="T51" s="30">
        <f>19359560</f>
        <v>19359560</v>
      </c>
      <c r="U51" s="30">
        <f>9160438</f>
        <v>9160438</v>
      </c>
      <c r="V51" s="30">
        <f>45222042955</f>
        <v>45222042955</v>
      </c>
      <c r="W51" s="30">
        <f>21287548980</f>
        <v>21287548980</v>
      </c>
      <c r="X51" s="34">
        <f>21</f>
        <v>21</v>
      </c>
    </row>
    <row r="52" spans="1:24" ht="13.5" customHeight="1" x14ac:dyDescent="0.15">
      <c r="A52" s="25" t="s">
        <v>1182</v>
      </c>
      <c r="B52" s="25" t="s">
        <v>222</v>
      </c>
      <c r="C52" s="25" t="s">
        <v>223</v>
      </c>
      <c r="D52" s="25" t="s">
        <v>224</v>
      </c>
      <c r="E52" s="26" t="s">
        <v>45</v>
      </c>
      <c r="F52" s="27" t="s">
        <v>45</v>
      </c>
      <c r="G52" s="28" t="s">
        <v>45</v>
      </c>
      <c r="H52" s="29"/>
      <c r="I52" s="29" t="s">
        <v>46</v>
      </c>
      <c r="J52" s="30">
        <v>1</v>
      </c>
      <c r="K52" s="31">
        <f>1925</f>
        <v>1925</v>
      </c>
      <c r="L52" s="32" t="s">
        <v>999</v>
      </c>
      <c r="M52" s="31">
        <f>1932</f>
        <v>1932</v>
      </c>
      <c r="N52" s="32" t="s">
        <v>999</v>
      </c>
      <c r="O52" s="31">
        <f>1862</f>
        <v>1862</v>
      </c>
      <c r="P52" s="32" t="s">
        <v>785</v>
      </c>
      <c r="Q52" s="31">
        <f>1886</f>
        <v>1886</v>
      </c>
      <c r="R52" s="32" t="s">
        <v>791</v>
      </c>
      <c r="S52" s="33">
        <f>1895.76</f>
        <v>1895.76</v>
      </c>
      <c r="T52" s="30">
        <f>5400600</f>
        <v>5400600</v>
      </c>
      <c r="U52" s="30">
        <f>1900941</f>
        <v>1900941</v>
      </c>
      <c r="V52" s="30">
        <f>10220743239</f>
        <v>10220743239</v>
      </c>
      <c r="W52" s="30">
        <f>3600487365</f>
        <v>3600487365</v>
      </c>
      <c r="X52" s="34">
        <f>21</f>
        <v>21</v>
      </c>
    </row>
    <row r="53" spans="1:24" ht="13.5" customHeight="1" x14ac:dyDescent="0.15">
      <c r="A53" s="25" t="s">
        <v>1182</v>
      </c>
      <c r="B53" s="25" t="s">
        <v>225</v>
      </c>
      <c r="C53" s="25" t="s">
        <v>226</v>
      </c>
      <c r="D53" s="25" t="s">
        <v>227</v>
      </c>
      <c r="E53" s="26" t="s">
        <v>45</v>
      </c>
      <c r="F53" s="27" t="s">
        <v>45</v>
      </c>
      <c r="G53" s="28" t="s">
        <v>45</v>
      </c>
      <c r="H53" s="29"/>
      <c r="I53" s="29" t="s">
        <v>46</v>
      </c>
      <c r="J53" s="30">
        <v>1</v>
      </c>
      <c r="K53" s="31">
        <f>2278</f>
        <v>2278</v>
      </c>
      <c r="L53" s="32" t="s">
        <v>999</v>
      </c>
      <c r="M53" s="31">
        <f>2281</f>
        <v>2281</v>
      </c>
      <c r="N53" s="32" t="s">
        <v>999</v>
      </c>
      <c r="O53" s="31">
        <f>2157</f>
        <v>2157</v>
      </c>
      <c r="P53" s="32" t="s">
        <v>793</v>
      </c>
      <c r="Q53" s="31">
        <f>2218</f>
        <v>2218</v>
      </c>
      <c r="R53" s="32" t="s">
        <v>791</v>
      </c>
      <c r="S53" s="33">
        <f>2218.81</f>
        <v>2218.81</v>
      </c>
      <c r="T53" s="30">
        <f>170081</f>
        <v>170081</v>
      </c>
      <c r="U53" s="30">
        <f>127836</f>
        <v>127836</v>
      </c>
      <c r="V53" s="30">
        <f>380269537</f>
        <v>380269537</v>
      </c>
      <c r="W53" s="30">
        <f>284729171</f>
        <v>284729171</v>
      </c>
      <c r="X53" s="34">
        <f>21</f>
        <v>21</v>
      </c>
    </row>
    <row r="54" spans="1:24" ht="13.5" customHeight="1" x14ac:dyDescent="0.15">
      <c r="A54" s="25" t="s">
        <v>1182</v>
      </c>
      <c r="B54" s="25" t="s">
        <v>228</v>
      </c>
      <c r="C54" s="25" t="s">
        <v>229</v>
      </c>
      <c r="D54" s="25" t="s">
        <v>230</v>
      </c>
      <c r="E54" s="26" t="s">
        <v>45</v>
      </c>
      <c r="F54" s="27" t="s">
        <v>45</v>
      </c>
      <c r="G54" s="28" t="s">
        <v>45</v>
      </c>
      <c r="H54" s="29"/>
      <c r="I54" s="29" t="s">
        <v>46</v>
      </c>
      <c r="J54" s="30">
        <v>1</v>
      </c>
      <c r="K54" s="31">
        <f>3100</f>
        <v>3100</v>
      </c>
      <c r="L54" s="32" t="s">
        <v>999</v>
      </c>
      <c r="M54" s="31">
        <f>3120</f>
        <v>3120</v>
      </c>
      <c r="N54" s="32" t="s">
        <v>999</v>
      </c>
      <c r="O54" s="31">
        <f>2920</f>
        <v>2920</v>
      </c>
      <c r="P54" s="32" t="s">
        <v>785</v>
      </c>
      <c r="Q54" s="31">
        <f>2997</f>
        <v>2997</v>
      </c>
      <c r="R54" s="32" t="s">
        <v>791</v>
      </c>
      <c r="S54" s="33">
        <f>3015</f>
        <v>3015</v>
      </c>
      <c r="T54" s="30">
        <f>775384</f>
        <v>775384</v>
      </c>
      <c r="U54" s="30">
        <f>107349</f>
        <v>107349</v>
      </c>
      <c r="V54" s="30">
        <f>2328572709</f>
        <v>2328572709</v>
      </c>
      <c r="W54" s="30">
        <f>324979537</f>
        <v>324979537</v>
      </c>
      <c r="X54" s="34">
        <f>21</f>
        <v>21</v>
      </c>
    </row>
    <row r="55" spans="1:24" ht="13.5" customHeight="1" x14ac:dyDescent="0.15">
      <c r="A55" s="25" t="s">
        <v>1182</v>
      </c>
      <c r="B55" s="25" t="s">
        <v>231</v>
      </c>
      <c r="C55" s="25" t="s">
        <v>1055</v>
      </c>
      <c r="D55" s="25" t="s">
        <v>1056</v>
      </c>
      <c r="E55" s="26" t="s">
        <v>45</v>
      </c>
      <c r="F55" s="27" t="s">
        <v>45</v>
      </c>
      <c r="G55" s="28" t="s">
        <v>45</v>
      </c>
      <c r="H55" s="29"/>
      <c r="I55" s="29" t="s">
        <v>46</v>
      </c>
      <c r="J55" s="30">
        <v>1</v>
      </c>
      <c r="K55" s="31">
        <f>28905</f>
        <v>28905</v>
      </c>
      <c r="L55" s="32" t="s">
        <v>999</v>
      </c>
      <c r="M55" s="31">
        <f>29115</f>
        <v>29115</v>
      </c>
      <c r="N55" s="32" t="s">
        <v>56</v>
      </c>
      <c r="O55" s="31">
        <f>27770</f>
        <v>27770</v>
      </c>
      <c r="P55" s="32" t="s">
        <v>785</v>
      </c>
      <c r="Q55" s="31">
        <f>28610</f>
        <v>28610</v>
      </c>
      <c r="R55" s="32" t="s">
        <v>792</v>
      </c>
      <c r="S55" s="33">
        <f>28576.43</f>
        <v>28576.43</v>
      </c>
      <c r="T55" s="30">
        <f>168</f>
        <v>168</v>
      </c>
      <c r="U55" s="30" t="str">
        <f>"－"</f>
        <v>－</v>
      </c>
      <c r="V55" s="30">
        <f>4815435</f>
        <v>4815435</v>
      </c>
      <c r="W55" s="30" t="str">
        <f>"－"</f>
        <v>－</v>
      </c>
      <c r="X55" s="34">
        <f>7</f>
        <v>7</v>
      </c>
    </row>
    <row r="56" spans="1:24" ht="13.5" customHeight="1" x14ac:dyDescent="0.15">
      <c r="A56" s="25" t="s">
        <v>1182</v>
      </c>
      <c r="B56" s="25" t="s">
        <v>234</v>
      </c>
      <c r="C56" s="25" t="s">
        <v>235</v>
      </c>
      <c r="D56" s="25" t="s">
        <v>236</v>
      </c>
      <c r="E56" s="26" t="s">
        <v>45</v>
      </c>
      <c r="F56" s="27" t="s">
        <v>45</v>
      </c>
      <c r="G56" s="28" t="s">
        <v>45</v>
      </c>
      <c r="H56" s="29"/>
      <c r="I56" s="29" t="s">
        <v>46</v>
      </c>
      <c r="J56" s="30">
        <v>1</v>
      </c>
      <c r="K56" s="31">
        <f>23300</f>
        <v>23300</v>
      </c>
      <c r="L56" s="32" t="s">
        <v>999</v>
      </c>
      <c r="M56" s="31">
        <f>23300</f>
        <v>23300</v>
      </c>
      <c r="N56" s="32" t="s">
        <v>999</v>
      </c>
      <c r="O56" s="31">
        <f>21910</f>
        <v>21910</v>
      </c>
      <c r="P56" s="32" t="s">
        <v>793</v>
      </c>
      <c r="Q56" s="31">
        <f>22130</f>
        <v>22130</v>
      </c>
      <c r="R56" s="32" t="s">
        <v>791</v>
      </c>
      <c r="S56" s="33">
        <f>22583.33</f>
        <v>22583.33</v>
      </c>
      <c r="T56" s="30">
        <f>189</f>
        <v>189</v>
      </c>
      <c r="U56" s="30" t="str">
        <f>"－"</f>
        <v>－</v>
      </c>
      <c r="V56" s="30">
        <f>4247420</f>
        <v>4247420</v>
      </c>
      <c r="W56" s="30" t="str">
        <f>"－"</f>
        <v>－</v>
      </c>
      <c r="X56" s="34">
        <f>9</f>
        <v>9</v>
      </c>
    </row>
    <row r="57" spans="1:24" ht="13.5" customHeight="1" x14ac:dyDescent="0.15">
      <c r="A57" s="25" t="s">
        <v>1182</v>
      </c>
      <c r="B57" s="25" t="s">
        <v>237</v>
      </c>
      <c r="C57" s="25" t="s">
        <v>238</v>
      </c>
      <c r="D57" s="25" t="s">
        <v>239</v>
      </c>
      <c r="E57" s="26" t="s">
        <v>45</v>
      </c>
      <c r="F57" s="27" t="s">
        <v>45</v>
      </c>
      <c r="G57" s="28" t="s">
        <v>45</v>
      </c>
      <c r="H57" s="29"/>
      <c r="I57" s="29" t="s">
        <v>46</v>
      </c>
      <c r="J57" s="30">
        <v>1</v>
      </c>
      <c r="K57" s="31">
        <f>2423</f>
        <v>2423</v>
      </c>
      <c r="L57" s="32" t="s">
        <v>999</v>
      </c>
      <c r="M57" s="31">
        <f>2487</f>
        <v>2487</v>
      </c>
      <c r="N57" s="32" t="s">
        <v>875</v>
      </c>
      <c r="O57" s="31">
        <f>2300</f>
        <v>2300</v>
      </c>
      <c r="P57" s="32" t="s">
        <v>793</v>
      </c>
      <c r="Q57" s="31">
        <f>2364</f>
        <v>2364</v>
      </c>
      <c r="R57" s="32" t="s">
        <v>791</v>
      </c>
      <c r="S57" s="33">
        <f>2377.75</f>
        <v>2377.75</v>
      </c>
      <c r="T57" s="30">
        <f>12655</f>
        <v>12655</v>
      </c>
      <c r="U57" s="30" t="str">
        <f>"－"</f>
        <v>－</v>
      </c>
      <c r="V57" s="30">
        <f>30635558</f>
        <v>30635558</v>
      </c>
      <c r="W57" s="30" t="str">
        <f>"－"</f>
        <v>－</v>
      </c>
      <c r="X57" s="34">
        <f>20</f>
        <v>20</v>
      </c>
    </row>
    <row r="58" spans="1:24" ht="13.5" customHeight="1" x14ac:dyDescent="0.15">
      <c r="A58" s="25" t="s">
        <v>1182</v>
      </c>
      <c r="B58" s="25" t="s">
        <v>240</v>
      </c>
      <c r="C58" s="25" t="s">
        <v>241</v>
      </c>
      <c r="D58" s="25" t="s">
        <v>242</v>
      </c>
      <c r="E58" s="26" t="s">
        <v>45</v>
      </c>
      <c r="F58" s="27" t="s">
        <v>45</v>
      </c>
      <c r="G58" s="28" t="s">
        <v>45</v>
      </c>
      <c r="H58" s="29"/>
      <c r="I58" s="29" t="s">
        <v>46</v>
      </c>
      <c r="J58" s="30">
        <v>1</v>
      </c>
      <c r="K58" s="31">
        <f>1740</f>
        <v>1740</v>
      </c>
      <c r="L58" s="32" t="s">
        <v>999</v>
      </c>
      <c r="M58" s="31">
        <f>1741</f>
        <v>1741</v>
      </c>
      <c r="N58" s="32" t="s">
        <v>999</v>
      </c>
      <c r="O58" s="31">
        <f>1677</f>
        <v>1677</v>
      </c>
      <c r="P58" s="32" t="s">
        <v>80</v>
      </c>
      <c r="Q58" s="31">
        <f>1694</f>
        <v>1694</v>
      </c>
      <c r="R58" s="32" t="s">
        <v>791</v>
      </c>
      <c r="S58" s="33">
        <f>1707.95</f>
        <v>1707.95</v>
      </c>
      <c r="T58" s="30">
        <f>7524128</f>
        <v>7524128</v>
      </c>
      <c r="U58" s="30">
        <f>5332084</f>
        <v>5332084</v>
      </c>
      <c r="V58" s="30">
        <f>12890718752</f>
        <v>12890718752</v>
      </c>
      <c r="W58" s="30">
        <f>9147349011</f>
        <v>9147349011</v>
      </c>
      <c r="X58" s="34">
        <f>21</f>
        <v>21</v>
      </c>
    </row>
    <row r="59" spans="1:24" ht="13.5" customHeight="1" x14ac:dyDescent="0.15">
      <c r="A59" s="25" t="s">
        <v>1182</v>
      </c>
      <c r="B59" s="25" t="s">
        <v>243</v>
      </c>
      <c r="C59" s="25" t="s">
        <v>244</v>
      </c>
      <c r="D59" s="25" t="s">
        <v>245</v>
      </c>
      <c r="E59" s="26" t="s">
        <v>45</v>
      </c>
      <c r="F59" s="27" t="s">
        <v>45</v>
      </c>
      <c r="G59" s="28" t="s">
        <v>45</v>
      </c>
      <c r="H59" s="29"/>
      <c r="I59" s="29" t="s">
        <v>46</v>
      </c>
      <c r="J59" s="30">
        <v>1</v>
      </c>
      <c r="K59" s="31">
        <f>2413</f>
        <v>2413</v>
      </c>
      <c r="L59" s="32" t="s">
        <v>999</v>
      </c>
      <c r="M59" s="31">
        <f>2450</f>
        <v>2450</v>
      </c>
      <c r="N59" s="32" t="s">
        <v>999</v>
      </c>
      <c r="O59" s="31">
        <f>2296</f>
        <v>2296</v>
      </c>
      <c r="P59" s="32" t="s">
        <v>793</v>
      </c>
      <c r="Q59" s="31">
        <f>2354</f>
        <v>2354</v>
      </c>
      <c r="R59" s="32" t="s">
        <v>893</v>
      </c>
      <c r="S59" s="33">
        <f>2365</f>
        <v>2365</v>
      </c>
      <c r="T59" s="30">
        <f>493</f>
        <v>493</v>
      </c>
      <c r="U59" s="30" t="str">
        <f>"－"</f>
        <v>－</v>
      </c>
      <c r="V59" s="30">
        <f>1161143</f>
        <v>1161143</v>
      </c>
      <c r="W59" s="30" t="str">
        <f>"－"</f>
        <v>－</v>
      </c>
      <c r="X59" s="34">
        <f>20</f>
        <v>20</v>
      </c>
    </row>
    <row r="60" spans="1:24" ht="13.5" customHeight="1" x14ac:dyDescent="0.15">
      <c r="A60" s="25" t="s">
        <v>1182</v>
      </c>
      <c r="B60" s="25" t="s">
        <v>246</v>
      </c>
      <c r="C60" s="25" t="s">
        <v>247</v>
      </c>
      <c r="D60" s="25" t="s">
        <v>248</v>
      </c>
      <c r="E60" s="26" t="s">
        <v>45</v>
      </c>
      <c r="F60" s="27" t="s">
        <v>45</v>
      </c>
      <c r="G60" s="28" t="s">
        <v>45</v>
      </c>
      <c r="H60" s="29"/>
      <c r="I60" s="29" t="s">
        <v>46</v>
      </c>
      <c r="J60" s="30">
        <v>10</v>
      </c>
      <c r="K60" s="31">
        <f>2385.5</f>
        <v>2385.5</v>
      </c>
      <c r="L60" s="32" t="s">
        <v>999</v>
      </c>
      <c r="M60" s="31">
        <f>2402</f>
        <v>2402</v>
      </c>
      <c r="N60" s="32" t="s">
        <v>999</v>
      </c>
      <c r="O60" s="31">
        <f>2280.5</f>
        <v>2280.5</v>
      </c>
      <c r="P60" s="32" t="s">
        <v>793</v>
      </c>
      <c r="Q60" s="31">
        <f>2325.5</f>
        <v>2325.5</v>
      </c>
      <c r="R60" s="32" t="s">
        <v>791</v>
      </c>
      <c r="S60" s="33">
        <f>2332.45</f>
        <v>2332.4499999999998</v>
      </c>
      <c r="T60" s="30">
        <f>72140</f>
        <v>72140</v>
      </c>
      <c r="U60" s="30" t="str">
        <f>"－"</f>
        <v>－</v>
      </c>
      <c r="V60" s="30">
        <f>169201900</f>
        <v>169201900</v>
      </c>
      <c r="W60" s="30" t="str">
        <f>"－"</f>
        <v>－</v>
      </c>
      <c r="X60" s="34">
        <f>21</f>
        <v>21</v>
      </c>
    </row>
    <row r="61" spans="1:24" ht="13.5" customHeight="1" x14ac:dyDescent="0.15">
      <c r="A61" s="25" t="s">
        <v>1182</v>
      </c>
      <c r="B61" s="25" t="s">
        <v>249</v>
      </c>
      <c r="C61" s="25" t="s">
        <v>250</v>
      </c>
      <c r="D61" s="25" t="s">
        <v>251</v>
      </c>
      <c r="E61" s="26" t="s">
        <v>45</v>
      </c>
      <c r="F61" s="27" t="s">
        <v>45</v>
      </c>
      <c r="G61" s="28" t="s">
        <v>45</v>
      </c>
      <c r="H61" s="29"/>
      <c r="I61" s="29" t="s">
        <v>46</v>
      </c>
      <c r="J61" s="30">
        <v>1</v>
      </c>
      <c r="K61" s="31">
        <f>34900</f>
        <v>34900</v>
      </c>
      <c r="L61" s="32" t="s">
        <v>56</v>
      </c>
      <c r="M61" s="31">
        <f>35600</f>
        <v>35600</v>
      </c>
      <c r="N61" s="32" t="s">
        <v>792</v>
      </c>
      <c r="O61" s="31">
        <f>34800</f>
        <v>34800</v>
      </c>
      <c r="P61" s="32" t="s">
        <v>792</v>
      </c>
      <c r="Q61" s="31">
        <f>34800</f>
        <v>34800</v>
      </c>
      <c r="R61" s="32" t="s">
        <v>792</v>
      </c>
      <c r="S61" s="33">
        <f>34850</f>
        <v>34850</v>
      </c>
      <c r="T61" s="30">
        <f>14</f>
        <v>14</v>
      </c>
      <c r="U61" s="30" t="str">
        <f>"－"</f>
        <v>－</v>
      </c>
      <c r="V61" s="30">
        <f>489200</f>
        <v>489200</v>
      </c>
      <c r="W61" s="30" t="str">
        <f>"－"</f>
        <v>－</v>
      </c>
      <c r="X61" s="34">
        <f>2</f>
        <v>2</v>
      </c>
    </row>
    <row r="62" spans="1:24" ht="13.5" customHeight="1" x14ac:dyDescent="0.15">
      <c r="A62" s="25" t="s">
        <v>1182</v>
      </c>
      <c r="B62" s="25" t="s">
        <v>252</v>
      </c>
      <c r="C62" s="25" t="s">
        <v>253</v>
      </c>
      <c r="D62" s="25" t="s">
        <v>254</v>
      </c>
      <c r="E62" s="26" t="s">
        <v>45</v>
      </c>
      <c r="F62" s="27" t="s">
        <v>45</v>
      </c>
      <c r="G62" s="28" t="s">
        <v>45</v>
      </c>
      <c r="H62" s="29"/>
      <c r="I62" s="29" t="s">
        <v>46</v>
      </c>
      <c r="J62" s="30">
        <v>1</v>
      </c>
      <c r="K62" s="31">
        <f>22555</f>
        <v>22555</v>
      </c>
      <c r="L62" s="32" t="s">
        <v>999</v>
      </c>
      <c r="M62" s="31">
        <f>22695</f>
        <v>22695</v>
      </c>
      <c r="N62" s="32" t="s">
        <v>787</v>
      </c>
      <c r="O62" s="31">
        <f>22065</f>
        <v>22065</v>
      </c>
      <c r="P62" s="32" t="s">
        <v>80</v>
      </c>
      <c r="Q62" s="31">
        <f>22325</f>
        <v>22325</v>
      </c>
      <c r="R62" s="32" t="s">
        <v>791</v>
      </c>
      <c r="S62" s="33">
        <f>22350.71</f>
        <v>22350.71</v>
      </c>
      <c r="T62" s="30">
        <f>387728</f>
        <v>387728</v>
      </c>
      <c r="U62" s="30">
        <f>322100</f>
        <v>322100</v>
      </c>
      <c r="V62" s="30">
        <f>8699264445</f>
        <v>8699264445</v>
      </c>
      <c r="W62" s="30">
        <f>7227239780</f>
        <v>7227239780</v>
      </c>
      <c r="X62" s="34">
        <f>21</f>
        <v>21</v>
      </c>
    </row>
    <row r="63" spans="1:24" ht="13.5" customHeight="1" x14ac:dyDescent="0.15">
      <c r="A63" s="25" t="s">
        <v>1182</v>
      </c>
      <c r="B63" s="25" t="s">
        <v>256</v>
      </c>
      <c r="C63" s="25" t="s">
        <v>257</v>
      </c>
      <c r="D63" s="25" t="s">
        <v>258</v>
      </c>
      <c r="E63" s="26" t="s">
        <v>45</v>
      </c>
      <c r="F63" s="27" t="s">
        <v>45</v>
      </c>
      <c r="G63" s="28" t="s">
        <v>45</v>
      </c>
      <c r="H63" s="29"/>
      <c r="I63" s="29" t="s">
        <v>46</v>
      </c>
      <c r="J63" s="30">
        <v>1</v>
      </c>
      <c r="K63" s="31">
        <f>13345</f>
        <v>13345</v>
      </c>
      <c r="L63" s="32" t="s">
        <v>999</v>
      </c>
      <c r="M63" s="31">
        <f>13375</f>
        <v>13375</v>
      </c>
      <c r="N63" s="32" t="s">
        <v>787</v>
      </c>
      <c r="O63" s="31">
        <f>12940</f>
        <v>12940</v>
      </c>
      <c r="P63" s="32" t="s">
        <v>80</v>
      </c>
      <c r="Q63" s="31">
        <f>13055</f>
        <v>13055</v>
      </c>
      <c r="R63" s="32" t="s">
        <v>791</v>
      </c>
      <c r="S63" s="33">
        <f>13147.86</f>
        <v>13147.86</v>
      </c>
      <c r="T63" s="30">
        <f>437613</f>
        <v>437613</v>
      </c>
      <c r="U63" s="30">
        <f>198736</f>
        <v>198736</v>
      </c>
      <c r="V63" s="30">
        <f>5762061664</f>
        <v>5762061664</v>
      </c>
      <c r="W63" s="30">
        <f>2603233564</f>
        <v>2603233564</v>
      </c>
      <c r="X63" s="34">
        <f>21</f>
        <v>21</v>
      </c>
    </row>
    <row r="64" spans="1:24" ht="13.5" customHeight="1" x14ac:dyDescent="0.15">
      <c r="A64" s="25" t="s">
        <v>1182</v>
      </c>
      <c r="B64" s="25" t="s">
        <v>259</v>
      </c>
      <c r="C64" s="25" t="s">
        <v>1057</v>
      </c>
      <c r="D64" s="25" t="s">
        <v>1058</v>
      </c>
      <c r="E64" s="26" t="s">
        <v>45</v>
      </c>
      <c r="F64" s="27" t="s">
        <v>45</v>
      </c>
      <c r="G64" s="28" t="s">
        <v>45</v>
      </c>
      <c r="H64" s="29"/>
      <c r="I64" s="29" t="s">
        <v>46</v>
      </c>
      <c r="J64" s="30">
        <v>10</v>
      </c>
      <c r="K64" s="31">
        <f>1916.5</f>
        <v>1916.5</v>
      </c>
      <c r="L64" s="32" t="s">
        <v>999</v>
      </c>
      <c r="M64" s="31">
        <f>1920</f>
        <v>1920</v>
      </c>
      <c r="N64" s="32" t="s">
        <v>999</v>
      </c>
      <c r="O64" s="31">
        <f>1851.5</f>
        <v>1851.5</v>
      </c>
      <c r="P64" s="32" t="s">
        <v>785</v>
      </c>
      <c r="Q64" s="31">
        <f>1875</f>
        <v>1875</v>
      </c>
      <c r="R64" s="32" t="s">
        <v>791</v>
      </c>
      <c r="S64" s="33">
        <f>1884.74</f>
        <v>1884.74</v>
      </c>
      <c r="T64" s="30">
        <f>3277480</f>
        <v>3277480</v>
      </c>
      <c r="U64" s="30">
        <f>963880</f>
        <v>963880</v>
      </c>
      <c r="V64" s="30">
        <f>6171997741</f>
        <v>6171997741</v>
      </c>
      <c r="W64" s="30">
        <f>1805963846</f>
        <v>1805963846</v>
      </c>
      <c r="X64" s="34">
        <f>21</f>
        <v>21</v>
      </c>
    </row>
    <row r="65" spans="1:24" ht="13.5" customHeight="1" x14ac:dyDescent="0.15">
      <c r="A65" s="25" t="s">
        <v>1182</v>
      </c>
      <c r="B65" s="25" t="s">
        <v>262</v>
      </c>
      <c r="C65" s="25" t="s">
        <v>263</v>
      </c>
      <c r="D65" s="25" t="s">
        <v>264</v>
      </c>
      <c r="E65" s="26" t="s">
        <v>45</v>
      </c>
      <c r="F65" s="27" t="s">
        <v>45</v>
      </c>
      <c r="G65" s="28" t="s">
        <v>45</v>
      </c>
      <c r="H65" s="29"/>
      <c r="I65" s="29" t="s">
        <v>46</v>
      </c>
      <c r="J65" s="30">
        <v>1</v>
      </c>
      <c r="K65" s="31">
        <f>60920</f>
        <v>60920</v>
      </c>
      <c r="L65" s="32" t="s">
        <v>999</v>
      </c>
      <c r="M65" s="31">
        <f>60920</f>
        <v>60920</v>
      </c>
      <c r="N65" s="32" t="s">
        <v>999</v>
      </c>
      <c r="O65" s="31">
        <f>54650</f>
        <v>54650</v>
      </c>
      <c r="P65" s="32" t="s">
        <v>793</v>
      </c>
      <c r="Q65" s="31">
        <f>56580</f>
        <v>56580</v>
      </c>
      <c r="R65" s="32" t="s">
        <v>791</v>
      </c>
      <c r="S65" s="33">
        <f>57070</f>
        <v>57070</v>
      </c>
      <c r="T65" s="30">
        <f>663772</f>
        <v>663772</v>
      </c>
      <c r="U65" s="30">
        <f>63717</f>
        <v>63717</v>
      </c>
      <c r="V65" s="30">
        <f>37923120036</f>
        <v>37923120036</v>
      </c>
      <c r="W65" s="30">
        <f>3604822056</f>
        <v>3604822056</v>
      </c>
      <c r="X65" s="34">
        <f>21</f>
        <v>21</v>
      </c>
    </row>
    <row r="66" spans="1:24" ht="13.5" customHeight="1" x14ac:dyDescent="0.15">
      <c r="A66" s="25" t="s">
        <v>1182</v>
      </c>
      <c r="B66" s="25" t="s">
        <v>265</v>
      </c>
      <c r="C66" s="25" t="s">
        <v>266</v>
      </c>
      <c r="D66" s="25" t="s">
        <v>267</v>
      </c>
      <c r="E66" s="26" t="s">
        <v>45</v>
      </c>
      <c r="F66" s="27" t="s">
        <v>45</v>
      </c>
      <c r="G66" s="28" t="s">
        <v>45</v>
      </c>
      <c r="H66" s="29"/>
      <c r="I66" s="29" t="s">
        <v>46</v>
      </c>
      <c r="J66" s="30">
        <v>10</v>
      </c>
      <c r="K66" s="31">
        <f>7901</f>
        <v>7901</v>
      </c>
      <c r="L66" s="32" t="s">
        <v>875</v>
      </c>
      <c r="M66" s="31">
        <f>7901</f>
        <v>7901</v>
      </c>
      <c r="N66" s="32" t="s">
        <v>875</v>
      </c>
      <c r="O66" s="31">
        <f>7602</f>
        <v>7602</v>
      </c>
      <c r="P66" s="32" t="s">
        <v>56</v>
      </c>
      <c r="Q66" s="31">
        <f>7753</f>
        <v>7753</v>
      </c>
      <c r="R66" s="32" t="s">
        <v>876</v>
      </c>
      <c r="S66" s="33">
        <f>7728.75</f>
        <v>7728.75</v>
      </c>
      <c r="T66" s="30">
        <f>90</f>
        <v>90</v>
      </c>
      <c r="U66" s="30" t="str">
        <f>"－"</f>
        <v>－</v>
      </c>
      <c r="V66" s="30">
        <f>699010</f>
        <v>699010</v>
      </c>
      <c r="W66" s="30" t="str">
        <f>"－"</f>
        <v>－</v>
      </c>
      <c r="X66" s="34">
        <f>4</f>
        <v>4</v>
      </c>
    </row>
    <row r="67" spans="1:24" ht="13.5" customHeight="1" x14ac:dyDescent="0.15">
      <c r="A67" s="25" t="s">
        <v>1182</v>
      </c>
      <c r="B67" s="25" t="s">
        <v>268</v>
      </c>
      <c r="C67" s="25" t="s">
        <v>269</v>
      </c>
      <c r="D67" s="25" t="s">
        <v>270</v>
      </c>
      <c r="E67" s="26" t="s">
        <v>45</v>
      </c>
      <c r="F67" s="27" t="s">
        <v>45</v>
      </c>
      <c r="G67" s="28" t="s">
        <v>45</v>
      </c>
      <c r="H67" s="29"/>
      <c r="I67" s="29" t="s">
        <v>46</v>
      </c>
      <c r="J67" s="30">
        <v>1</v>
      </c>
      <c r="K67" s="31">
        <f>17400</f>
        <v>17400</v>
      </c>
      <c r="L67" s="32" t="s">
        <v>999</v>
      </c>
      <c r="M67" s="31">
        <f>17500</f>
        <v>17500</v>
      </c>
      <c r="N67" s="32" t="s">
        <v>996</v>
      </c>
      <c r="O67" s="31">
        <f>16610</f>
        <v>16610</v>
      </c>
      <c r="P67" s="32" t="s">
        <v>893</v>
      </c>
      <c r="Q67" s="31">
        <f>16805</f>
        <v>16805</v>
      </c>
      <c r="R67" s="32" t="s">
        <v>791</v>
      </c>
      <c r="S67" s="33">
        <f>16982.37</f>
        <v>16982.37</v>
      </c>
      <c r="T67" s="30">
        <f>445</f>
        <v>445</v>
      </c>
      <c r="U67" s="30" t="str">
        <f>"－"</f>
        <v>－</v>
      </c>
      <c r="V67" s="30">
        <f>7600885</f>
        <v>7600885</v>
      </c>
      <c r="W67" s="30" t="str">
        <f>"－"</f>
        <v>－</v>
      </c>
      <c r="X67" s="34">
        <f>19</f>
        <v>19</v>
      </c>
    </row>
    <row r="68" spans="1:24" ht="13.5" customHeight="1" x14ac:dyDescent="0.15">
      <c r="A68" s="25" t="s">
        <v>1182</v>
      </c>
      <c r="B68" s="25" t="s">
        <v>271</v>
      </c>
      <c r="C68" s="25" t="s">
        <v>272</v>
      </c>
      <c r="D68" s="25" t="s">
        <v>273</v>
      </c>
      <c r="E68" s="26" t="s">
        <v>45</v>
      </c>
      <c r="F68" s="27" t="s">
        <v>45</v>
      </c>
      <c r="G68" s="28" t="s">
        <v>45</v>
      </c>
      <c r="H68" s="29"/>
      <c r="I68" s="29" t="s">
        <v>46</v>
      </c>
      <c r="J68" s="30">
        <v>1</v>
      </c>
      <c r="K68" s="31">
        <f>16900</f>
        <v>16900</v>
      </c>
      <c r="L68" s="32" t="s">
        <v>999</v>
      </c>
      <c r="M68" s="31">
        <f>16900</f>
        <v>16900</v>
      </c>
      <c r="N68" s="32" t="s">
        <v>999</v>
      </c>
      <c r="O68" s="31">
        <f>15600</f>
        <v>15600</v>
      </c>
      <c r="P68" s="32" t="s">
        <v>793</v>
      </c>
      <c r="Q68" s="31">
        <f>16165</f>
        <v>16165</v>
      </c>
      <c r="R68" s="32" t="s">
        <v>791</v>
      </c>
      <c r="S68" s="33">
        <f>16238.81</f>
        <v>16238.81</v>
      </c>
      <c r="T68" s="30">
        <f>1786</f>
        <v>1786</v>
      </c>
      <c r="U68" s="30" t="str">
        <f>"－"</f>
        <v>－</v>
      </c>
      <c r="V68" s="30">
        <f>28977340</f>
        <v>28977340</v>
      </c>
      <c r="W68" s="30" t="str">
        <f>"－"</f>
        <v>－</v>
      </c>
      <c r="X68" s="34">
        <f>21</f>
        <v>21</v>
      </c>
    </row>
    <row r="69" spans="1:24" ht="13.5" customHeight="1" x14ac:dyDescent="0.15">
      <c r="A69" s="25" t="s">
        <v>1182</v>
      </c>
      <c r="B69" s="25" t="s">
        <v>274</v>
      </c>
      <c r="C69" s="25" t="s">
        <v>275</v>
      </c>
      <c r="D69" s="25" t="s">
        <v>276</v>
      </c>
      <c r="E69" s="26" t="s">
        <v>45</v>
      </c>
      <c r="F69" s="27" t="s">
        <v>45</v>
      </c>
      <c r="G69" s="28" t="s">
        <v>45</v>
      </c>
      <c r="H69" s="29"/>
      <c r="I69" s="29" t="s">
        <v>46</v>
      </c>
      <c r="J69" s="30">
        <v>1</v>
      </c>
      <c r="K69" s="31">
        <f>26995</f>
        <v>26995</v>
      </c>
      <c r="L69" s="32" t="s">
        <v>999</v>
      </c>
      <c r="M69" s="31">
        <f>27365</f>
        <v>27365</v>
      </c>
      <c r="N69" s="32" t="s">
        <v>999</v>
      </c>
      <c r="O69" s="31">
        <f>25190</f>
        <v>25190</v>
      </c>
      <c r="P69" s="32" t="s">
        <v>793</v>
      </c>
      <c r="Q69" s="31">
        <f>26235</f>
        <v>26235</v>
      </c>
      <c r="R69" s="32" t="s">
        <v>791</v>
      </c>
      <c r="S69" s="33">
        <f>26053.1</f>
        <v>26053.1</v>
      </c>
      <c r="T69" s="30">
        <f>60245</f>
        <v>60245</v>
      </c>
      <c r="U69" s="30">
        <f>20132</f>
        <v>20132</v>
      </c>
      <c r="V69" s="30">
        <f>1587109553</f>
        <v>1587109553</v>
      </c>
      <c r="W69" s="30">
        <f>534254758</f>
        <v>534254758</v>
      </c>
      <c r="X69" s="34">
        <f>21</f>
        <v>21</v>
      </c>
    </row>
    <row r="70" spans="1:24" ht="13.5" customHeight="1" x14ac:dyDescent="0.15">
      <c r="A70" s="25" t="s">
        <v>1182</v>
      </c>
      <c r="B70" s="25" t="s">
        <v>277</v>
      </c>
      <c r="C70" s="25" t="s">
        <v>278</v>
      </c>
      <c r="D70" s="25" t="s">
        <v>279</v>
      </c>
      <c r="E70" s="26" t="s">
        <v>45</v>
      </c>
      <c r="F70" s="27" t="s">
        <v>45</v>
      </c>
      <c r="G70" s="28" t="s">
        <v>45</v>
      </c>
      <c r="H70" s="29"/>
      <c r="I70" s="29" t="s">
        <v>46</v>
      </c>
      <c r="J70" s="30">
        <v>10</v>
      </c>
      <c r="K70" s="31">
        <f>10445</f>
        <v>10445</v>
      </c>
      <c r="L70" s="32" t="s">
        <v>999</v>
      </c>
      <c r="M70" s="31">
        <f>10590</f>
        <v>10590</v>
      </c>
      <c r="N70" s="32" t="s">
        <v>996</v>
      </c>
      <c r="O70" s="31">
        <f>9310</f>
        <v>9310</v>
      </c>
      <c r="P70" s="32" t="s">
        <v>793</v>
      </c>
      <c r="Q70" s="31">
        <f>9400</f>
        <v>9400</v>
      </c>
      <c r="R70" s="32" t="s">
        <v>791</v>
      </c>
      <c r="S70" s="33">
        <f>9863.52</f>
        <v>9863.52</v>
      </c>
      <c r="T70" s="30">
        <f>33700</f>
        <v>33700</v>
      </c>
      <c r="U70" s="30">
        <f>10</f>
        <v>10</v>
      </c>
      <c r="V70" s="30">
        <f>329957270</f>
        <v>329957270</v>
      </c>
      <c r="W70" s="30">
        <f>88500</f>
        <v>88500</v>
      </c>
      <c r="X70" s="34">
        <f>21</f>
        <v>21</v>
      </c>
    </row>
    <row r="71" spans="1:24" ht="13.5" customHeight="1" x14ac:dyDescent="0.15">
      <c r="A71" s="25" t="s">
        <v>1182</v>
      </c>
      <c r="B71" s="25" t="s">
        <v>280</v>
      </c>
      <c r="C71" s="25" t="s">
        <v>281</v>
      </c>
      <c r="D71" s="25" t="s">
        <v>282</v>
      </c>
      <c r="E71" s="26" t="s">
        <v>45</v>
      </c>
      <c r="F71" s="27" t="s">
        <v>45</v>
      </c>
      <c r="G71" s="28" t="s">
        <v>45</v>
      </c>
      <c r="H71" s="29"/>
      <c r="I71" s="29" t="s">
        <v>46</v>
      </c>
      <c r="J71" s="30">
        <v>1</v>
      </c>
      <c r="K71" s="31">
        <f>1824</f>
        <v>1824</v>
      </c>
      <c r="L71" s="32" t="s">
        <v>999</v>
      </c>
      <c r="M71" s="31">
        <f>1826</f>
        <v>1826</v>
      </c>
      <c r="N71" s="32" t="s">
        <v>999</v>
      </c>
      <c r="O71" s="31">
        <f>1733</f>
        <v>1733</v>
      </c>
      <c r="P71" s="32" t="s">
        <v>80</v>
      </c>
      <c r="Q71" s="31">
        <f>1751</f>
        <v>1751</v>
      </c>
      <c r="R71" s="32" t="s">
        <v>791</v>
      </c>
      <c r="S71" s="33">
        <f>1774.24</f>
        <v>1774.24</v>
      </c>
      <c r="T71" s="30">
        <f>1738960</f>
        <v>1738960</v>
      </c>
      <c r="U71" s="30">
        <f>1087940</f>
        <v>1087940</v>
      </c>
      <c r="V71" s="30">
        <f>3104153392</f>
        <v>3104153392</v>
      </c>
      <c r="W71" s="30">
        <f>1952771148</f>
        <v>1952771148</v>
      </c>
      <c r="X71" s="34">
        <f>21</f>
        <v>21</v>
      </c>
    </row>
    <row r="72" spans="1:24" ht="13.5" customHeight="1" x14ac:dyDescent="0.15">
      <c r="A72" s="25" t="s">
        <v>1182</v>
      </c>
      <c r="B72" s="25" t="s">
        <v>283</v>
      </c>
      <c r="C72" s="25" t="s">
        <v>284</v>
      </c>
      <c r="D72" s="25" t="s">
        <v>285</v>
      </c>
      <c r="E72" s="26" t="s">
        <v>45</v>
      </c>
      <c r="F72" s="27" t="s">
        <v>45</v>
      </c>
      <c r="G72" s="28" t="s">
        <v>45</v>
      </c>
      <c r="H72" s="29"/>
      <c r="I72" s="29" t="s">
        <v>46</v>
      </c>
      <c r="J72" s="30">
        <v>1</v>
      </c>
      <c r="K72" s="31">
        <f>1859</f>
        <v>1859</v>
      </c>
      <c r="L72" s="32" t="s">
        <v>999</v>
      </c>
      <c r="M72" s="31">
        <f>1861</f>
        <v>1861</v>
      </c>
      <c r="N72" s="32" t="s">
        <v>999</v>
      </c>
      <c r="O72" s="31">
        <f>1781</f>
        <v>1781</v>
      </c>
      <c r="P72" s="32" t="s">
        <v>80</v>
      </c>
      <c r="Q72" s="31">
        <f>1790</f>
        <v>1790</v>
      </c>
      <c r="R72" s="32" t="s">
        <v>791</v>
      </c>
      <c r="S72" s="33">
        <f>1811.52</f>
        <v>1811.52</v>
      </c>
      <c r="T72" s="30">
        <f>696524</f>
        <v>696524</v>
      </c>
      <c r="U72" s="30" t="str">
        <f>"－"</f>
        <v>－</v>
      </c>
      <c r="V72" s="30">
        <f>1264372850</f>
        <v>1264372850</v>
      </c>
      <c r="W72" s="30" t="str">
        <f>"－"</f>
        <v>－</v>
      </c>
      <c r="X72" s="34">
        <f>21</f>
        <v>21</v>
      </c>
    </row>
    <row r="73" spans="1:24" ht="13.5" customHeight="1" x14ac:dyDescent="0.15">
      <c r="A73" s="25" t="s">
        <v>1182</v>
      </c>
      <c r="B73" s="25" t="s">
        <v>286</v>
      </c>
      <c r="C73" s="25" t="s">
        <v>287</v>
      </c>
      <c r="D73" s="25" t="s">
        <v>288</v>
      </c>
      <c r="E73" s="26" t="s">
        <v>45</v>
      </c>
      <c r="F73" s="27" t="s">
        <v>45</v>
      </c>
      <c r="G73" s="28" t="s">
        <v>45</v>
      </c>
      <c r="H73" s="29"/>
      <c r="I73" s="29" t="s">
        <v>46</v>
      </c>
      <c r="J73" s="30">
        <v>1</v>
      </c>
      <c r="K73" s="31">
        <f>18370</f>
        <v>18370</v>
      </c>
      <c r="L73" s="32" t="s">
        <v>999</v>
      </c>
      <c r="M73" s="31">
        <f>18445</f>
        <v>18445</v>
      </c>
      <c r="N73" s="32" t="s">
        <v>787</v>
      </c>
      <c r="O73" s="31">
        <f>17330</f>
        <v>17330</v>
      </c>
      <c r="P73" s="32" t="s">
        <v>793</v>
      </c>
      <c r="Q73" s="31">
        <f>17595</f>
        <v>17595</v>
      </c>
      <c r="R73" s="32" t="s">
        <v>791</v>
      </c>
      <c r="S73" s="33">
        <f>17851.67</f>
        <v>17851.669999999998</v>
      </c>
      <c r="T73" s="30">
        <f>18175</f>
        <v>18175</v>
      </c>
      <c r="U73" s="30">
        <f>6502</f>
        <v>6502</v>
      </c>
      <c r="V73" s="30">
        <f>321315420</f>
        <v>321315420</v>
      </c>
      <c r="W73" s="30">
        <f>114010800</f>
        <v>114010800</v>
      </c>
      <c r="X73" s="34">
        <f>21</f>
        <v>21</v>
      </c>
    </row>
    <row r="74" spans="1:24" ht="13.5" customHeight="1" x14ac:dyDescent="0.15">
      <c r="A74" s="25" t="s">
        <v>1182</v>
      </c>
      <c r="B74" s="25" t="s">
        <v>289</v>
      </c>
      <c r="C74" s="25" t="s">
        <v>290</v>
      </c>
      <c r="D74" s="25" t="s">
        <v>291</v>
      </c>
      <c r="E74" s="26" t="s">
        <v>45</v>
      </c>
      <c r="F74" s="27" t="s">
        <v>45</v>
      </c>
      <c r="G74" s="28" t="s">
        <v>45</v>
      </c>
      <c r="H74" s="29"/>
      <c r="I74" s="29" t="s">
        <v>46</v>
      </c>
      <c r="J74" s="30">
        <v>1</v>
      </c>
      <c r="K74" s="31">
        <f>9461</f>
        <v>9461</v>
      </c>
      <c r="L74" s="32" t="s">
        <v>999</v>
      </c>
      <c r="M74" s="31">
        <f>9659</f>
        <v>9659</v>
      </c>
      <c r="N74" s="32" t="s">
        <v>794</v>
      </c>
      <c r="O74" s="31">
        <f>9200</f>
        <v>9200</v>
      </c>
      <c r="P74" s="32" t="s">
        <v>78</v>
      </c>
      <c r="Q74" s="31">
        <f>9301</f>
        <v>9301</v>
      </c>
      <c r="R74" s="32" t="s">
        <v>791</v>
      </c>
      <c r="S74" s="33">
        <f>9408.57</f>
        <v>9408.57</v>
      </c>
      <c r="T74" s="30">
        <f>3694</f>
        <v>3694</v>
      </c>
      <c r="U74" s="30" t="str">
        <f>"－"</f>
        <v>－</v>
      </c>
      <c r="V74" s="30">
        <f>34606181</f>
        <v>34606181</v>
      </c>
      <c r="W74" s="30" t="str">
        <f>"－"</f>
        <v>－</v>
      </c>
      <c r="X74" s="34">
        <f>21</f>
        <v>21</v>
      </c>
    </row>
    <row r="75" spans="1:24" ht="13.5" customHeight="1" x14ac:dyDescent="0.15">
      <c r="A75" s="25" t="s">
        <v>1182</v>
      </c>
      <c r="B75" s="25" t="s">
        <v>292</v>
      </c>
      <c r="C75" s="25" t="s">
        <v>293</v>
      </c>
      <c r="D75" s="25" t="s">
        <v>294</v>
      </c>
      <c r="E75" s="26" t="s">
        <v>45</v>
      </c>
      <c r="F75" s="27" t="s">
        <v>45</v>
      </c>
      <c r="G75" s="28" t="s">
        <v>45</v>
      </c>
      <c r="H75" s="29"/>
      <c r="I75" s="29" t="s">
        <v>46</v>
      </c>
      <c r="J75" s="30">
        <v>1</v>
      </c>
      <c r="K75" s="31">
        <f>8414</f>
        <v>8414</v>
      </c>
      <c r="L75" s="32" t="s">
        <v>999</v>
      </c>
      <c r="M75" s="31">
        <f>9148</f>
        <v>9148</v>
      </c>
      <c r="N75" s="32" t="s">
        <v>893</v>
      </c>
      <c r="O75" s="31">
        <f>8240</f>
        <v>8240</v>
      </c>
      <c r="P75" s="32" t="s">
        <v>78</v>
      </c>
      <c r="Q75" s="31">
        <f>9103</f>
        <v>9103</v>
      </c>
      <c r="R75" s="32" t="s">
        <v>791</v>
      </c>
      <c r="S75" s="33">
        <f>8716.95</f>
        <v>8716.9500000000007</v>
      </c>
      <c r="T75" s="30">
        <f>3299613</f>
        <v>3299613</v>
      </c>
      <c r="U75" s="30">
        <f>117615</f>
        <v>117615</v>
      </c>
      <c r="V75" s="30">
        <f>28822041002</f>
        <v>28822041002</v>
      </c>
      <c r="W75" s="30">
        <f>1037690355</f>
        <v>1037690355</v>
      </c>
      <c r="X75" s="34">
        <f>21</f>
        <v>21</v>
      </c>
    </row>
    <row r="76" spans="1:24" ht="13.5" customHeight="1" x14ac:dyDescent="0.15">
      <c r="A76" s="25" t="s">
        <v>1182</v>
      </c>
      <c r="B76" s="25" t="s">
        <v>295</v>
      </c>
      <c r="C76" s="25" t="s">
        <v>296</v>
      </c>
      <c r="D76" s="25" t="s">
        <v>297</v>
      </c>
      <c r="E76" s="26" t="s">
        <v>45</v>
      </c>
      <c r="F76" s="27" t="s">
        <v>45</v>
      </c>
      <c r="G76" s="28" t="s">
        <v>45</v>
      </c>
      <c r="H76" s="29"/>
      <c r="I76" s="29" t="s">
        <v>46</v>
      </c>
      <c r="J76" s="30">
        <v>1</v>
      </c>
      <c r="K76" s="31">
        <f>4065</f>
        <v>4065</v>
      </c>
      <c r="L76" s="32" t="s">
        <v>999</v>
      </c>
      <c r="M76" s="31">
        <f>4105</f>
        <v>4105</v>
      </c>
      <c r="N76" s="32" t="s">
        <v>791</v>
      </c>
      <c r="O76" s="31">
        <f>3825</f>
        <v>3825</v>
      </c>
      <c r="P76" s="32" t="s">
        <v>78</v>
      </c>
      <c r="Q76" s="31">
        <f>4095</f>
        <v>4095</v>
      </c>
      <c r="R76" s="32" t="s">
        <v>791</v>
      </c>
      <c r="S76" s="33">
        <f>3967.86</f>
        <v>3967.86</v>
      </c>
      <c r="T76" s="30">
        <f>767382</f>
        <v>767382</v>
      </c>
      <c r="U76" s="30">
        <f>3</f>
        <v>3</v>
      </c>
      <c r="V76" s="30">
        <f>3043914610</f>
        <v>3043914610</v>
      </c>
      <c r="W76" s="30">
        <f>12010</f>
        <v>12010</v>
      </c>
      <c r="X76" s="34">
        <f>21</f>
        <v>21</v>
      </c>
    </row>
    <row r="77" spans="1:24" ht="13.5" customHeight="1" x14ac:dyDescent="0.15">
      <c r="A77" s="25" t="s">
        <v>1182</v>
      </c>
      <c r="B77" s="25" t="s">
        <v>298</v>
      </c>
      <c r="C77" s="25" t="s">
        <v>299</v>
      </c>
      <c r="D77" s="25" t="s">
        <v>300</v>
      </c>
      <c r="E77" s="26" t="s">
        <v>45</v>
      </c>
      <c r="F77" s="27" t="s">
        <v>45</v>
      </c>
      <c r="G77" s="28" t="s">
        <v>45</v>
      </c>
      <c r="H77" s="29"/>
      <c r="I77" s="29" t="s">
        <v>46</v>
      </c>
      <c r="J77" s="30">
        <v>1</v>
      </c>
      <c r="K77" s="31">
        <f>9682</f>
        <v>9682</v>
      </c>
      <c r="L77" s="32" t="s">
        <v>999</v>
      </c>
      <c r="M77" s="31">
        <f>10060</f>
        <v>10060</v>
      </c>
      <c r="N77" s="32" t="s">
        <v>894</v>
      </c>
      <c r="O77" s="31">
        <f>9125</f>
        <v>9125</v>
      </c>
      <c r="P77" s="32" t="s">
        <v>996</v>
      </c>
      <c r="Q77" s="31">
        <f>9997</f>
        <v>9997</v>
      </c>
      <c r="R77" s="32" t="s">
        <v>791</v>
      </c>
      <c r="S77" s="33">
        <f>9693.33</f>
        <v>9693.33</v>
      </c>
      <c r="T77" s="30">
        <f>180856</f>
        <v>180856</v>
      </c>
      <c r="U77" s="30">
        <f>124</f>
        <v>124</v>
      </c>
      <c r="V77" s="30">
        <f>1735576942</f>
        <v>1735576942</v>
      </c>
      <c r="W77" s="30">
        <f>1198737</f>
        <v>1198737</v>
      </c>
      <c r="X77" s="34">
        <f>21</f>
        <v>21</v>
      </c>
    </row>
    <row r="78" spans="1:24" ht="13.5" customHeight="1" x14ac:dyDescent="0.15">
      <c r="A78" s="25" t="s">
        <v>1182</v>
      </c>
      <c r="B78" s="25" t="s">
        <v>301</v>
      </c>
      <c r="C78" s="25" t="s">
        <v>302</v>
      </c>
      <c r="D78" s="25" t="s">
        <v>303</v>
      </c>
      <c r="E78" s="26" t="s">
        <v>45</v>
      </c>
      <c r="F78" s="27" t="s">
        <v>45</v>
      </c>
      <c r="G78" s="28" t="s">
        <v>45</v>
      </c>
      <c r="H78" s="29"/>
      <c r="I78" s="29" t="s">
        <v>46</v>
      </c>
      <c r="J78" s="30">
        <v>1</v>
      </c>
      <c r="K78" s="31">
        <f>55060</f>
        <v>55060</v>
      </c>
      <c r="L78" s="32" t="s">
        <v>999</v>
      </c>
      <c r="M78" s="31">
        <f>55380</f>
        <v>55380</v>
      </c>
      <c r="N78" s="32" t="s">
        <v>255</v>
      </c>
      <c r="O78" s="31">
        <f>49020</f>
        <v>49020</v>
      </c>
      <c r="P78" s="32" t="s">
        <v>894</v>
      </c>
      <c r="Q78" s="31">
        <f>51020</f>
        <v>51020</v>
      </c>
      <c r="R78" s="32" t="s">
        <v>791</v>
      </c>
      <c r="S78" s="33">
        <f>51459.05</f>
        <v>51459.05</v>
      </c>
      <c r="T78" s="30">
        <f>12935</f>
        <v>12935</v>
      </c>
      <c r="U78" s="30">
        <f>5</f>
        <v>5</v>
      </c>
      <c r="V78" s="30">
        <f>665447420</f>
        <v>665447420</v>
      </c>
      <c r="W78" s="30">
        <f>234120</f>
        <v>234120</v>
      </c>
      <c r="X78" s="34">
        <f>21</f>
        <v>21</v>
      </c>
    </row>
    <row r="79" spans="1:24" ht="13.5" customHeight="1" x14ac:dyDescent="0.15">
      <c r="A79" s="25" t="s">
        <v>1182</v>
      </c>
      <c r="B79" s="25" t="s">
        <v>304</v>
      </c>
      <c r="C79" s="25" t="s">
        <v>895</v>
      </c>
      <c r="D79" s="25" t="s">
        <v>896</v>
      </c>
      <c r="E79" s="26" t="s">
        <v>45</v>
      </c>
      <c r="F79" s="27" t="s">
        <v>45</v>
      </c>
      <c r="G79" s="28" t="s">
        <v>45</v>
      </c>
      <c r="H79" s="29"/>
      <c r="I79" s="29" t="s">
        <v>46</v>
      </c>
      <c r="J79" s="30">
        <v>1</v>
      </c>
      <c r="K79" s="31">
        <f>22405</f>
        <v>22405</v>
      </c>
      <c r="L79" s="32" t="s">
        <v>999</v>
      </c>
      <c r="M79" s="31">
        <f>23100</f>
        <v>23100</v>
      </c>
      <c r="N79" s="32" t="s">
        <v>787</v>
      </c>
      <c r="O79" s="31">
        <f>21570</f>
        <v>21570</v>
      </c>
      <c r="P79" s="32" t="s">
        <v>893</v>
      </c>
      <c r="Q79" s="31">
        <f>21665</f>
        <v>21665</v>
      </c>
      <c r="R79" s="32" t="s">
        <v>791</v>
      </c>
      <c r="S79" s="33">
        <f>22357.86</f>
        <v>22357.86</v>
      </c>
      <c r="T79" s="30">
        <f>994326</f>
        <v>994326</v>
      </c>
      <c r="U79" s="30">
        <f>17502</f>
        <v>17502</v>
      </c>
      <c r="V79" s="30">
        <f>22196423300</f>
        <v>22196423300</v>
      </c>
      <c r="W79" s="30">
        <f>391776575</f>
        <v>391776575</v>
      </c>
      <c r="X79" s="34">
        <f>21</f>
        <v>21</v>
      </c>
    </row>
    <row r="80" spans="1:24" ht="13.5" customHeight="1" x14ac:dyDescent="0.15">
      <c r="A80" s="25" t="s">
        <v>1182</v>
      </c>
      <c r="B80" s="25" t="s">
        <v>305</v>
      </c>
      <c r="C80" s="25" t="s">
        <v>897</v>
      </c>
      <c r="D80" s="25" t="s">
        <v>898</v>
      </c>
      <c r="E80" s="26" t="s">
        <v>45</v>
      </c>
      <c r="F80" s="27" t="s">
        <v>45</v>
      </c>
      <c r="G80" s="28" t="s">
        <v>45</v>
      </c>
      <c r="H80" s="29"/>
      <c r="I80" s="29" t="s">
        <v>46</v>
      </c>
      <c r="J80" s="30">
        <v>1</v>
      </c>
      <c r="K80" s="31">
        <f>48900</f>
        <v>48900</v>
      </c>
      <c r="L80" s="32" t="s">
        <v>999</v>
      </c>
      <c r="M80" s="31">
        <f>49430</f>
        <v>49430</v>
      </c>
      <c r="N80" s="32" t="s">
        <v>788</v>
      </c>
      <c r="O80" s="31">
        <f>47220</f>
        <v>47220</v>
      </c>
      <c r="P80" s="32" t="s">
        <v>893</v>
      </c>
      <c r="Q80" s="31">
        <f>48000</f>
        <v>48000</v>
      </c>
      <c r="R80" s="32" t="s">
        <v>791</v>
      </c>
      <c r="S80" s="33">
        <f>48469.05</f>
        <v>48469.05</v>
      </c>
      <c r="T80" s="30">
        <f>70368</f>
        <v>70368</v>
      </c>
      <c r="U80" s="30">
        <f>2100</f>
        <v>2100</v>
      </c>
      <c r="V80" s="30">
        <f>3411472232</f>
        <v>3411472232</v>
      </c>
      <c r="W80" s="30">
        <f>102012132</f>
        <v>102012132</v>
      </c>
      <c r="X80" s="34">
        <f>21</f>
        <v>21</v>
      </c>
    </row>
    <row r="81" spans="1:24" ht="13.5" customHeight="1" x14ac:dyDescent="0.15">
      <c r="A81" s="25" t="s">
        <v>1182</v>
      </c>
      <c r="B81" s="25" t="s">
        <v>306</v>
      </c>
      <c r="C81" s="25" t="s">
        <v>307</v>
      </c>
      <c r="D81" s="25" t="s">
        <v>308</v>
      </c>
      <c r="E81" s="26" t="s">
        <v>45</v>
      </c>
      <c r="F81" s="27" t="s">
        <v>45</v>
      </c>
      <c r="G81" s="28" t="s">
        <v>45</v>
      </c>
      <c r="H81" s="29"/>
      <c r="I81" s="29" t="s">
        <v>46</v>
      </c>
      <c r="J81" s="30">
        <v>10</v>
      </c>
      <c r="K81" s="31">
        <f>7044</f>
        <v>7044</v>
      </c>
      <c r="L81" s="32" t="s">
        <v>999</v>
      </c>
      <c r="M81" s="31">
        <f>7168</f>
        <v>7168</v>
      </c>
      <c r="N81" s="32" t="s">
        <v>787</v>
      </c>
      <c r="O81" s="31">
        <f>6758</f>
        <v>6758</v>
      </c>
      <c r="P81" s="32" t="s">
        <v>893</v>
      </c>
      <c r="Q81" s="31">
        <f>6822</f>
        <v>6822</v>
      </c>
      <c r="R81" s="32" t="s">
        <v>791</v>
      </c>
      <c r="S81" s="33">
        <f>6989.43</f>
        <v>6989.43</v>
      </c>
      <c r="T81" s="30">
        <f>1373280</f>
        <v>1373280</v>
      </c>
      <c r="U81" s="30">
        <f>143740</f>
        <v>143740</v>
      </c>
      <c r="V81" s="30">
        <f>9581243112</f>
        <v>9581243112</v>
      </c>
      <c r="W81" s="30">
        <f>1023916302</f>
        <v>1023916302</v>
      </c>
      <c r="X81" s="34">
        <f>21</f>
        <v>21</v>
      </c>
    </row>
    <row r="82" spans="1:24" ht="13.5" customHeight="1" x14ac:dyDescent="0.15">
      <c r="A82" s="25" t="s">
        <v>1182</v>
      </c>
      <c r="B82" s="25" t="s">
        <v>309</v>
      </c>
      <c r="C82" s="25" t="s">
        <v>310</v>
      </c>
      <c r="D82" s="25" t="s">
        <v>311</v>
      </c>
      <c r="E82" s="26" t="s">
        <v>45</v>
      </c>
      <c r="F82" s="27" t="s">
        <v>45</v>
      </c>
      <c r="G82" s="28" t="s">
        <v>45</v>
      </c>
      <c r="H82" s="29"/>
      <c r="I82" s="29" t="s">
        <v>46</v>
      </c>
      <c r="J82" s="30">
        <v>10</v>
      </c>
      <c r="K82" s="31">
        <f>4441</f>
        <v>4441</v>
      </c>
      <c r="L82" s="32" t="s">
        <v>999</v>
      </c>
      <c r="M82" s="31">
        <f>4515</f>
        <v>4515</v>
      </c>
      <c r="N82" s="32" t="s">
        <v>787</v>
      </c>
      <c r="O82" s="31">
        <f>4258</f>
        <v>4258</v>
      </c>
      <c r="P82" s="32" t="s">
        <v>893</v>
      </c>
      <c r="Q82" s="31">
        <f>4284</f>
        <v>4284</v>
      </c>
      <c r="R82" s="32" t="s">
        <v>791</v>
      </c>
      <c r="S82" s="33">
        <f>4396.57</f>
        <v>4396.57</v>
      </c>
      <c r="T82" s="30">
        <f>78470</f>
        <v>78470</v>
      </c>
      <c r="U82" s="30" t="str">
        <f>"－"</f>
        <v>－</v>
      </c>
      <c r="V82" s="30">
        <f>345046980</f>
        <v>345046980</v>
      </c>
      <c r="W82" s="30" t="str">
        <f>"－"</f>
        <v>－</v>
      </c>
      <c r="X82" s="34">
        <f>21</f>
        <v>21</v>
      </c>
    </row>
    <row r="83" spans="1:24" ht="13.5" customHeight="1" x14ac:dyDescent="0.15">
      <c r="A83" s="25" t="s">
        <v>1182</v>
      </c>
      <c r="B83" s="25" t="s">
        <v>312</v>
      </c>
      <c r="C83" s="25" t="s">
        <v>970</v>
      </c>
      <c r="D83" s="25" t="s">
        <v>971</v>
      </c>
      <c r="E83" s="26" t="s">
        <v>45</v>
      </c>
      <c r="F83" s="27" t="s">
        <v>45</v>
      </c>
      <c r="G83" s="28" t="s">
        <v>45</v>
      </c>
      <c r="H83" s="29"/>
      <c r="I83" s="29" t="s">
        <v>46</v>
      </c>
      <c r="J83" s="30">
        <v>10</v>
      </c>
      <c r="K83" s="31">
        <f>4570</f>
        <v>4570</v>
      </c>
      <c r="L83" s="32" t="s">
        <v>999</v>
      </c>
      <c r="M83" s="31">
        <f>4628</f>
        <v>4628</v>
      </c>
      <c r="N83" s="32" t="s">
        <v>999</v>
      </c>
      <c r="O83" s="31">
        <f>4294</f>
        <v>4294</v>
      </c>
      <c r="P83" s="32" t="s">
        <v>255</v>
      </c>
      <c r="Q83" s="31">
        <f>4374</f>
        <v>4374</v>
      </c>
      <c r="R83" s="32" t="s">
        <v>791</v>
      </c>
      <c r="S83" s="33">
        <f>4387.55</f>
        <v>4387.55</v>
      </c>
      <c r="T83" s="30">
        <f>1710</f>
        <v>1710</v>
      </c>
      <c r="U83" s="30" t="str">
        <f>"－"</f>
        <v>－</v>
      </c>
      <c r="V83" s="30">
        <f>7526000</f>
        <v>7526000</v>
      </c>
      <c r="W83" s="30" t="str">
        <f>"－"</f>
        <v>－</v>
      </c>
      <c r="X83" s="34">
        <f>20</f>
        <v>20</v>
      </c>
    </row>
    <row r="84" spans="1:24" ht="13.5" customHeight="1" x14ac:dyDescent="0.15">
      <c r="A84" s="25" t="s">
        <v>1182</v>
      </c>
      <c r="B84" s="25" t="s">
        <v>313</v>
      </c>
      <c r="C84" s="25" t="s">
        <v>314</v>
      </c>
      <c r="D84" s="25" t="s">
        <v>315</v>
      </c>
      <c r="E84" s="26" t="s">
        <v>45</v>
      </c>
      <c r="F84" s="27" t="s">
        <v>45</v>
      </c>
      <c r="G84" s="28" t="s">
        <v>45</v>
      </c>
      <c r="H84" s="29" t="s">
        <v>316</v>
      </c>
      <c r="I84" s="29" t="s">
        <v>46</v>
      </c>
      <c r="J84" s="30">
        <v>1</v>
      </c>
      <c r="K84" s="31">
        <f>669</f>
        <v>669</v>
      </c>
      <c r="L84" s="32" t="s">
        <v>999</v>
      </c>
      <c r="M84" s="31">
        <f>796</f>
        <v>796</v>
      </c>
      <c r="N84" s="32" t="s">
        <v>786</v>
      </c>
      <c r="O84" s="31">
        <f>643</f>
        <v>643</v>
      </c>
      <c r="P84" s="32" t="s">
        <v>787</v>
      </c>
      <c r="Q84" s="31">
        <f>751</f>
        <v>751</v>
      </c>
      <c r="R84" s="32" t="s">
        <v>791</v>
      </c>
      <c r="S84" s="33">
        <f>726</f>
        <v>726</v>
      </c>
      <c r="T84" s="30">
        <f>59764487</f>
        <v>59764487</v>
      </c>
      <c r="U84" s="30">
        <f>332769</f>
        <v>332769</v>
      </c>
      <c r="V84" s="30">
        <f>43898863892</f>
        <v>43898863892</v>
      </c>
      <c r="W84" s="30">
        <f>242845241</f>
        <v>242845241</v>
      </c>
      <c r="X84" s="34">
        <f>21</f>
        <v>21</v>
      </c>
    </row>
    <row r="85" spans="1:24" ht="13.5" customHeight="1" x14ac:dyDescent="0.15">
      <c r="A85" s="25" t="s">
        <v>1182</v>
      </c>
      <c r="B85" s="25" t="s">
        <v>317</v>
      </c>
      <c r="C85" s="25" t="s">
        <v>318</v>
      </c>
      <c r="D85" s="25" t="s">
        <v>319</v>
      </c>
      <c r="E85" s="26" t="s">
        <v>45</v>
      </c>
      <c r="F85" s="27" t="s">
        <v>45</v>
      </c>
      <c r="G85" s="28" t="s">
        <v>45</v>
      </c>
      <c r="H85" s="29"/>
      <c r="I85" s="29" t="s">
        <v>46</v>
      </c>
      <c r="J85" s="30">
        <v>10</v>
      </c>
      <c r="K85" s="31">
        <f>3720</f>
        <v>3720</v>
      </c>
      <c r="L85" s="32" t="s">
        <v>999</v>
      </c>
      <c r="M85" s="31">
        <f>3775</f>
        <v>3775</v>
      </c>
      <c r="N85" s="32" t="s">
        <v>787</v>
      </c>
      <c r="O85" s="31">
        <f>3557</f>
        <v>3557</v>
      </c>
      <c r="P85" s="32" t="s">
        <v>893</v>
      </c>
      <c r="Q85" s="31">
        <f>3591</f>
        <v>3591</v>
      </c>
      <c r="R85" s="32" t="s">
        <v>791</v>
      </c>
      <c r="S85" s="33">
        <f>3674.57</f>
        <v>3674.57</v>
      </c>
      <c r="T85" s="30">
        <f>54760</f>
        <v>54760</v>
      </c>
      <c r="U85" s="30" t="str">
        <f>"－"</f>
        <v>－</v>
      </c>
      <c r="V85" s="30">
        <f>200333100</f>
        <v>200333100</v>
      </c>
      <c r="W85" s="30" t="str">
        <f>"－"</f>
        <v>－</v>
      </c>
      <c r="X85" s="34">
        <f>21</f>
        <v>21</v>
      </c>
    </row>
    <row r="86" spans="1:24" ht="13.5" customHeight="1" x14ac:dyDescent="0.15">
      <c r="A86" s="25" t="s">
        <v>1182</v>
      </c>
      <c r="B86" s="25" t="s">
        <v>320</v>
      </c>
      <c r="C86" s="25" t="s">
        <v>1118</v>
      </c>
      <c r="D86" s="25" t="s">
        <v>322</v>
      </c>
      <c r="E86" s="26" t="s">
        <v>45</v>
      </c>
      <c r="F86" s="27" t="s">
        <v>45</v>
      </c>
      <c r="G86" s="28" t="s">
        <v>45</v>
      </c>
      <c r="H86" s="29"/>
      <c r="I86" s="29" t="s">
        <v>46</v>
      </c>
      <c r="J86" s="30">
        <v>10</v>
      </c>
      <c r="K86" s="31">
        <f>1700</f>
        <v>1700</v>
      </c>
      <c r="L86" s="32" t="s">
        <v>999</v>
      </c>
      <c r="M86" s="31">
        <f>1707</f>
        <v>1707</v>
      </c>
      <c r="N86" s="32" t="s">
        <v>787</v>
      </c>
      <c r="O86" s="31">
        <f>1533</f>
        <v>1533</v>
      </c>
      <c r="P86" s="32" t="s">
        <v>893</v>
      </c>
      <c r="Q86" s="31">
        <f>1564</f>
        <v>1564</v>
      </c>
      <c r="R86" s="32" t="s">
        <v>791</v>
      </c>
      <c r="S86" s="33">
        <f>1628.62</f>
        <v>1628.62</v>
      </c>
      <c r="T86" s="30">
        <f>215810</f>
        <v>215810</v>
      </c>
      <c r="U86" s="30">
        <f>70</f>
        <v>70</v>
      </c>
      <c r="V86" s="30">
        <f>348587380</f>
        <v>348587380</v>
      </c>
      <c r="W86" s="30">
        <f>101570</f>
        <v>101570</v>
      </c>
      <c r="X86" s="34">
        <f>21</f>
        <v>21</v>
      </c>
    </row>
    <row r="87" spans="1:24" ht="13.5" customHeight="1" x14ac:dyDescent="0.15">
      <c r="A87" s="25" t="s">
        <v>1182</v>
      </c>
      <c r="B87" s="25" t="s">
        <v>323</v>
      </c>
      <c r="C87" s="25" t="s">
        <v>324</v>
      </c>
      <c r="D87" s="25" t="s">
        <v>325</v>
      </c>
      <c r="E87" s="26" t="s">
        <v>45</v>
      </c>
      <c r="F87" s="27" t="s">
        <v>45</v>
      </c>
      <c r="G87" s="28" t="s">
        <v>45</v>
      </c>
      <c r="H87" s="29"/>
      <c r="I87" s="29" t="s">
        <v>46</v>
      </c>
      <c r="J87" s="30">
        <v>1</v>
      </c>
      <c r="K87" s="31">
        <f>64210</f>
        <v>64210</v>
      </c>
      <c r="L87" s="32" t="s">
        <v>999</v>
      </c>
      <c r="M87" s="31">
        <f>65330</f>
        <v>65330</v>
      </c>
      <c r="N87" s="32" t="s">
        <v>787</v>
      </c>
      <c r="O87" s="31">
        <f>61630</f>
        <v>61630</v>
      </c>
      <c r="P87" s="32" t="s">
        <v>893</v>
      </c>
      <c r="Q87" s="31">
        <f>62210</f>
        <v>62210</v>
      </c>
      <c r="R87" s="32" t="s">
        <v>791</v>
      </c>
      <c r="S87" s="33">
        <f>63719.05</f>
        <v>63719.05</v>
      </c>
      <c r="T87" s="30">
        <f>76237</f>
        <v>76237</v>
      </c>
      <c r="U87" s="30" t="str">
        <f>"－"</f>
        <v>－</v>
      </c>
      <c r="V87" s="30">
        <f>4848144060</f>
        <v>4848144060</v>
      </c>
      <c r="W87" s="30" t="str">
        <f>"－"</f>
        <v>－</v>
      </c>
      <c r="X87" s="34">
        <f>21</f>
        <v>21</v>
      </c>
    </row>
    <row r="88" spans="1:24" ht="13.5" customHeight="1" x14ac:dyDescent="0.15">
      <c r="A88" s="25" t="s">
        <v>1182</v>
      </c>
      <c r="B88" s="25" t="s">
        <v>326</v>
      </c>
      <c r="C88" s="25" t="s">
        <v>327</v>
      </c>
      <c r="D88" s="25" t="s">
        <v>328</v>
      </c>
      <c r="E88" s="26" t="s">
        <v>45</v>
      </c>
      <c r="F88" s="27" t="s">
        <v>45</v>
      </c>
      <c r="G88" s="28" t="s">
        <v>45</v>
      </c>
      <c r="H88" s="29"/>
      <c r="I88" s="29" t="s">
        <v>46</v>
      </c>
      <c r="J88" s="30">
        <v>1</v>
      </c>
      <c r="K88" s="31">
        <f>3365</f>
        <v>3365</v>
      </c>
      <c r="L88" s="32" t="s">
        <v>999</v>
      </c>
      <c r="M88" s="31">
        <f>3400</f>
        <v>3400</v>
      </c>
      <c r="N88" s="32" t="s">
        <v>999</v>
      </c>
      <c r="O88" s="31">
        <f>3240</f>
        <v>3240</v>
      </c>
      <c r="P88" s="32" t="s">
        <v>791</v>
      </c>
      <c r="Q88" s="31">
        <f>3295</f>
        <v>3295</v>
      </c>
      <c r="R88" s="32" t="s">
        <v>791</v>
      </c>
      <c r="S88" s="33">
        <f>3315.48</f>
        <v>3315.48</v>
      </c>
      <c r="T88" s="30">
        <f>8624</f>
        <v>8624</v>
      </c>
      <c r="U88" s="30" t="str">
        <f>"－"</f>
        <v>－</v>
      </c>
      <c r="V88" s="30">
        <f>28559615</f>
        <v>28559615</v>
      </c>
      <c r="W88" s="30" t="str">
        <f>"－"</f>
        <v>－</v>
      </c>
      <c r="X88" s="34">
        <f>21</f>
        <v>21</v>
      </c>
    </row>
    <row r="89" spans="1:24" ht="13.5" customHeight="1" x14ac:dyDescent="0.15">
      <c r="A89" s="25" t="s">
        <v>1182</v>
      </c>
      <c r="B89" s="25" t="s">
        <v>329</v>
      </c>
      <c r="C89" s="25" t="s">
        <v>330</v>
      </c>
      <c r="D89" s="25" t="s">
        <v>331</v>
      </c>
      <c r="E89" s="26" t="s">
        <v>45</v>
      </c>
      <c r="F89" s="27" t="s">
        <v>45</v>
      </c>
      <c r="G89" s="28" t="s">
        <v>45</v>
      </c>
      <c r="H89" s="29"/>
      <c r="I89" s="29" t="s">
        <v>46</v>
      </c>
      <c r="J89" s="30">
        <v>1</v>
      </c>
      <c r="K89" s="31">
        <f>4420</f>
        <v>4420</v>
      </c>
      <c r="L89" s="32" t="s">
        <v>999</v>
      </c>
      <c r="M89" s="31">
        <f>4440</f>
        <v>4440</v>
      </c>
      <c r="N89" s="32" t="s">
        <v>999</v>
      </c>
      <c r="O89" s="31">
        <f>4310</f>
        <v>4310</v>
      </c>
      <c r="P89" s="32" t="s">
        <v>786</v>
      </c>
      <c r="Q89" s="31">
        <f>4385</f>
        <v>4385</v>
      </c>
      <c r="R89" s="32" t="s">
        <v>791</v>
      </c>
      <c r="S89" s="33">
        <f>4395.48</f>
        <v>4395.4799999999996</v>
      </c>
      <c r="T89" s="30">
        <f>2298</f>
        <v>2298</v>
      </c>
      <c r="U89" s="30" t="str">
        <f>"－"</f>
        <v>－</v>
      </c>
      <c r="V89" s="30">
        <f>10063140</f>
        <v>10063140</v>
      </c>
      <c r="W89" s="30" t="str">
        <f>"－"</f>
        <v>－</v>
      </c>
      <c r="X89" s="34">
        <f>21</f>
        <v>21</v>
      </c>
    </row>
    <row r="90" spans="1:24" ht="13.5" customHeight="1" x14ac:dyDescent="0.15">
      <c r="A90" s="25" t="s">
        <v>1182</v>
      </c>
      <c r="B90" s="25" t="s">
        <v>332</v>
      </c>
      <c r="C90" s="25" t="s">
        <v>972</v>
      </c>
      <c r="D90" s="25" t="s">
        <v>973</v>
      </c>
      <c r="E90" s="26" t="s">
        <v>45</v>
      </c>
      <c r="F90" s="27" t="s">
        <v>45</v>
      </c>
      <c r="G90" s="28" t="s">
        <v>45</v>
      </c>
      <c r="H90" s="29"/>
      <c r="I90" s="29" t="s">
        <v>46</v>
      </c>
      <c r="J90" s="30">
        <v>1</v>
      </c>
      <c r="K90" s="31">
        <f>2593</f>
        <v>2593</v>
      </c>
      <c r="L90" s="32" t="s">
        <v>999</v>
      </c>
      <c r="M90" s="31">
        <f>2599</f>
        <v>2599</v>
      </c>
      <c r="N90" s="32" t="s">
        <v>999</v>
      </c>
      <c r="O90" s="31">
        <f>2078</f>
        <v>2078</v>
      </c>
      <c r="P90" s="32" t="s">
        <v>793</v>
      </c>
      <c r="Q90" s="31">
        <f>2226</f>
        <v>2226</v>
      </c>
      <c r="R90" s="32" t="s">
        <v>791</v>
      </c>
      <c r="S90" s="33">
        <f>2320.95</f>
        <v>2320.9499999999998</v>
      </c>
      <c r="T90" s="30">
        <f>2898280</f>
        <v>2898280</v>
      </c>
      <c r="U90" s="30">
        <f>94052</f>
        <v>94052</v>
      </c>
      <c r="V90" s="30">
        <f>6507642266</f>
        <v>6507642266</v>
      </c>
      <c r="W90" s="30">
        <f>211880089</f>
        <v>211880089</v>
      </c>
      <c r="X90" s="34">
        <f>21</f>
        <v>21</v>
      </c>
    </row>
    <row r="91" spans="1:24" ht="13.5" customHeight="1" x14ac:dyDescent="0.15">
      <c r="A91" s="25" t="s">
        <v>1182</v>
      </c>
      <c r="B91" s="25" t="s">
        <v>333</v>
      </c>
      <c r="C91" s="25" t="s">
        <v>334</v>
      </c>
      <c r="D91" s="25" t="s">
        <v>335</v>
      </c>
      <c r="E91" s="26" t="s">
        <v>45</v>
      </c>
      <c r="F91" s="27" t="s">
        <v>45</v>
      </c>
      <c r="G91" s="28" t="s">
        <v>45</v>
      </c>
      <c r="H91" s="29"/>
      <c r="I91" s="29" t="s">
        <v>46</v>
      </c>
      <c r="J91" s="30">
        <v>1</v>
      </c>
      <c r="K91" s="31">
        <f>46950</f>
        <v>46950</v>
      </c>
      <c r="L91" s="32" t="s">
        <v>999</v>
      </c>
      <c r="M91" s="31">
        <f>46950</f>
        <v>46950</v>
      </c>
      <c r="N91" s="32" t="s">
        <v>999</v>
      </c>
      <c r="O91" s="31">
        <f>45760</f>
        <v>45760</v>
      </c>
      <c r="P91" s="32" t="s">
        <v>78</v>
      </c>
      <c r="Q91" s="31">
        <f>46560</f>
        <v>46560</v>
      </c>
      <c r="R91" s="32" t="s">
        <v>791</v>
      </c>
      <c r="S91" s="33">
        <f>46362.86</f>
        <v>46362.86</v>
      </c>
      <c r="T91" s="30">
        <f>7217</f>
        <v>7217</v>
      </c>
      <c r="U91" s="30">
        <f>646</f>
        <v>646</v>
      </c>
      <c r="V91" s="30">
        <f>334541505</f>
        <v>334541505</v>
      </c>
      <c r="W91" s="30">
        <f>29948875</f>
        <v>29948875</v>
      </c>
      <c r="X91" s="34">
        <f>21</f>
        <v>21</v>
      </c>
    </row>
    <row r="92" spans="1:24" ht="13.5" customHeight="1" x14ac:dyDescent="0.15">
      <c r="A92" s="25" t="s">
        <v>1182</v>
      </c>
      <c r="B92" s="25" t="s">
        <v>336</v>
      </c>
      <c r="C92" s="25" t="s">
        <v>337</v>
      </c>
      <c r="D92" s="25" t="s">
        <v>338</v>
      </c>
      <c r="E92" s="26" t="s">
        <v>45</v>
      </c>
      <c r="F92" s="27" t="s">
        <v>45</v>
      </c>
      <c r="G92" s="28" t="s">
        <v>45</v>
      </c>
      <c r="H92" s="29"/>
      <c r="I92" s="29" t="s">
        <v>46</v>
      </c>
      <c r="J92" s="30">
        <v>10</v>
      </c>
      <c r="K92" s="31">
        <f>35790</f>
        <v>35790</v>
      </c>
      <c r="L92" s="32" t="s">
        <v>999</v>
      </c>
      <c r="M92" s="31">
        <f>36400</f>
        <v>36400</v>
      </c>
      <c r="N92" s="32" t="s">
        <v>999</v>
      </c>
      <c r="O92" s="31">
        <f>31500</f>
        <v>31500</v>
      </c>
      <c r="P92" s="32" t="s">
        <v>793</v>
      </c>
      <c r="Q92" s="31">
        <f>33170</f>
        <v>33170</v>
      </c>
      <c r="R92" s="32" t="s">
        <v>791</v>
      </c>
      <c r="S92" s="33">
        <f>33712.86</f>
        <v>33712.86</v>
      </c>
      <c r="T92" s="30">
        <f>1450750</f>
        <v>1450750</v>
      </c>
      <c r="U92" s="30">
        <f>430</f>
        <v>430</v>
      </c>
      <c r="V92" s="30">
        <f>48740954000</f>
        <v>48740954000</v>
      </c>
      <c r="W92" s="30">
        <f>14183200</f>
        <v>14183200</v>
      </c>
      <c r="X92" s="34">
        <f>21</f>
        <v>21</v>
      </c>
    </row>
    <row r="93" spans="1:24" ht="13.5" customHeight="1" x14ac:dyDescent="0.15">
      <c r="A93" s="25" t="s">
        <v>1182</v>
      </c>
      <c r="B93" s="25" t="s">
        <v>339</v>
      </c>
      <c r="C93" s="25" t="s">
        <v>340</v>
      </c>
      <c r="D93" s="25" t="s">
        <v>341</v>
      </c>
      <c r="E93" s="26" t="s">
        <v>45</v>
      </c>
      <c r="F93" s="27" t="s">
        <v>45</v>
      </c>
      <c r="G93" s="28" t="s">
        <v>45</v>
      </c>
      <c r="H93" s="29"/>
      <c r="I93" s="29" t="s">
        <v>46</v>
      </c>
      <c r="J93" s="30">
        <v>10</v>
      </c>
      <c r="K93" s="31">
        <f>1606</f>
        <v>1606</v>
      </c>
      <c r="L93" s="32" t="s">
        <v>999</v>
      </c>
      <c r="M93" s="31">
        <f>1701</f>
        <v>1701</v>
      </c>
      <c r="N93" s="32" t="s">
        <v>793</v>
      </c>
      <c r="O93" s="31">
        <f>1592</f>
        <v>1592</v>
      </c>
      <c r="P93" s="32" t="s">
        <v>999</v>
      </c>
      <c r="Q93" s="31">
        <f>1656</f>
        <v>1656</v>
      </c>
      <c r="R93" s="32" t="s">
        <v>791</v>
      </c>
      <c r="S93" s="33">
        <f>1647.83</f>
        <v>1647.83</v>
      </c>
      <c r="T93" s="30">
        <f>900770</f>
        <v>900770</v>
      </c>
      <c r="U93" s="30" t="str">
        <f>"－"</f>
        <v>－</v>
      </c>
      <c r="V93" s="30">
        <f>1482859185</f>
        <v>1482859185</v>
      </c>
      <c r="W93" s="30" t="str">
        <f>"－"</f>
        <v>－</v>
      </c>
      <c r="X93" s="34">
        <f>21</f>
        <v>21</v>
      </c>
    </row>
    <row r="94" spans="1:24" ht="13.5" customHeight="1" x14ac:dyDescent="0.15">
      <c r="A94" s="25" t="s">
        <v>1182</v>
      </c>
      <c r="B94" s="25" t="s">
        <v>342</v>
      </c>
      <c r="C94" s="25" t="s">
        <v>343</v>
      </c>
      <c r="D94" s="25" t="s">
        <v>344</v>
      </c>
      <c r="E94" s="26" t="s">
        <v>45</v>
      </c>
      <c r="F94" s="27" t="s">
        <v>45</v>
      </c>
      <c r="G94" s="28" t="s">
        <v>45</v>
      </c>
      <c r="H94" s="29"/>
      <c r="I94" s="29" t="s">
        <v>46</v>
      </c>
      <c r="J94" s="30">
        <v>1</v>
      </c>
      <c r="K94" s="31">
        <f>19600</f>
        <v>19600</v>
      </c>
      <c r="L94" s="32" t="s">
        <v>999</v>
      </c>
      <c r="M94" s="31">
        <f>20045</f>
        <v>20045</v>
      </c>
      <c r="N94" s="32" t="s">
        <v>56</v>
      </c>
      <c r="O94" s="31">
        <f>17630</f>
        <v>17630</v>
      </c>
      <c r="P94" s="32" t="s">
        <v>893</v>
      </c>
      <c r="Q94" s="31">
        <f>18030</f>
        <v>18030</v>
      </c>
      <c r="R94" s="32" t="s">
        <v>791</v>
      </c>
      <c r="S94" s="33">
        <f>18669.29</f>
        <v>18669.29</v>
      </c>
      <c r="T94" s="30">
        <f>137489123</f>
        <v>137489123</v>
      </c>
      <c r="U94" s="30">
        <f>83396</f>
        <v>83396</v>
      </c>
      <c r="V94" s="30">
        <f>2563024732149</f>
        <v>2563024732149</v>
      </c>
      <c r="W94" s="30">
        <f>1561309339</f>
        <v>1561309339</v>
      </c>
      <c r="X94" s="34">
        <f>21</f>
        <v>21</v>
      </c>
    </row>
    <row r="95" spans="1:24" ht="13.5" customHeight="1" x14ac:dyDescent="0.15">
      <c r="A95" s="25" t="s">
        <v>1182</v>
      </c>
      <c r="B95" s="25" t="s">
        <v>345</v>
      </c>
      <c r="C95" s="25" t="s">
        <v>346</v>
      </c>
      <c r="D95" s="25" t="s">
        <v>347</v>
      </c>
      <c r="E95" s="26" t="s">
        <v>45</v>
      </c>
      <c r="F95" s="27" t="s">
        <v>45</v>
      </c>
      <c r="G95" s="28" t="s">
        <v>45</v>
      </c>
      <c r="H95" s="29"/>
      <c r="I95" s="29" t="s">
        <v>46</v>
      </c>
      <c r="J95" s="30">
        <v>1</v>
      </c>
      <c r="K95" s="31">
        <f>784</f>
        <v>784</v>
      </c>
      <c r="L95" s="32" t="s">
        <v>999</v>
      </c>
      <c r="M95" s="31">
        <f>825</f>
        <v>825</v>
      </c>
      <c r="N95" s="32" t="s">
        <v>785</v>
      </c>
      <c r="O95" s="31">
        <f>772</f>
        <v>772</v>
      </c>
      <c r="P95" s="32" t="s">
        <v>787</v>
      </c>
      <c r="Q95" s="31">
        <f>811</f>
        <v>811</v>
      </c>
      <c r="R95" s="32" t="s">
        <v>791</v>
      </c>
      <c r="S95" s="33">
        <f>799.95</f>
        <v>799.95</v>
      </c>
      <c r="T95" s="30">
        <f>40293920</f>
        <v>40293920</v>
      </c>
      <c r="U95" s="30">
        <f>1276601</f>
        <v>1276601</v>
      </c>
      <c r="V95" s="30">
        <f>32382383043</f>
        <v>32382383043</v>
      </c>
      <c r="W95" s="30">
        <f>1032916327</f>
        <v>1032916327</v>
      </c>
      <c r="X95" s="34">
        <f>21</f>
        <v>21</v>
      </c>
    </row>
    <row r="96" spans="1:24" ht="13.5" customHeight="1" x14ac:dyDescent="0.15">
      <c r="A96" s="25" t="s">
        <v>1182</v>
      </c>
      <c r="B96" s="25" t="s">
        <v>348</v>
      </c>
      <c r="C96" s="25" t="s">
        <v>349</v>
      </c>
      <c r="D96" s="25" t="s">
        <v>350</v>
      </c>
      <c r="E96" s="26" t="s">
        <v>45</v>
      </c>
      <c r="F96" s="27" t="s">
        <v>45</v>
      </c>
      <c r="G96" s="28" t="s">
        <v>45</v>
      </c>
      <c r="H96" s="29"/>
      <c r="I96" s="29" t="s">
        <v>46</v>
      </c>
      <c r="J96" s="30">
        <v>10</v>
      </c>
      <c r="K96" s="31">
        <f>4289</f>
        <v>4289</v>
      </c>
      <c r="L96" s="32" t="s">
        <v>999</v>
      </c>
      <c r="M96" s="31">
        <f>4446</f>
        <v>4446</v>
      </c>
      <c r="N96" s="32" t="s">
        <v>787</v>
      </c>
      <c r="O96" s="31">
        <f>3766</f>
        <v>3766</v>
      </c>
      <c r="P96" s="32" t="s">
        <v>793</v>
      </c>
      <c r="Q96" s="31">
        <f>3887</f>
        <v>3887</v>
      </c>
      <c r="R96" s="32" t="s">
        <v>791</v>
      </c>
      <c r="S96" s="33">
        <f>4036.76</f>
        <v>4036.76</v>
      </c>
      <c r="T96" s="30">
        <f>230430</f>
        <v>230430</v>
      </c>
      <c r="U96" s="30" t="str">
        <f>"－"</f>
        <v>－</v>
      </c>
      <c r="V96" s="30">
        <f>926810880</f>
        <v>926810880</v>
      </c>
      <c r="W96" s="30" t="str">
        <f>"－"</f>
        <v>－</v>
      </c>
      <c r="X96" s="34">
        <f>21</f>
        <v>21</v>
      </c>
    </row>
    <row r="97" spans="1:24" ht="13.5" customHeight="1" x14ac:dyDescent="0.15">
      <c r="A97" s="25" t="s">
        <v>1182</v>
      </c>
      <c r="B97" s="25" t="s">
        <v>351</v>
      </c>
      <c r="C97" s="25" t="s">
        <v>352</v>
      </c>
      <c r="D97" s="25" t="s">
        <v>353</v>
      </c>
      <c r="E97" s="26" t="s">
        <v>45</v>
      </c>
      <c r="F97" s="27" t="s">
        <v>45</v>
      </c>
      <c r="G97" s="28" t="s">
        <v>45</v>
      </c>
      <c r="H97" s="29"/>
      <c r="I97" s="29" t="s">
        <v>46</v>
      </c>
      <c r="J97" s="30">
        <v>10</v>
      </c>
      <c r="K97" s="31">
        <f>12110</f>
        <v>12110</v>
      </c>
      <c r="L97" s="32" t="s">
        <v>999</v>
      </c>
      <c r="M97" s="31">
        <f>12880</f>
        <v>12880</v>
      </c>
      <c r="N97" s="32" t="s">
        <v>786</v>
      </c>
      <c r="O97" s="31">
        <f>11680</f>
        <v>11680</v>
      </c>
      <c r="P97" s="32" t="s">
        <v>787</v>
      </c>
      <c r="Q97" s="31">
        <f>12710</f>
        <v>12710</v>
      </c>
      <c r="R97" s="32" t="s">
        <v>791</v>
      </c>
      <c r="S97" s="33">
        <f>12448.1</f>
        <v>12448.1</v>
      </c>
      <c r="T97" s="30">
        <f>63240</f>
        <v>63240</v>
      </c>
      <c r="U97" s="30" t="str">
        <f>"－"</f>
        <v>－</v>
      </c>
      <c r="V97" s="30">
        <f>785281700</f>
        <v>785281700</v>
      </c>
      <c r="W97" s="30" t="str">
        <f>"－"</f>
        <v>－</v>
      </c>
      <c r="X97" s="34">
        <f>21</f>
        <v>21</v>
      </c>
    </row>
    <row r="98" spans="1:24" ht="13.5" customHeight="1" x14ac:dyDescent="0.15">
      <c r="A98" s="25" t="s">
        <v>1182</v>
      </c>
      <c r="B98" s="25" t="s">
        <v>354</v>
      </c>
      <c r="C98" s="25" t="s">
        <v>355</v>
      </c>
      <c r="D98" s="25" t="s">
        <v>1119</v>
      </c>
      <c r="E98" s="26" t="s">
        <v>45</v>
      </c>
      <c r="F98" s="27" t="s">
        <v>45</v>
      </c>
      <c r="G98" s="28" t="s">
        <v>45</v>
      </c>
      <c r="H98" s="29"/>
      <c r="I98" s="29" t="s">
        <v>46</v>
      </c>
      <c r="J98" s="30">
        <v>1</v>
      </c>
      <c r="K98" s="31">
        <f>32810</f>
        <v>32810</v>
      </c>
      <c r="L98" s="32" t="s">
        <v>999</v>
      </c>
      <c r="M98" s="31">
        <f>32880</f>
        <v>32880</v>
      </c>
      <c r="N98" s="32" t="s">
        <v>999</v>
      </c>
      <c r="O98" s="31">
        <f>30330</f>
        <v>30330</v>
      </c>
      <c r="P98" s="32" t="s">
        <v>793</v>
      </c>
      <c r="Q98" s="31">
        <f>31280</f>
        <v>31280</v>
      </c>
      <c r="R98" s="32" t="s">
        <v>791</v>
      </c>
      <c r="S98" s="33">
        <f>31513.33</f>
        <v>31513.33</v>
      </c>
      <c r="T98" s="30">
        <f>231047</f>
        <v>231047</v>
      </c>
      <c r="U98" s="30">
        <f>102473</f>
        <v>102473</v>
      </c>
      <c r="V98" s="30">
        <f>7297682537</f>
        <v>7297682537</v>
      </c>
      <c r="W98" s="30">
        <f>3234160527</f>
        <v>3234160527</v>
      </c>
      <c r="X98" s="34">
        <f>21</f>
        <v>21</v>
      </c>
    </row>
    <row r="99" spans="1:24" ht="13.5" customHeight="1" x14ac:dyDescent="0.15">
      <c r="A99" s="25" t="s">
        <v>1182</v>
      </c>
      <c r="B99" s="25" t="s">
        <v>357</v>
      </c>
      <c r="C99" s="25" t="s">
        <v>358</v>
      </c>
      <c r="D99" s="25" t="s">
        <v>359</v>
      </c>
      <c r="E99" s="26" t="s">
        <v>45</v>
      </c>
      <c r="F99" s="27" t="s">
        <v>45</v>
      </c>
      <c r="G99" s="28" t="s">
        <v>45</v>
      </c>
      <c r="H99" s="29"/>
      <c r="I99" s="29" t="s">
        <v>46</v>
      </c>
      <c r="J99" s="30">
        <v>1</v>
      </c>
      <c r="K99" s="31">
        <f>2574</f>
        <v>2574</v>
      </c>
      <c r="L99" s="32" t="s">
        <v>999</v>
      </c>
      <c r="M99" s="31">
        <f>2607</f>
        <v>2607</v>
      </c>
      <c r="N99" s="32" t="s">
        <v>56</v>
      </c>
      <c r="O99" s="31">
        <f>2445</f>
        <v>2445</v>
      </c>
      <c r="P99" s="32" t="s">
        <v>785</v>
      </c>
      <c r="Q99" s="31">
        <f>2474</f>
        <v>2474</v>
      </c>
      <c r="R99" s="32" t="s">
        <v>791</v>
      </c>
      <c r="S99" s="33">
        <f>2516.29</f>
        <v>2516.29</v>
      </c>
      <c r="T99" s="30">
        <f>671839</f>
        <v>671839</v>
      </c>
      <c r="U99" s="30">
        <f>494478</f>
        <v>494478</v>
      </c>
      <c r="V99" s="30">
        <f>1674045402</f>
        <v>1674045402</v>
      </c>
      <c r="W99" s="30">
        <f>1227634263</f>
        <v>1227634263</v>
      </c>
      <c r="X99" s="34">
        <f>21</f>
        <v>21</v>
      </c>
    </row>
    <row r="100" spans="1:24" ht="13.5" customHeight="1" x14ac:dyDescent="0.15">
      <c r="A100" s="25" t="s">
        <v>1182</v>
      </c>
      <c r="B100" s="25" t="s">
        <v>360</v>
      </c>
      <c r="C100" s="25" t="s">
        <v>361</v>
      </c>
      <c r="D100" s="25" t="s">
        <v>362</v>
      </c>
      <c r="E100" s="26" t="s">
        <v>45</v>
      </c>
      <c r="F100" s="27" t="s">
        <v>45</v>
      </c>
      <c r="G100" s="28" t="s">
        <v>45</v>
      </c>
      <c r="H100" s="29"/>
      <c r="I100" s="29" t="s">
        <v>46</v>
      </c>
      <c r="J100" s="30">
        <v>10</v>
      </c>
      <c r="K100" s="31">
        <f>20930</f>
        <v>20930</v>
      </c>
      <c r="L100" s="32" t="s">
        <v>999</v>
      </c>
      <c r="M100" s="31">
        <f>21420</f>
        <v>21420</v>
      </c>
      <c r="N100" s="32" t="s">
        <v>56</v>
      </c>
      <c r="O100" s="31">
        <f>18835</f>
        <v>18835</v>
      </c>
      <c r="P100" s="32" t="s">
        <v>893</v>
      </c>
      <c r="Q100" s="31">
        <f>19240</f>
        <v>19240</v>
      </c>
      <c r="R100" s="32" t="s">
        <v>791</v>
      </c>
      <c r="S100" s="33">
        <f>19945.95</f>
        <v>19945.95</v>
      </c>
      <c r="T100" s="30">
        <f>10984680</f>
        <v>10984680</v>
      </c>
      <c r="U100" s="30">
        <f>9130</f>
        <v>9130</v>
      </c>
      <c r="V100" s="30">
        <f>218843565525</f>
        <v>218843565525</v>
      </c>
      <c r="W100" s="30">
        <f>181783425</f>
        <v>181783425</v>
      </c>
      <c r="X100" s="34">
        <f>21</f>
        <v>21</v>
      </c>
    </row>
    <row r="101" spans="1:24" ht="13.5" customHeight="1" x14ac:dyDescent="0.15">
      <c r="A101" s="25" t="s">
        <v>1182</v>
      </c>
      <c r="B101" s="25" t="s">
        <v>363</v>
      </c>
      <c r="C101" s="25" t="s">
        <v>364</v>
      </c>
      <c r="D101" s="25" t="s">
        <v>365</v>
      </c>
      <c r="E101" s="26" t="s">
        <v>45</v>
      </c>
      <c r="F101" s="27" t="s">
        <v>45</v>
      </c>
      <c r="G101" s="28" t="s">
        <v>45</v>
      </c>
      <c r="H101" s="29"/>
      <c r="I101" s="29" t="s">
        <v>46</v>
      </c>
      <c r="J101" s="30">
        <v>10</v>
      </c>
      <c r="K101" s="31">
        <f>2080.5</f>
        <v>2080.5</v>
      </c>
      <c r="L101" s="32" t="s">
        <v>999</v>
      </c>
      <c r="M101" s="31">
        <f>2189.5</f>
        <v>2189.5</v>
      </c>
      <c r="N101" s="32" t="s">
        <v>785</v>
      </c>
      <c r="O101" s="31">
        <f>2049</f>
        <v>2049</v>
      </c>
      <c r="P101" s="32" t="s">
        <v>56</v>
      </c>
      <c r="Q101" s="31">
        <f>2151.5</f>
        <v>2151.5</v>
      </c>
      <c r="R101" s="32" t="s">
        <v>791</v>
      </c>
      <c r="S101" s="33">
        <f>2123.26</f>
        <v>2123.2600000000002</v>
      </c>
      <c r="T101" s="30">
        <f>3197720</f>
        <v>3197720</v>
      </c>
      <c r="U101" s="30">
        <f>60000</f>
        <v>60000</v>
      </c>
      <c r="V101" s="30">
        <f>6799139725</f>
        <v>6799139725</v>
      </c>
      <c r="W101" s="30">
        <f>125562000</f>
        <v>125562000</v>
      </c>
      <c r="X101" s="34">
        <f>21</f>
        <v>21</v>
      </c>
    </row>
    <row r="102" spans="1:24" ht="13.5" customHeight="1" x14ac:dyDescent="0.15">
      <c r="A102" s="25" t="s">
        <v>1182</v>
      </c>
      <c r="B102" s="25" t="s">
        <v>369</v>
      </c>
      <c r="C102" s="25" t="s">
        <v>1059</v>
      </c>
      <c r="D102" s="25" t="s">
        <v>1060</v>
      </c>
      <c r="E102" s="26" t="s">
        <v>45</v>
      </c>
      <c r="F102" s="27" t="s">
        <v>45</v>
      </c>
      <c r="G102" s="28" t="s">
        <v>45</v>
      </c>
      <c r="H102" s="29"/>
      <c r="I102" s="29" t="s">
        <v>46</v>
      </c>
      <c r="J102" s="30">
        <v>10</v>
      </c>
      <c r="K102" s="31">
        <f>1649.5</f>
        <v>1649.5</v>
      </c>
      <c r="L102" s="32" t="s">
        <v>999</v>
      </c>
      <c r="M102" s="31">
        <f>1655.5</f>
        <v>1655.5</v>
      </c>
      <c r="N102" s="32" t="s">
        <v>999</v>
      </c>
      <c r="O102" s="31">
        <f>1542</f>
        <v>1542</v>
      </c>
      <c r="P102" s="32" t="s">
        <v>793</v>
      </c>
      <c r="Q102" s="31">
        <f>1576</f>
        <v>1576</v>
      </c>
      <c r="R102" s="32" t="s">
        <v>791</v>
      </c>
      <c r="S102" s="33">
        <f>1595.21</f>
        <v>1595.21</v>
      </c>
      <c r="T102" s="30">
        <f>20570</f>
        <v>20570</v>
      </c>
      <c r="U102" s="30">
        <f>20</f>
        <v>20</v>
      </c>
      <c r="V102" s="30">
        <f>32847460</f>
        <v>32847460</v>
      </c>
      <c r="W102" s="30">
        <f>32050</f>
        <v>32050</v>
      </c>
      <c r="X102" s="34">
        <f>21</f>
        <v>21</v>
      </c>
    </row>
    <row r="103" spans="1:24" ht="13.5" customHeight="1" x14ac:dyDescent="0.15">
      <c r="A103" s="25" t="s">
        <v>1182</v>
      </c>
      <c r="B103" s="25" t="s">
        <v>372</v>
      </c>
      <c r="C103" s="25" t="s">
        <v>373</v>
      </c>
      <c r="D103" s="25" t="s">
        <v>374</v>
      </c>
      <c r="E103" s="26" t="s">
        <v>45</v>
      </c>
      <c r="F103" s="27" t="s">
        <v>45</v>
      </c>
      <c r="G103" s="28" t="s">
        <v>45</v>
      </c>
      <c r="H103" s="29"/>
      <c r="I103" s="29" t="s">
        <v>46</v>
      </c>
      <c r="J103" s="30">
        <v>1</v>
      </c>
      <c r="K103" s="31">
        <f>1895</f>
        <v>1895</v>
      </c>
      <c r="L103" s="32" t="s">
        <v>999</v>
      </c>
      <c r="M103" s="31">
        <f>1920</f>
        <v>1920</v>
      </c>
      <c r="N103" s="32" t="s">
        <v>999</v>
      </c>
      <c r="O103" s="31">
        <f>1751</f>
        <v>1751</v>
      </c>
      <c r="P103" s="32" t="s">
        <v>893</v>
      </c>
      <c r="Q103" s="31">
        <f>1835</f>
        <v>1835</v>
      </c>
      <c r="R103" s="32" t="s">
        <v>791</v>
      </c>
      <c r="S103" s="33">
        <f>1853.33</f>
        <v>1853.33</v>
      </c>
      <c r="T103" s="30">
        <f>5492</f>
        <v>5492</v>
      </c>
      <c r="U103" s="30">
        <f>3</f>
        <v>3</v>
      </c>
      <c r="V103" s="30">
        <f>10040368</f>
        <v>10040368</v>
      </c>
      <c r="W103" s="30">
        <f>5622</f>
        <v>5622</v>
      </c>
      <c r="X103" s="34">
        <f>21</f>
        <v>21</v>
      </c>
    </row>
    <row r="104" spans="1:24" ht="13.5" customHeight="1" x14ac:dyDescent="0.15">
      <c r="A104" s="25" t="s">
        <v>1182</v>
      </c>
      <c r="B104" s="25" t="s">
        <v>375</v>
      </c>
      <c r="C104" s="25" t="s">
        <v>376</v>
      </c>
      <c r="D104" s="25" t="s">
        <v>377</v>
      </c>
      <c r="E104" s="26" t="s">
        <v>45</v>
      </c>
      <c r="F104" s="27" t="s">
        <v>45</v>
      </c>
      <c r="G104" s="28" t="s">
        <v>45</v>
      </c>
      <c r="H104" s="29"/>
      <c r="I104" s="29" t="s">
        <v>46</v>
      </c>
      <c r="J104" s="30">
        <v>1</v>
      </c>
      <c r="K104" s="31">
        <f>21335</f>
        <v>21335</v>
      </c>
      <c r="L104" s="32" t="s">
        <v>999</v>
      </c>
      <c r="M104" s="31">
        <f>21485</f>
        <v>21485</v>
      </c>
      <c r="N104" s="32" t="s">
        <v>999</v>
      </c>
      <c r="O104" s="31">
        <f>19855</f>
        <v>19855</v>
      </c>
      <c r="P104" s="32" t="s">
        <v>793</v>
      </c>
      <c r="Q104" s="31">
        <f>20255</f>
        <v>20255</v>
      </c>
      <c r="R104" s="32" t="s">
        <v>791</v>
      </c>
      <c r="S104" s="33">
        <f>20560.71</f>
        <v>20560.71</v>
      </c>
      <c r="T104" s="30">
        <f>43929</f>
        <v>43929</v>
      </c>
      <c r="U104" s="30">
        <f>12353</f>
        <v>12353</v>
      </c>
      <c r="V104" s="30">
        <f>902481410</f>
        <v>902481410</v>
      </c>
      <c r="W104" s="30">
        <f>253294220</f>
        <v>253294220</v>
      </c>
      <c r="X104" s="34">
        <f>21</f>
        <v>21</v>
      </c>
    </row>
    <row r="105" spans="1:24" ht="13.5" customHeight="1" x14ac:dyDescent="0.15">
      <c r="A105" s="25" t="s">
        <v>1182</v>
      </c>
      <c r="B105" s="25" t="s">
        <v>378</v>
      </c>
      <c r="C105" s="25" t="s">
        <v>379</v>
      </c>
      <c r="D105" s="25" t="s">
        <v>380</v>
      </c>
      <c r="E105" s="26" t="s">
        <v>45</v>
      </c>
      <c r="F105" s="27" t="s">
        <v>45</v>
      </c>
      <c r="G105" s="28" t="s">
        <v>45</v>
      </c>
      <c r="H105" s="29"/>
      <c r="I105" s="29" t="s">
        <v>46</v>
      </c>
      <c r="J105" s="30">
        <v>1</v>
      </c>
      <c r="K105" s="31">
        <f>1945</f>
        <v>1945</v>
      </c>
      <c r="L105" s="32" t="s">
        <v>999</v>
      </c>
      <c r="M105" s="31">
        <f>1960</f>
        <v>1960</v>
      </c>
      <c r="N105" s="32" t="s">
        <v>999</v>
      </c>
      <c r="O105" s="31">
        <f>1830</f>
        <v>1830</v>
      </c>
      <c r="P105" s="32" t="s">
        <v>793</v>
      </c>
      <c r="Q105" s="31">
        <f>1869</f>
        <v>1869</v>
      </c>
      <c r="R105" s="32" t="s">
        <v>791</v>
      </c>
      <c r="S105" s="33">
        <f>1891.67</f>
        <v>1891.67</v>
      </c>
      <c r="T105" s="30">
        <f>208282</f>
        <v>208282</v>
      </c>
      <c r="U105" s="30">
        <f>145001</f>
        <v>145001</v>
      </c>
      <c r="V105" s="30">
        <f>392568840</f>
        <v>392568840</v>
      </c>
      <c r="W105" s="30">
        <f>272820029</f>
        <v>272820029</v>
      </c>
      <c r="X105" s="34">
        <f>21</f>
        <v>21</v>
      </c>
    </row>
    <row r="106" spans="1:24" ht="13.5" customHeight="1" x14ac:dyDescent="0.15">
      <c r="A106" s="25" t="s">
        <v>1182</v>
      </c>
      <c r="B106" s="25" t="s">
        <v>381</v>
      </c>
      <c r="C106" s="25" t="s">
        <v>382</v>
      </c>
      <c r="D106" s="25" t="s">
        <v>383</v>
      </c>
      <c r="E106" s="26" t="s">
        <v>45</v>
      </c>
      <c r="F106" s="27" t="s">
        <v>45</v>
      </c>
      <c r="G106" s="28" t="s">
        <v>45</v>
      </c>
      <c r="H106" s="29"/>
      <c r="I106" s="29" t="s">
        <v>46</v>
      </c>
      <c r="J106" s="30">
        <v>1</v>
      </c>
      <c r="K106" s="31">
        <f>21700</f>
        <v>21700</v>
      </c>
      <c r="L106" s="32" t="s">
        <v>999</v>
      </c>
      <c r="M106" s="31">
        <f>21940</f>
        <v>21940</v>
      </c>
      <c r="N106" s="32" t="s">
        <v>999</v>
      </c>
      <c r="O106" s="31">
        <f>20455</f>
        <v>20455</v>
      </c>
      <c r="P106" s="32" t="s">
        <v>793</v>
      </c>
      <c r="Q106" s="31">
        <f>21035</f>
        <v>21035</v>
      </c>
      <c r="R106" s="32" t="s">
        <v>791</v>
      </c>
      <c r="S106" s="33">
        <f>21188.33</f>
        <v>21188.33</v>
      </c>
      <c r="T106" s="30">
        <f>48913</f>
        <v>48913</v>
      </c>
      <c r="U106" s="30">
        <f>19500</f>
        <v>19500</v>
      </c>
      <c r="V106" s="30">
        <f>1034706555</f>
        <v>1034706555</v>
      </c>
      <c r="W106" s="30">
        <f>414234800</f>
        <v>414234800</v>
      </c>
      <c r="X106" s="34">
        <f>21</f>
        <v>21</v>
      </c>
    </row>
    <row r="107" spans="1:24" ht="13.5" customHeight="1" x14ac:dyDescent="0.15">
      <c r="A107" s="25" t="s">
        <v>1182</v>
      </c>
      <c r="B107" s="25" t="s">
        <v>384</v>
      </c>
      <c r="C107" s="25" t="s">
        <v>385</v>
      </c>
      <c r="D107" s="25" t="s">
        <v>386</v>
      </c>
      <c r="E107" s="26" t="s">
        <v>45</v>
      </c>
      <c r="F107" s="27" t="s">
        <v>45</v>
      </c>
      <c r="G107" s="28" t="s">
        <v>45</v>
      </c>
      <c r="H107" s="29"/>
      <c r="I107" s="29" t="s">
        <v>46</v>
      </c>
      <c r="J107" s="30">
        <v>10</v>
      </c>
      <c r="K107" s="31">
        <f>1910</f>
        <v>1910</v>
      </c>
      <c r="L107" s="32" t="s">
        <v>999</v>
      </c>
      <c r="M107" s="31">
        <f>1915</f>
        <v>1915</v>
      </c>
      <c r="N107" s="32" t="s">
        <v>999</v>
      </c>
      <c r="O107" s="31">
        <f>1828</f>
        <v>1828</v>
      </c>
      <c r="P107" s="32" t="s">
        <v>793</v>
      </c>
      <c r="Q107" s="31">
        <f>1848.5</f>
        <v>1848.5</v>
      </c>
      <c r="R107" s="32" t="s">
        <v>791</v>
      </c>
      <c r="S107" s="33">
        <f>1866.14</f>
        <v>1866.14</v>
      </c>
      <c r="T107" s="30">
        <f>1715470</f>
        <v>1715470</v>
      </c>
      <c r="U107" s="30">
        <f>636110</f>
        <v>636110</v>
      </c>
      <c r="V107" s="30">
        <f>3201923455</f>
        <v>3201923455</v>
      </c>
      <c r="W107" s="30">
        <f>1182896055</f>
        <v>1182896055</v>
      </c>
      <c r="X107" s="34">
        <f>21</f>
        <v>21</v>
      </c>
    </row>
    <row r="108" spans="1:24" ht="13.5" customHeight="1" x14ac:dyDescent="0.15">
      <c r="A108" s="25" t="s">
        <v>1182</v>
      </c>
      <c r="B108" s="25" t="s">
        <v>387</v>
      </c>
      <c r="C108" s="25" t="s">
        <v>388</v>
      </c>
      <c r="D108" s="25" t="s">
        <v>389</v>
      </c>
      <c r="E108" s="26" t="s">
        <v>45</v>
      </c>
      <c r="F108" s="27" t="s">
        <v>45</v>
      </c>
      <c r="G108" s="28" t="s">
        <v>45</v>
      </c>
      <c r="H108" s="29"/>
      <c r="I108" s="29" t="s">
        <v>46</v>
      </c>
      <c r="J108" s="30">
        <v>10</v>
      </c>
      <c r="K108" s="31">
        <f>1936</f>
        <v>1936</v>
      </c>
      <c r="L108" s="32" t="s">
        <v>875</v>
      </c>
      <c r="M108" s="31">
        <f>1936</f>
        <v>1936</v>
      </c>
      <c r="N108" s="32" t="s">
        <v>875</v>
      </c>
      <c r="O108" s="31">
        <f>1902</f>
        <v>1902</v>
      </c>
      <c r="P108" s="32" t="s">
        <v>80</v>
      </c>
      <c r="Q108" s="31">
        <f>1902</f>
        <v>1902</v>
      </c>
      <c r="R108" s="32" t="s">
        <v>80</v>
      </c>
      <c r="S108" s="33">
        <f>1919</f>
        <v>1919</v>
      </c>
      <c r="T108" s="30">
        <f>120</f>
        <v>120</v>
      </c>
      <c r="U108" s="30" t="str">
        <f>"－"</f>
        <v>－</v>
      </c>
      <c r="V108" s="30">
        <f>228580</f>
        <v>228580</v>
      </c>
      <c r="W108" s="30" t="str">
        <f>"－"</f>
        <v>－</v>
      </c>
      <c r="X108" s="34">
        <f>2</f>
        <v>2</v>
      </c>
    </row>
    <row r="109" spans="1:24" ht="13.5" customHeight="1" x14ac:dyDescent="0.15">
      <c r="A109" s="25" t="s">
        <v>1182</v>
      </c>
      <c r="B109" s="25" t="s">
        <v>390</v>
      </c>
      <c r="C109" s="25" t="s">
        <v>391</v>
      </c>
      <c r="D109" s="25" t="s">
        <v>392</v>
      </c>
      <c r="E109" s="26" t="s">
        <v>45</v>
      </c>
      <c r="F109" s="27" t="s">
        <v>45</v>
      </c>
      <c r="G109" s="28" t="s">
        <v>45</v>
      </c>
      <c r="H109" s="29"/>
      <c r="I109" s="29" t="s">
        <v>46</v>
      </c>
      <c r="J109" s="30">
        <v>10</v>
      </c>
      <c r="K109" s="31">
        <f>1904</f>
        <v>1904</v>
      </c>
      <c r="L109" s="32" t="s">
        <v>999</v>
      </c>
      <c r="M109" s="31">
        <f>1920</f>
        <v>1920</v>
      </c>
      <c r="N109" s="32" t="s">
        <v>255</v>
      </c>
      <c r="O109" s="31">
        <f>1842</f>
        <v>1842</v>
      </c>
      <c r="P109" s="32" t="s">
        <v>785</v>
      </c>
      <c r="Q109" s="31">
        <f>1867</f>
        <v>1867</v>
      </c>
      <c r="R109" s="32" t="s">
        <v>791</v>
      </c>
      <c r="S109" s="33">
        <f>1875.48</f>
        <v>1875.48</v>
      </c>
      <c r="T109" s="30">
        <f>1878150</f>
        <v>1878150</v>
      </c>
      <c r="U109" s="30">
        <f>657330</f>
        <v>657330</v>
      </c>
      <c r="V109" s="30">
        <f>3515612985</f>
        <v>3515612985</v>
      </c>
      <c r="W109" s="30">
        <f>1225747140</f>
        <v>1225747140</v>
      </c>
      <c r="X109" s="34">
        <f>21</f>
        <v>21</v>
      </c>
    </row>
    <row r="110" spans="1:24" ht="13.5" customHeight="1" x14ac:dyDescent="0.15">
      <c r="A110" s="25" t="s">
        <v>1182</v>
      </c>
      <c r="B110" s="25" t="s">
        <v>393</v>
      </c>
      <c r="C110" s="25" t="s">
        <v>1061</v>
      </c>
      <c r="D110" s="25" t="s">
        <v>1062</v>
      </c>
      <c r="E110" s="26" t="s">
        <v>45</v>
      </c>
      <c r="F110" s="27" t="s">
        <v>45</v>
      </c>
      <c r="G110" s="28" t="s">
        <v>45</v>
      </c>
      <c r="H110" s="29"/>
      <c r="I110" s="29" t="s">
        <v>46</v>
      </c>
      <c r="J110" s="30">
        <v>1</v>
      </c>
      <c r="K110" s="31">
        <f>21530</f>
        <v>21530</v>
      </c>
      <c r="L110" s="32" t="s">
        <v>999</v>
      </c>
      <c r="M110" s="31">
        <f>21650</f>
        <v>21650</v>
      </c>
      <c r="N110" s="32" t="s">
        <v>787</v>
      </c>
      <c r="O110" s="31">
        <f>20255</f>
        <v>20255</v>
      </c>
      <c r="P110" s="32" t="s">
        <v>893</v>
      </c>
      <c r="Q110" s="31">
        <f>20500</f>
        <v>20500</v>
      </c>
      <c r="R110" s="32" t="s">
        <v>893</v>
      </c>
      <c r="S110" s="33">
        <f>20966.79</f>
        <v>20966.79</v>
      </c>
      <c r="T110" s="30">
        <f>471</f>
        <v>471</v>
      </c>
      <c r="U110" s="30" t="str">
        <f>"－"</f>
        <v>－</v>
      </c>
      <c r="V110" s="30">
        <f>9777155</f>
        <v>9777155</v>
      </c>
      <c r="W110" s="30" t="str">
        <f>"－"</f>
        <v>－</v>
      </c>
      <c r="X110" s="34">
        <f>14</f>
        <v>14</v>
      </c>
    </row>
    <row r="111" spans="1:24" ht="13.5" customHeight="1" x14ac:dyDescent="0.15">
      <c r="A111" s="25" t="s">
        <v>1182</v>
      </c>
      <c r="B111" s="25" t="s">
        <v>396</v>
      </c>
      <c r="C111" s="25" t="s">
        <v>397</v>
      </c>
      <c r="D111" s="25" t="s">
        <v>398</v>
      </c>
      <c r="E111" s="26" t="s">
        <v>45</v>
      </c>
      <c r="F111" s="27" t="s">
        <v>45</v>
      </c>
      <c r="G111" s="28" t="s">
        <v>45</v>
      </c>
      <c r="H111" s="29"/>
      <c r="I111" s="29" t="s">
        <v>46</v>
      </c>
      <c r="J111" s="30">
        <v>100</v>
      </c>
      <c r="K111" s="31">
        <f>275.5</f>
        <v>275.5</v>
      </c>
      <c r="L111" s="32" t="s">
        <v>999</v>
      </c>
      <c r="M111" s="31">
        <f>280.8</f>
        <v>280.8</v>
      </c>
      <c r="N111" s="32" t="s">
        <v>999</v>
      </c>
      <c r="O111" s="31">
        <f>260.3</f>
        <v>260.3</v>
      </c>
      <c r="P111" s="32" t="s">
        <v>793</v>
      </c>
      <c r="Q111" s="31">
        <f>274.5</f>
        <v>274.5</v>
      </c>
      <c r="R111" s="32" t="s">
        <v>791</v>
      </c>
      <c r="S111" s="33">
        <f>271.42</f>
        <v>271.42</v>
      </c>
      <c r="T111" s="30">
        <f>99527200</f>
        <v>99527200</v>
      </c>
      <c r="U111" s="30">
        <f>26314700</f>
        <v>26314700</v>
      </c>
      <c r="V111" s="30">
        <f>26973669105</f>
        <v>26973669105</v>
      </c>
      <c r="W111" s="30">
        <f>7094836385</f>
        <v>7094836385</v>
      </c>
      <c r="X111" s="34">
        <f>21</f>
        <v>21</v>
      </c>
    </row>
    <row r="112" spans="1:24" ht="13.5" customHeight="1" x14ac:dyDescent="0.15">
      <c r="A112" s="25" t="s">
        <v>1182</v>
      </c>
      <c r="B112" s="25" t="s">
        <v>399</v>
      </c>
      <c r="C112" s="25" t="s">
        <v>400</v>
      </c>
      <c r="D112" s="25" t="s">
        <v>401</v>
      </c>
      <c r="E112" s="26" t="s">
        <v>45</v>
      </c>
      <c r="F112" s="27" t="s">
        <v>45</v>
      </c>
      <c r="G112" s="28" t="s">
        <v>45</v>
      </c>
      <c r="H112" s="29"/>
      <c r="I112" s="29" t="s">
        <v>46</v>
      </c>
      <c r="J112" s="30">
        <v>1</v>
      </c>
      <c r="K112" s="31">
        <f>34930</f>
        <v>34930</v>
      </c>
      <c r="L112" s="32" t="s">
        <v>999</v>
      </c>
      <c r="M112" s="31">
        <f>35410</f>
        <v>35410</v>
      </c>
      <c r="N112" s="32" t="s">
        <v>791</v>
      </c>
      <c r="O112" s="31">
        <f>33700</f>
        <v>33700</v>
      </c>
      <c r="P112" s="32" t="s">
        <v>793</v>
      </c>
      <c r="Q112" s="31">
        <f>35410</f>
        <v>35410</v>
      </c>
      <c r="R112" s="32" t="s">
        <v>791</v>
      </c>
      <c r="S112" s="33">
        <f>34520</f>
        <v>34520</v>
      </c>
      <c r="T112" s="30">
        <f>2096</f>
        <v>2096</v>
      </c>
      <c r="U112" s="30" t="str">
        <f>"－"</f>
        <v>－</v>
      </c>
      <c r="V112" s="30">
        <f>72436300</f>
        <v>72436300</v>
      </c>
      <c r="W112" s="30" t="str">
        <f>"－"</f>
        <v>－</v>
      </c>
      <c r="X112" s="34">
        <f>21</f>
        <v>21</v>
      </c>
    </row>
    <row r="113" spans="1:24" ht="13.5" customHeight="1" x14ac:dyDescent="0.15">
      <c r="A113" s="25" t="s">
        <v>1182</v>
      </c>
      <c r="B113" s="25" t="s">
        <v>402</v>
      </c>
      <c r="C113" s="25" t="s">
        <v>403</v>
      </c>
      <c r="D113" s="25" t="s">
        <v>404</v>
      </c>
      <c r="E113" s="26" t="s">
        <v>45</v>
      </c>
      <c r="F113" s="27" t="s">
        <v>45</v>
      </c>
      <c r="G113" s="28" t="s">
        <v>45</v>
      </c>
      <c r="H113" s="29"/>
      <c r="I113" s="29" t="s">
        <v>46</v>
      </c>
      <c r="J113" s="30">
        <v>1</v>
      </c>
      <c r="K113" s="31">
        <f>18075</f>
        <v>18075</v>
      </c>
      <c r="L113" s="32" t="s">
        <v>999</v>
      </c>
      <c r="M113" s="31">
        <f>18240</f>
        <v>18240</v>
      </c>
      <c r="N113" s="32" t="s">
        <v>999</v>
      </c>
      <c r="O113" s="31">
        <f>15740</f>
        <v>15740</v>
      </c>
      <c r="P113" s="32" t="s">
        <v>784</v>
      </c>
      <c r="Q113" s="31">
        <f>17570</f>
        <v>17570</v>
      </c>
      <c r="R113" s="32" t="s">
        <v>791</v>
      </c>
      <c r="S113" s="33">
        <f>17131.67</f>
        <v>17131.669999999998</v>
      </c>
      <c r="T113" s="30">
        <f>17865</f>
        <v>17865</v>
      </c>
      <c r="U113" s="30" t="str">
        <f>"－"</f>
        <v>－</v>
      </c>
      <c r="V113" s="30">
        <f>307439995</f>
        <v>307439995</v>
      </c>
      <c r="W113" s="30" t="str">
        <f>"－"</f>
        <v>－</v>
      </c>
      <c r="X113" s="34">
        <f>21</f>
        <v>21</v>
      </c>
    </row>
    <row r="114" spans="1:24" ht="13.5" customHeight="1" x14ac:dyDescent="0.15">
      <c r="A114" s="25" t="s">
        <v>1182</v>
      </c>
      <c r="B114" s="25" t="s">
        <v>405</v>
      </c>
      <c r="C114" s="25" t="s">
        <v>406</v>
      </c>
      <c r="D114" s="25" t="s">
        <v>407</v>
      </c>
      <c r="E114" s="26" t="s">
        <v>45</v>
      </c>
      <c r="F114" s="27" t="s">
        <v>45</v>
      </c>
      <c r="G114" s="28" t="s">
        <v>45</v>
      </c>
      <c r="H114" s="29"/>
      <c r="I114" s="29" t="s">
        <v>46</v>
      </c>
      <c r="J114" s="30">
        <v>1</v>
      </c>
      <c r="K114" s="31">
        <f>26355</f>
        <v>26355</v>
      </c>
      <c r="L114" s="32" t="s">
        <v>999</v>
      </c>
      <c r="M114" s="31">
        <f>26585</f>
        <v>26585</v>
      </c>
      <c r="N114" s="32" t="s">
        <v>999</v>
      </c>
      <c r="O114" s="31">
        <f>24785</f>
        <v>24785</v>
      </c>
      <c r="P114" s="32" t="s">
        <v>785</v>
      </c>
      <c r="Q114" s="31">
        <f>25895</f>
        <v>25895</v>
      </c>
      <c r="R114" s="32" t="s">
        <v>791</v>
      </c>
      <c r="S114" s="33">
        <f>25564.29</f>
        <v>25564.29</v>
      </c>
      <c r="T114" s="30">
        <f>1718</f>
        <v>1718</v>
      </c>
      <c r="U114" s="30" t="str">
        <f>"－"</f>
        <v>－</v>
      </c>
      <c r="V114" s="30">
        <f>43850765</f>
        <v>43850765</v>
      </c>
      <c r="W114" s="30" t="str">
        <f>"－"</f>
        <v>－</v>
      </c>
      <c r="X114" s="34">
        <f>21</f>
        <v>21</v>
      </c>
    </row>
    <row r="115" spans="1:24" ht="13.5" customHeight="1" x14ac:dyDescent="0.15">
      <c r="A115" s="25" t="s">
        <v>1182</v>
      </c>
      <c r="B115" s="25" t="s">
        <v>408</v>
      </c>
      <c r="C115" s="25" t="s">
        <v>409</v>
      </c>
      <c r="D115" s="25" t="s">
        <v>410</v>
      </c>
      <c r="E115" s="26" t="s">
        <v>45</v>
      </c>
      <c r="F115" s="27" t="s">
        <v>45</v>
      </c>
      <c r="G115" s="28" t="s">
        <v>45</v>
      </c>
      <c r="H115" s="29"/>
      <c r="I115" s="29" t="s">
        <v>46</v>
      </c>
      <c r="J115" s="30">
        <v>1</v>
      </c>
      <c r="K115" s="31">
        <f>27445</f>
        <v>27445</v>
      </c>
      <c r="L115" s="32" t="s">
        <v>999</v>
      </c>
      <c r="M115" s="31">
        <f>27615</f>
        <v>27615</v>
      </c>
      <c r="N115" s="32" t="s">
        <v>999</v>
      </c>
      <c r="O115" s="31">
        <f>26100</f>
        <v>26100</v>
      </c>
      <c r="P115" s="32" t="s">
        <v>793</v>
      </c>
      <c r="Q115" s="31">
        <f>26550</f>
        <v>26550</v>
      </c>
      <c r="R115" s="32" t="s">
        <v>791</v>
      </c>
      <c r="S115" s="33">
        <f>26755</f>
        <v>26755</v>
      </c>
      <c r="T115" s="30">
        <f>5650</f>
        <v>5650</v>
      </c>
      <c r="U115" s="30">
        <f>4000</f>
        <v>4000</v>
      </c>
      <c r="V115" s="30">
        <f>150099100</f>
        <v>150099100</v>
      </c>
      <c r="W115" s="30">
        <f>105849600</f>
        <v>105849600</v>
      </c>
      <c r="X115" s="34">
        <f>21</f>
        <v>21</v>
      </c>
    </row>
    <row r="116" spans="1:24" ht="13.5" customHeight="1" x14ac:dyDescent="0.15">
      <c r="A116" s="25" t="s">
        <v>1182</v>
      </c>
      <c r="B116" s="25" t="s">
        <v>411</v>
      </c>
      <c r="C116" s="25" t="s">
        <v>412</v>
      </c>
      <c r="D116" s="25" t="s">
        <v>413</v>
      </c>
      <c r="E116" s="26" t="s">
        <v>45</v>
      </c>
      <c r="F116" s="27" t="s">
        <v>45</v>
      </c>
      <c r="G116" s="28" t="s">
        <v>45</v>
      </c>
      <c r="H116" s="29"/>
      <c r="I116" s="29" t="s">
        <v>46</v>
      </c>
      <c r="J116" s="30">
        <v>1</v>
      </c>
      <c r="K116" s="31">
        <f>27595</f>
        <v>27595</v>
      </c>
      <c r="L116" s="32" t="s">
        <v>999</v>
      </c>
      <c r="M116" s="31">
        <f>27700</f>
        <v>27700</v>
      </c>
      <c r="N116" s="32" t="s">
        <v>999</v>
      </c>
      <c r="O116" s="31">
        <f>25010</f>
        <v>25010</v>
      </c>
      <c r="P116" s="32" t="s">
        <v>893</v>
      </c>
      <c r="Q116" s="31">
        <f>25475</f>
        <v>25475</v>
      </c>
      <c r="R116" s="32" t="s">
        <v>791</v>
      </c>
      <c r="S116" s="33">
        <f>26383.57</f>
        <v>26383.57</v>
      </c>
      <c r="T116" s="30">
        <f>7932</f>
        <v>7932</v>
      </c>
      <c r="U116" s="30" t="str">
        <f>"－"</f>
        <v>－</v>
      </c>
      <c r="V116" s="30">
        <f>209559825</f>
        <v>209559825</v>
      </c>
      <c r="W116" s="30" t="str">
        <f>"－"</f>
        <v>－</v>
      </c>
      <c r="X116" s="34">
        <f>21</f>
        <v>21</v>
      </c>
    </row>
    <row r="117" spans="1:24" ht="13.5" customHeight="1" x14ac:dyDescent="0.15">
      <c r="A117" s="25" t="s">
        <v>1182</v>
      </c>
      <c r="B117" s="25" t="s">
        <v>414</v>
      </c>
      <c r="C117" s="25" t="s">
        <v>415</v>
      </c>
      <c r="D117" s="25" t="s">
        <v>416</v>
      </c>
      <c r="E117" s="26" t="s">
        <v>45</v>
      </c>
      <c r="F117" s="27" t="s">
        <v>45</v>
      </c>
      <c r="G117" s="28" t="s">
        <v>45</v>
      </c>
      <c r="H117" s="29"/>
      <c r="I117" s="29" t="s">
        <v>46</v>
      </c>
      <c r="J117" s="30">
        <v>1</v>
      </c>
      <c r="K117" s="31">
        <f>30570</f>
        <v>30570</v>
      </c>
      <c r="L117" s="32" t="s">
        <v>999</v>
      </c>
      <c r="M117" s="31">
        <f>30940</f>
        <v>30940</v>
      </c>
      <c r="N117" s="32" t="s">
        <v>999</v>
      </c>
      <c r="O117" s="31">
        <f>27900</f>
        <v>27900</v>
      </c>
      <c r="P117" s="32" t="s">
        <v>791</v>
      </c>
      <c r="Q117" s="31">
        <f>28460</f>
        <v>28460</v>
      </c>
      <c r="R117" s="32" t="s">
        <v>791</v>
      </c>
      <c r="S117" s="33">
        <f>29338.1</f>
        <v>29338.1</v>
      </c>
      <c r="T117" s="30">
        <f>12832</f>
        <v>12832</v>
      </c>
      <c r="U117" s="30" t="str">
        <f>"－"</f>
        <v>－</v>
      </c>
      <c r="V117" s="30">
        <f>374892360</f>
        <v>374892360</v>
      </c>
      <c r="W117" s="30" t="str">
        <f>"－"</f>
        <v>－</v>
      </c>
      <c r="X117" s="34">
        <f>21</f>
        <v>21</v>
      </c>
    </row>
    <row r="118" spans="1:24" ht="13.5" customHeight="1" x14ac:dyDescent="0.15">
      <c r="A118" s="25" t="s">
        <v>1182</v>
      </c>
      <c r="B118" s="25" t="s">
        <v>417</v>
      </c>
      <c r="C118" s="25" t="s">
        <v>418</v>
      </c>
      <c r="D118" s="25" t="s">
        <v>419</v>
      </c>
      <c r="E118" s="26" t="s">
        <v>45</v>
      </c>
      <c r="F118" s="27" t="s">
        <v>45</v>
      </c>
      <c r="G118" s="28" t="s">
        <v>45</v>
      </c>
      <c r="H118" s="29"/>
      <c r="I118" s="29" t="s">
        <v>46</v>
      </c>
      <c r="J118" s="30">
        <v>1</v>
      </c>
      <c r="K118" s="31">
        <f>23630</f>
        <v>23630</v>
      </c>
      <c r="L118" s="32" t="s">
        <v>999</v>
      </c>
      <c r="M118" s="31">
        <f>23955</f>
        <v>23955</v>
      </c>
      <c r="N118" s="32" t="s">
        <v>999</v>
      </c>
      <c r="O118" s="31">
        <f>21325</f>
        <v>21325</v>
      </c>
      <c r="P118" s="32" t="s">
        <v>793</v>
      </c>
      <c r="Q118" s="31">
        <f>22220</f>
        <v>22220</v>
      </c>
      <c r="R118" s="32" t="s">
        <v>791</v>
      </c>
      <c r="S118" s="33">
        <f>22335</f>
        <v>22335</v>
      </c>
      <c r="T118" s="30">
        <f>14489</f>
        <v>14489</v>
      </c>
      <c r="U118" s="30">
        <f>8900</f>
        <v>8900</v>
      </c>
      <c r="V118" s="30">
        <f>324333970</f>
        <v>324333970</v>
      </c>
      <c r="W118" s="30">
        <f>199562430</f>
        <v>199562430</v>
      </c>
      <c r="X118" s="34">
        <f>21</f>
        <v>21</v>
      </c>
    </row>
    <row r="119" spans="1:24" ht="13.5" customHeight="1" x14ac:dyDescent="0.15">
      <c r="A119" s="25" t="s">
        <v>1182</v>
      </c>
      <c r="B119" s="25" t="s">
        <v>420</v>
      </c>
      <c r="C119" s="25" t="s">
        <v>421</v>
      </c>
      <c r="D119" s="25" t="s">
        <v>422</v>
      </c>
      <c r="E119" s="26" t="s">
        <v>45</v>
      </c>
      <c r="F119" s="27" t="s">
        <v>45</v>
      </c>
      <c r="G119" s="28" t="s">
        <v>45</v>
      </c>
      <c r="H119" s="29"/>
      <c r="I119" s="29" t="s">
        <v>46</v>
      </c>
      <c r="J119" s="30">
        <v>1</v>
      </c>
      <c r="K119" s="31">
        <f>47230</f>
        <v>47230</v>
      </c>
      <c r="L119" s="32" t="s">
        <v>999</v>
      </c>
      <c r="M119" s="31">
        <f>47870</f>
        <v>47870</v>
      </c>
      <c r="N119" s="32" t="s">
        <v>999</v>
      </c>
      <c r="O119" s="31">
        <f>43460</f>
        <v>43460</v>
      </c>
      <c r="P119" s="32" t="s">
        <v>791</v>
      </c>
      <c r="Q119" s="31">
        <f>43900</f>
        <v>43900</v>
      </c>
      <c r="R119" s="32" t="s">
        <v>791</v>
      </c>
      <c r="S119" s="33">
        <f>45647.14</f>
        <v>45647.14</v>
      </c>
      <c r="T119" s="30">
        <f>4339</f>
        <v>4339</v>
      </c>
      <c r="U119" s="30">
        <f>2700</f>
        <v>2700</v>
      </c>
      <c r="V119" s="30">
        <f>197759300</f>
        <v>197759300</v>
      </c>
      <c r="W119" s="30">
        <f>122795400</f>
        <v>122795400</v>
      </c>
      <c r="X119" s="34">
        <f>21</f>
        <v>21</v>
      </c>
    </row>
    <row r="120" spans="1:24" ht="13.5" customHeight="1" x14ac:dyDescent="0.15">
      <c r="A120" s="25" t="s">
        <v>1182</v>
      </c>
      <c r="B120" s="25" t="s">
        <v>423</v>
      </c>
      <c r="C120" s="25" t="s">
        <v>424</v>
      </c>
      <c r="D120" s="25" t="s">
        <v>425</v>
      </c>
      <c r="E120" s="26" t="s">
        <v>45</v>
      </c>
      <c r="F120" s="27" t="s">
        <v>45</v>
      </c>
      <c r="G120" s="28" t="s">
        <v>45</v>
      </c>
      <c r="H120" s="29"/>
      <c r="I120" s="29" t="s">
        <v>46</v>
      </c>
      <c r="J120" s="30">
        <v>1</v>
      </c>
      <c r="K120" s="31">
        <f>31250</f>
        <v>31250</v>
      </c>
      <c r="L120" s="32" t="s">
        <v>999</v>
      </c>
      <c r="M120" s="31">
        <f>31370</f>
        <v>31370</v>
      </c>
      <c r="N120" s="32" t="s">
        <v>787</v>
      </c>
      <c r="O120" s="31">
        <f>28905</f>
        <v>28905</v>
      </c>
      <c r="P120" s="32" t="s">
        <v>786</v>
      </c>
      <c r="Q120" s="31">
        <f>29330</f>
        <v>29330</v>
      </c>
      <c r="R120" s="32" t="s">
        <v>791</v>
      </c>
      <c r="S120" s="33">
        <f>30094.29</f>
        <v>30094.29</v>
      </c>
      <c r="T120" s="30">
        <f>16538</f>
        <v>16538</v>
      </c>
      <c r="U120" s="30">
        <f>7600</f>
        <v>7600</v>
      </c>
      <c r="V120" s="30">
        <f>501556170</f>
        <v>501556170</v>
      </c>
      <c r="W120" s="30">
        <f>228918450</f>
        <v>228918450</v>
      </c>
      <c r="X120" s="34">
        <f>21</f>
        <v>21</v>
      </c>
    </row>
    <row r="121" spans="1:24" ht="13.5" customHeight="1" x14ac:dyDescent="0.15">
      <c r="A121" s="25" t="s">
        <v>1182</v>
      </c>
      <c r="B121" s="25" t="s">
        <v>426</v>
      </c>
      <c r="C121" s="25" t="s">
        <v>427</v>
      </c>
      <c r="D121" s="25" t="s">
        <v>428</v>
      </c>
      <c r="E121" s="26" t="s">
        <v>45</v>
      </c>
      <c r="F121" s="27" t="s">
        <v>45</v>
      </c>
      <c r="G121" s="28" t="s">
        <v>45</v>
      </c>
      <c r="H121" s="29"/>
      <c r="I121" s="29" t="s">
        <v>46</v>
      </c>
      <c r="J121" s="30">
        <v>1</v>
      </c>
      <c r="K121" s="31">
        <f>30330</f>
        <v>30330</v>
      </c>
      <c r="L121" s="32" t="s">
        <v>999</v>
      </c>
      <c r="M121" s="31">
        <f>30500</f>
        <v>30500</v>
      </c>
      <c r="N121" s="32" t="s">
        <v>999</v>
      </c>
      <c r="O121" s="31">
        <f>28670</f>
        <v>28670</v>
      </c>
      <c r="P121" s="32" t="s">
        <v>793</v>
      </c>
      <c r="Q121" s="31">
        <f>29510</f>
        <v>29510</v>
      </c>
      <c r="R121" s="32" t="s">
        <v>791</v>
      </c>
      <c r="S121" s="33">
        <f>29556.43</f>
        <v>29556.43</v>
      </c>
      <c r="T121" s="30">
        <f>927</f>
        <v>927</v>
      </c>
      <c r="U121" s="30" t="str">
        <f>"－"</f>
        <v>－</v>
      </c>
      <c r="V121" s="30">
        <f>27426580</f>
        <v>27426580</v>
      </c>
      <c r="W121" s="30" t="str">
        <f>"－"</f>
        <v>－</v>
      </c>
      <c r="X121" s="34">
        <f>21</f>
        <v>21</v>
      </c>
    </row>
    <row r="122" spans="1:24" ht="13.5" customHeight="1" x14ac:dyDescent="0.15">
      <c r="A122" s="25" t="s">
        <v>1182</v>
      </c>
      <c r="B122" s="25" t="s">
        <v>429</v>
      </c>
      <c r="C122" s="25" t="s">
        <v>430</v>
      </c>
      <c r="D122" s="25" t="s">
        <v>431</v>
      </c>
      <c r="E122" s="26" t="s">
        <v>45</v>
      </c>
      <c r="F122" s="27" t="s">
        <v>45</v>
      </c>
      <c r="G122" s="28" t="s">
        <v>45</v>
      </c>
      <c r="H122" s="29"/>
      <c r="I122" s="29" t="s">
        <v>46</v>
      </c>
      <c r="J122" s="30">
        <v>1</v>
      </c>
      <c r="K122" s="31">
        <f>7991</f>
        <v>7991</v>
      </c>
      <c r="L122" s="32" t="s">
        <v>999</v>
      </c>
      <c r="M122" s="31">
        <f>8049</f>
        <v>8049</v>
      </c>
      <c r="N122" s="32" t="s">
        <v>999</v>
      </c>
      <c r="O122" s="31">
        <f>7282</f>
        <v>7282</v>
      </c>
      <c r="P122" s="32" t="s">
        <v>785</v>
      </c>
      <c r="Q122" s="31">
        <f>7810</f>
        <v>7810</v>
      </c>
      <c r="R122" s="32" t="s">
        <v>791</v>
      </c>
      <c r="S122" s="33">
        <f>7699.48</f>
        <v>7699.48</v>
      </c>
      <c r="T122" s="30">
        <f>21337</f>
        <v>21337</v>
      </c>
      <c r="U122" s="30" t="str">
        <f>"－"</f>
        <v>－</v>
      </c>
      <c r="V122" s="30">
        <f>162831384</f>
        <v>162831384</v>
      </c>
      <c r="W122" s="30" t="str">
        <f>"－"</f>
        <v>－</v>
      </c>
      <c r="X122" s="34">
        <f>21</f>
        <v>21</v>
      </c>
    </row>
    <row r="123" spans="1:24" ht="13.5" customHeight="1" x14ac:dyDescent="0.15">
      <c r="A123" s="25" t="s">
        <v>1182</v>
      </c>
      <c r="B123" s="25" t="s">
        <v>432</v>
      </c>
      <c r="C123" s="25" t="s">
        <v>433</v>
      </c>
      <c r="D123" s="25" t="s">
        <v>434</v>
      </c>
      <c r="E123" s="26" t="s">
        <v>45</v>
      </c>
      <c r="F123" s="27" t="s">
        <v>45</v>
      </c>
      <c r="G123" s="28" t="s">
        <v>45</v>
      </c>
      <c r="H123" s="29"/>
      <c r="I123" s="29" t="s">
        <v>46</v>
      </c>
      <c r="J123" s="30">
        <v>1</v>
      </c>
      <c r="K123" s="31">
        <f>18320</f>
        <v>18320</v>
      </c>
      <c r="L123" s="32" t="s">
        <v>999</v>
      </c>
      <c r="M123" s="31">
        <f>18415</f>
        <v>18415</v>
      </c>
      <c r="N123" s="32" t="s">
        <v>999</v>
      </c>
      <c r="O123" s="31">
        <f>16880</f>
        <v>16880</v>
      </c>
      <c r="P123" s="32" t="s">
        <v>793</v>
      </c>
      <c r="Q123" s="31">
        <f>17450</f>
        <v>17450</v>
      </c>
      <c r="R123" s="32" t="s">
        <v>791</v>
      </c>
      <c r="S123" s="33">
        <f>17495.48</f>
        <v>17495.48</v>
      </c>
      <c r="T123" s="30">
        <f>41975</f>
        <v>41975</v>
      </c>
      <c r="U123" s="30">
        <f>34400</f>
        <v>34400</v>
      </c>
      <c r="V123" s="30">
        <f>729081330</f>
        <v>729081330</v>
      </c>
      <c r="W123" s="30">
        <f>596227680</f>
        <v>596227680</v>
      </c>
      <c r="X123" s="34">
        <f>21</f>
        <v>21</v>
      </c>
    </row>
    <row r="124" spans="1:24" ht="13.5" customHeight="1" x14ac:dyDescent="0.15">
      <c r="A124" s="25" t="s">
        <v>1182</v>
      </c>
      <c r="B124" s="25" t="s">
        <v>435</v>
      </c>
      <c r="C124" s="25" t="s">
        <v>436</v>
      </c>
      <c r="D124" s="25" t="s">
        <v>437</v>
      </c>
      <c r="E124" s="26" t="s">
        <v>45</v>
      </c>
      <c r="F124" s="27" t="s">
        <v>45</v>
      </c>
      <c r="G124" s="28" t="s">
        <v>45</v>
      </c>
      <c r="H124" s="29"/>
      <c r="I124" s="29" t="s">
        <v>46</v>
      </c>
      <c r="J124" s="30">
        <v>1</v>
      </c>
      <c r="K124" s="31">
        <f>71140</f>
        <v>71140</v>
      </c>
      <c r="L124" s="32" t="s">
        <v>999</v>
      </c>
      <c r="M124" s="31">
        <f>71800</f>
        <v>71800</v>
      </c>
      <c r="N124" s="32" t="s">
        <v>999</v>
      </c>
      <c r="O124" s="31">
        <f>65670</f>
        <v>65670</v>
      </c>
      <c r="P124" s="32" t="s">
        <v>784</v>
      </c>
      <c r="Q124" s="31">
        <f>69000</f>
        <v>69000</v>
      </c>
      <c r="R124" s="32" t="s">
        <v>791</v>
      </c>
      <c r="S124" s="33">
        <f>69250.48</f>
        <v>69250.48</v>
      </c>
      <c r="T124" s="30">
        <f>10245</f>
        <v>10245</v>
      </c>
      <c r="U124" s="30" t="str">
        <f>"－"</f>
        <v>－</v>
      </c>
      <c r="V124" s="30">
        <f>704224140</f>
        <v>704224140</v>
      </c>
      <c r="W124" s="30" t="str">
        <f>"－"</f>
        <v>－</v>
      </c>
      <c r="X124" s="34">
        <f>21</f>
        <v>21</v>
      </c>
    </row>
    <row r="125" spans="1:24" ht="13.5" customHeight="1" x14ac:dyDescent="0.15">
      <c r="A125" s="25" t="s">
        <v>1182</v>
      </c>
      <c r="B125" s="25" t="s">
        <v>438</v>
      </c>
      <c r="C125" s="25" t="s">
        <v>439</v>
      </c>
      <c r="D125" s="25" t="s">
        <v>440</v>
      </c>
      <c r="E125" s="26" t="s">
        <v>45</v>
      </c>
      <c r="F125" s="27" t="s">
        <v>45</v>
      </c>
      <c r="G125" s="28" t="s">
        <v>45</v>
      </c>
      <c r="H125" s="29"/>
      <c r="I125" s="29" t="s">
        <v>46</v>
      </c>
      <c r="J125" s="30">
        <v>1</v>
      </c>
      <c r="K125" s="31">
        <f>25880</f>
        <v>25880</v>
      </c>
      <c r="L125" s="32" t="s">
        <v>999</v>
      </c>
      <c r="M125" s="31">
        <f>26000</f>
        <v>26000</v>
      </c>
      <c r="N125" s="32" t="s">
        <v>875</v>
      </c>
      <c r="O125" s="31">
        <f>24625</f>
        <v>24625</v>
      </c>
      <c r="P125" s="32" t="s">
        <v>793</v>
      </c>
      <c r="Q125" s="31">
        <f>25685</f>
        <v>25685</v>
      </c>
      <c r="R125" s="32" t="s">
        <v>791</v>
      </c>
      <c r="S125" s="33">
        <f>25282.62</f>
        <v>25282.62</v>
      </c>
      <c r="T125" s="30">
        <f>1048</f>
        <v>1048</v>
      </c>
      <c r="U125" s="30" t="str">
        <f>"－"</f>
        <v>－</v>
      </c>
      <c r="V125" s="30">
        <f>26547505</f>
        <v>26547505</v>
      </c>
      <c r="W125" s="30" t="str">
        <f>"－"</f>
        <v>－</v>
      </c>
      <c r="X125" s="34">
        <f>21</f>
        <v>21</v>
      </c>
    </row>
    <row r="126" spans="1:24" ht="13.5" customHeight="1" x14ac:dyDescent="0.15">
      <c r="A126" s="25" t="s">
        <v>1182</v>
      </c>
      <c r="B126" s="25" t="s">
        <v>441</v>
      </c>
      <c r="C126" s="25" t="s">
        <v>442</v>
      </c>
      <c r="D126" s="25" t="s">
        <v>443</v>
      </c>
      <c r="E126" s="26" t="s">
        <v>45</v>
      </c>
      <c r="F126" s="27" t="s">
        <v>45</v>
      </c>
      <c r="G126" s="28" t="s">
        <v>45</v>
      </c>
      <c r="H126" s="29"/>
      <c r="I126" s="29" t="s">
        <v>46</v>
      </c>
      <c r="J126" s="30">
        <v>1</v>
      </c>
      <c r="K126" s="31">
        <f>14490</f>
        <v>14490</v>
      </c>
      <c r="L126" s="32" t="s">
        <v>999</v>
      </c>
      <c r="M126" s="31">
        <f>14765</f>
        <v>14765</v>
      </c>
      <c r="N126" s="32" t="s">
        <v>999</v>
      </c>
      <c r="O126" s="31">
        <f>13660</f>
        <v>13660</v>
      </c>
      <c r="P126" s="32" t="s">
        <v>793</v>
      </c>
      <c r="Q126" s="31">
        <f>14445</f>
        <v>14445</v>
      </c>
      <c r="R126" s="32" t="s">
        <v>791</v>
      </c>
      <c r="S126" s="33">
        <f>14239.05</f>
        <v>14239.05</v>
      </c>
      <c r="T126" s="30">
        <f>67265</f>
        <v>67265</v>
      </c>
      <c r="U126" s="30" t="str">
        <f>"－"</f>
        <v>－</v>
      </c>
      <c r="V126" s="30">
        <f>952647435</f>
        <v>952647435</v>
      </c>
      <c r="W126" s="30" t="str">
        <f>"－"</f>
        <v>－</v>
      </c>
      <c r="X126" s="34">
        <f>21</f>
        <v>21</v>
      </c>
    </row>
    <row r="127" spans="1:24" ht="13.5" customHeight="1" x14ac:dyDescent="0.15">
      <c r="A127" s="25" t="s">
        <v>1182</v>
      </c>
      <c r="B127" s="25" t="s">
        <v>444</v>
      </c>
      <c r="C127" s="25" t="s">
        <v>445</v>
      </c>
      <c r="D127" s="25" t="s">
        <v>446</v>
      </c>
      <c r="E127" s="26" t="s">
        <v>45</v>
      </c>
      <c r="F127" s="27" t="s">
        <v>45</v>
      </c>
      <c r="G127" s="28" t="s">
        <v>45</v>
      </c>
      <c r="H127" s="29"/>
      <c r="I127" s="29" t="s">
        <v>46</v>
      </c>
      <c r="J127" s="30">
        <v>1</v>
      </c>
      <c r="K127" s="31">
        <f>19655</f>
        <v>19655</v>
      </c>
      <c r="L127" s="32" t="s">
        <v>999</v>
      </c>
      <c r="M127" s="31">
        <f>19925</f>
        <v>19925</v>
      </c>
      <c r="N127" s="32" t="s">
        <v>787</v>
      </c>
      <c r="O127" s="31">
        <f>18505</f>
        <v>18505</v>
      </c>
      <c r="P127" s="32" t="s">
        <v>785</v>
      </c>
      <c r="Q127" s="31">
        <f>19500</f>
        <v>19500</v>
      </c>
      <c r="R127" s="32" t="s">
        <v>791</v>
      </c>
      <c r="S127" s="33">
        <f>19303.81</f>
        <v>19303.810000000001</v>
      </c>
      <c r="T127" s="30">
        <f>11688</f>
        <v>11688</v>
      </c>
      <c r="U127" s="30">
        <f>3</f>
        <v>3</v>
      </c>
      <c r="V127" s="30">
        <f>226866425</f>
        <v>226866425</v>
      </c>
      <c r="W127" s="30">
        <f>59285</f>
        <v>59285</v>
      </c>
      <c r="X127" s="34">
        <f>21</f>
        <v>21</v>
      </c>
    </row>
    <row r="128" spans="1:24" ht="13.5" customHeight="1" x14ac:dyDescent="0.15">
      <c r="A128" s="25" t="s">
        <v>1182</v>
      </c>
      <c r="B128" s="25" t="s">
        <v>447</v>
      </c>
      <c r="C128" s="25" t="s">
        <v>448</v>
      </c>
      <c r="D128" s="25" t="s">
        <v>449</v>
      </c>
      <c r="E128" s="26" t="s">
        <v>45</v>
      </c>
      <c r="F128" s="27" t="s">
        <v>45</v>
      </c>
      <c r="G128" s="28" t="s">
        <v>45</v>
      </c>
      <c r="H128" s="29"/>
      <c r="I128" s="29" t="s">
        <v>46</v>
      </c>
      <c r="J128" s="30">
        <v>1</v>
      </c>
      <c r="K128" s="31">
        <f>34130</f>
        <v>34130</v>
      </c>
      <c r="L128" s="32" t="s">
        <v>999</v>
      </c>
      <c r="M128" s="31">
        <f>35470</f>
        <v>35470</v>
      </c>
      <c r="N128" s="32" t="s">
        <v>999</v>
      </c>
      <c r="O128" s="31">
        <f>31690</f>
        <v>31690</v>
      </c>
      <c r="P128" s="32" t="s">
        <v>785</v>
      </c>
      <c r="Q128" s="31">
        <f>32740</f>
        <v>32740</v>
      </c>
      <c r="R128" s="32" t="s">
        <v>791</v>
      </c>
      <c r="S128" s="33">
        <f>33000.95</f>
        <v>33000.949999999997</v>
      </c>
      <c r="T128" s="30">
        <f>4579</f>
        <v>4579</v>
      </c>
      <c r="U128" s="30">
        <f>2990</f>
        <v>2990</v>
      </c>
      <c r="V128" s="30">
        <f>152441819</f>
        <v>152441819</v>
      </c>
      <c r="W128" s="30">
        <f>100359399</f>
        <v>100359399</v>
      </c>
      <c r="X128" s="34">
        <f>21</f>
        <v>21</v>
      </c>
    </row>
    <row r="129" spans="1:24" ht="13.5" customHeight="1" x14ac:dyDescent="0.15">
      <c r="A129" s="25" t="s">
        <v>1182</v>
      </c>
      <c r="B129" s="25" t="s">
        <v>450</v>
      </c>
      <c r="C129" s="25" t="s">
        <v>1063</v>
      </c>
      <c r="D129" s="25" t="s">
        <v>1064</v>
      </c>
      <c r="E129" s="26" t="s">
        <v>45</v>
      </c>
      <c r="F129" s="27" t="s">
        <v>45</v>
      </c>
      <c r="G129" s="28" t="s">
        <v>45</v>
      </c>
      <c r="H129" s="29"/>
      <c r="I129" s="29" t="s">
        <v>46</v>
      </c>
      <c r="J129" s="30">
        <v>10</v>
      </c>
      <c r="K129" s="31">
        <f>1723.5</f>
        <v>1723.5</v>
      </c>
      <c r="L129" s="32" t="s">
        <v>999</v>
      </c>
      <c r="M129" s="31">
        <f>1723.5</f>
        <v>1723.5</v>
      </c>
      <c r="N129" s="32" t="s">
        <v>999</v>
      </c>
      <c r="O129" s="31">
        <f>1592</f>
        <v>1592</v>
      </c>
      <c r="P129" s="32" t="s">
        <v>785</v>
      </c>
      <c r="Q129" s="31">
        <f>1635</f>
        <v>1635</v>
      </c>
      <c r="R129" s="32" t="s">
        <v>791</v>
      </c>
      <c r="S129" s="33">
        <f>1648.26</f>
        <v>1648.26</v>
      </c>
      <c r="T129" s="30">
        <f>1407460</f>
        <v>1407460</v>
      </c>
      <c r="U129" s="30">
        <f>774610</f>
        <v>774610</v>
      </c>
      <c r="V129" s="30">
        <f>2322416679</f>
        <v>2322416679</v>
      </c>
      <c r="W129" s="30">
        <f>1279832689</f>
        <v>1279832689</v>
      </c>
      <c r="X129" s="34">
        <f>21</f>
        <v>21</v>
      </c>
    </row>
    <row r="130" spans="1:24" ht="13.5" customHeight="1" x14ac:dyDescent="0.15">
      <c r="A130" s="25" t="s">
        <v>1182</v>
      </c>
      <c r="B130" s="25" t="s">
        <v>453</v>
      </c>
      <c r="C130" s="25" t="s">
        <v>1065</v>
      </c>
      <c r="D130" s="25" t="s">
        <v>1066</v>
      </c>
      <c r="E130" s="26" t="s">
        <v>45</v>
      </c>
      <c r="F130" s="27" t="s">
        <v>45</v>
      </c>
      <c r="G130" s="28" t="s">
        <v>45</v>
      </c>
      <c r="H130" s="29"/>
      <c r="I130" s="29" t="s">
        <v>46</v>
      </c>
      <c r="J130" s="30">
        <v>10</v>
      </c>
      <c r="K130" s="31">
        <f>2680.5</f>
        <v>2680.5</v>
      </c>
      <c r="L130" s="32" t="s">
        <v>999</v>
      </c>
      <c r="M130" s="31">
        <f>2695.5</f>
        <v>2695.5</v>
      </c>
      <c r="N130" s="32" t="s">
        <v>999</v>
      </c>
      <c r="O130" s="31">
        <f>2520</f>
        <v>2520</v>
      </c>
      <c r="P130" s="32" t="s">
        <v>793</v>
      </c>
      <c r="Q130" s="31">
        <f>2569</f>
        <v>2569</v>
      </c>
      <c r="R130" s="32" t="s">
        <v>791</v>
      </c>
      <c r="S130" s="33">
        <f>2601.95</f>
        <v>2601.9499999999998</v>
      </c>
      <c r="T130" s="30">
        <f>102630</f>
        <v>102630</v>
      </c>
      <c r="U130" s="30" t="str">
        <f>"－"</f>
        <v>－</v>
      </c>
      <c r="V130" s="30">
        <f>265830295</f>
        <v>265830295</v>
      </c>
      <c r="W130" s="30" t="str">
        <f>"－"</f>
        <v>－</v>
      </c>
      <c r="X130" s="34">
        <f>21</f>
        <v>21</v>
      </c>
    </row>
    <row r="131" spans="1:24" ht="13.5" customHeight="1" x14ac:dyDescent="0.15">
      <c r="A131" s="25" t="s">
        <v>1182</v>
      </c>
      <c r="B131" s="25" t="s">
        <v>456</v>
      </c>
      <c r="C131" s="25" t="s">
        <v>1067</v>
      </c>
      <c r="D131" s="25" t="s">
        <v>1068</v>
      </c>
      <c r="E131" s="26" t="s">
        <v>45</v>
      </c>
      <c r="F131" s="27" t="s">
        <v>45</v>
      </c>
      <c r="G131" s="28" t="s">
        <v>45</v>
      </c>
      <c r="H131" s="29"/>
      <c r="I131" s="29" t="s">
        <v>46</v>
      </c>
      <c r="J131" s="30">
        <v>10</v>
      </c>
      <c r="K131" s="31">
        <f>2955</f>
        <v>2955</v>
      </c>
      <c r="L131" s="32" t="s">
        <v>999</v>
      </c>
      <c r="M131" s="31">
        <f>2955</f>
        <v>2955</v>
      </c>
      <c r="N131" s="32" t="s">
        <v>999</v>
      </c>
      <c r="O131" s="31">
        <f>2788</f>
        <v>2788</v>
      </c>
      <c r="P131" s="32" t="s">
        <v>793</v>
      </c>
      <c r="Q131" s="31">
        <f>2825</f>
        <v>2825</v>
      </c>
      <c r="R131" s="32" t="s">
        <v>791</v>
      </c>
      <c r="S131" s="33">
        <f>2867.33</f>
        <v>2867.33</v>
      </c>
      <c r="T131" s="30">
        <f>15050</f>
        <v>15050</v>
      </c>
      <c r="U131" s="30" t="str">
        <f>"－"</f>
        <v>－</v>
      </c>
      <c r="V131" s="30">
        <f>43108355</f>
        <v>43108355</v>
      </c>
      <c r="W131" s="30" t="str">
        <f>"－"</f>
        <v>－</v>
      </c>
      <c r="X131" s="34">
        <f>18</f>
        <v>18</v>
      </c>
    </row>
    <row r="132" spans="1:24" ht="13.5" customHeight="1" x14ac:dyDescent="0.15">
      <c r="A132" s="25" t="s">
        <v>1182</v>
      </c>
      <c r="B132" s="25" t="s">
        <v>459</v>
      </c>
      <c r="C132" s="25" t="s">
        <v>1069</v>
      </c>
      <c r="D132" s="25" t="s">
        <v>1070</v>
      </c>
      <c r="E132" s="26" t="s">
        <v>45</v>
      </c>
      <c r="F132" s="27" t="s">
        <v>45</v>
      </c>
      <c r="G132" s="28" t="s">
        <v>45</v>
      </c>
      <c r="H132" s="29"/>
      <c r="I132" s="29" t="s">
        <v>46</v>
      </c>
      <c r="J132" s="30">
        <v>10</v>
      </c>
      <c r="K132" s="31">
        <f>1791</f>
        <v>1791</v>
      </c>
      <c r="L132" s="32" t="s">
        <v>78</v>
      </c>
      <c r="M132" s="31">
        <f>1851</f>
        <v>1851</v>
      </c>
      <c r="N132" s="32" t="s">
        <v>56</v>
      </c>
      <c r="O132" s="31">
        <f>1750</f>
        <v>1750</v>
      </c>
      <c r="P132" s="32" t="s">
        <v>793</v>
      </c>
      <c r="Q132" s="31">
        <f>1780</f>
        <v>1780</v>
      </c>
      <c r="R132" s="32" t="s">
        <v>791</v>
      </c>
      <c r="S132" s="33">
        <f>1798.25</f>
        <v>1798.25</v>
      </c>
      <c r="T132" s="30">
        <f>155540</f>
        <v>155540</v>
      </c>
      <c r="U132" s="30">
        <f>130000</f>
        <v>130000</v>
      </c>
      <c r="V132" s="30">
        <f>278739600</f>
        <v>278739600</v>
      </c>
      <c r="W132" s="30">
        <f>232583000</f>
        <v>232583000</v>
      </c>
      <c r="X132" s="34">
        <f>16</f>
        <v>16</v>
      </c>
    </row>
    <row r="133" spans="1:24" ht="13.5" customHeight="1" x14ac:dyDescent="0.15">
      <c r="A133" s="25" t="s">
        <v>1182</v>
      </c>
      <c r="B133" s="25" t="s">
        <v>462</v>
      </c>
      <c r="C133" s="25" t="s">
        <v>463</v>
      </c>
      <c r="D133" s="25" t="s">
        <v>464</v>
      </c>
      <c r="E133" s="26" t="s">
        <v>45</v>
      </c>
      <c r="F133" s="27" t="s">
        <v>45</v>
      </c>
      <c r="G133" s="28" t="s">
        <v>45</v>
      </c>
      <c r="H133" s="29"/>
      <c r="I133" s="29" t="s">
        <v>46</v>
      </c>
      <c r="J133" s="30">
        <v>10</v>
      </c>
      <c r="K133" s="31">
        <f>463.8</f>
        <v>463.8</v>
      </c>
      <c r="L133" s="32" t="s">
        <v>999</v>
      </c>
      <c r="M133" s="31">
        <f>471.9</f>
        <v>471.9</v>
      </c>
      <c r="N133" s="32" t="s">
        <v>787</v>
      </c>
      <c r="O133" s="31">
        <f>445</f>
        <v>445</v>
      </c>
      <c r="P133" s="32" t="s">
        <v>893</v>
      </c>
      <c r="Q133" s="31">
        <f>449.3</f>
        <v>449.3</v>
      </c>
      <c r="R133" s="32" t="s">
        <v>791</v>
      </c>
      <c r="S133" s="33">
        <f>460.25</f>
        <v>460.25</v>
      </c>
      <c r="T133" s="30">
        <f>36594850</f>
        <v>36594850</v>
      </c>
      <c r="U133" s="30">
        <f>2294350</f>
        <v>2294350</v>
      </c>
      <c r="V133" s="30">
        <f>16822659165</f>
        <v>16822659165</v>
      </c>
      <c r="W133" s="30">
        <f>1054019410</f>
        <v>1054019410</v>
      </c>
      <c r="X133" s="34">
        <f>21</f>
        <v>21</v>
      </c>
    </row>
    <row r="134" spans="1:24" ht="13.5" customHeight="1" x14ac:dyDescent="0.15">
      <c r="A134" s="25" t="s">
        <v>1182</v>
      </c>
      <c r="B134" s="25" t="s">
        <v>465</v>
      </c>
      <c r="C134" s="25" t="s">
        <v>466</v>
      </c>
      <c r="D134" s="25" t="s">
        <v>467</v>
      </c>
      <c r="E134" s="26" t="s">
        <v>45</v>
      </c>
      <c r="F134" s="27" t="s">
        <v>45</v>
      </c>
      <c r="G134" s="28" t="s">
        <v>45</v>
      </c>
      <c r="H134" s="29"/>
      <c r="I134" s="29" t="s">
        <v>46</v>
      </c>
      <c r="J134" s="30">
        <v>10</v>
      </c>
      <c r="K134" s="31">
        <f>285.4</f>
        <v>285.39999999999998</v>
      </c>
      <c r="L134" s="32" t="s">
        <v>999</v>
      </c>
      <c r="M134" s="31">
        <f>285.5</f>
        <v>285.5</v>
      </c>
      <c r="N134" s="32" t="s">
        <v>999</v>
      </c>
      <c r="O134" s="31">
        <f>276.4</f>
        <v>276.39999999999998</v>
      </c>
      <c r="P134" s="32" t="s">
        <v>80</v>
      </c>
      <c r="Q134" s="31">
        <f>280.2</f>
        <v>280.2</v>
      </c>
      <c r="R134" s="32" t="s">
        <v>791</v>
      </c>
      <c r="S134" s="33">
        <f>280.55</f>
        <v>280.55</v>
      </c>
      <c r="T134" s="30">
        <f>50821010</f>
        <v>50821010</v>
      </c>
      <c r="U134" s="30">
        <f>48661480</f>
        <v>48661480</v>
      </c>
      <c r="V134" s="30">
        <f>14263481843</f>
        <v>14263481843</v>
      </c>
      <c r="W134" s="30">
        <f>13659257222</f>
        <v>13659257222</v>
      </c>
      <c r="X134" s="34">
        <f>21</f>
        <v>21</v>
      </c>
    </row>
    <row r="135" spans="1:24" ht="13.5" customHeight="1" x14ac:dyDescent="0.15">
      <c r="A135" s="25" t="s">
        <v>1182</v>
      </c>
      <c r="B135" s="25" t="s">
        <v>468</v>
      </c>
      <c r="C135" s="25" t="s">
        <v>1120</v>
      </c>
      <c r="D135" s="25" t="s">
        <v>470</v>
      </c>
      <c r="E135" s="26" t="s">
        <v>45</v>
      </c>
      <c r="F135" s="27" t="s">
        <v>45</v>
      </c>
      <c r="G135" s="28" t="s">
        <v>45</v>
      </c>
      <c r="H135" s="29"/>
      <c r="I135" s="29" t="s">
        <v>46</v>
      </c>
      <c r="J135" s="30">
        <v>1</v>
      </c>
      <c r="K135" s="31">
        <f>3970</f>
        <v>3970</v>
      </c>
      <c r="L135" s="32" t="s">
        <v>999</v>
      </c>
      <c r="M135" s="31">
        <f>4035</f>
        <v>4035</v>
      </c>
      <c r="N135" s="32" t="s">
        <v>787</v>
      </c>
      <c r="O135" s="31">
        <f>3790</f>
        <v>3790</v>
      </c>
      <c r="P135" s="32" t="s">
        <v>893</v>
      </c>
      <c r="Q135" s="31">
        <f>3830</f>
        <v>3830</v>
      </c>
      <c r="R135" s="32" t="s">
        <v>791</v>
      </c>
      <c r="S135" s="33">
        <f>3925</f>
        <v>3925</v>
      </c>
      <c r="T135" s="30">
        <f>36012</f>
        <v>36012</v>
      </c>
      <c r="U135" s="30">
        <f>3125</f>
        <v>3125</v>
      </c>
      <c r="V135" s="30">
        <f>141707367</f>
        <v>141707367</v>
      </c>
      <c r="W135" s="30">
        <f>12614937</f>
        <v>12614937</v>
      </c>
      <c r="X135" s="34">
        <f>21</f>
        <v>21</v>
      </c>
    </row>
    <row r="136" spans="1:24" ht="13.5" customHeight="1" x14ac:dyDescent="0.15">
      <c r="A136" s="25" t="s">
        <v>1182</v>
      </c>
      <c r="B136" s="25" t="s">
        <v>471</v>
      </c>
      <c r="C136" s="25" t="s">
        <v>472</v>
      </c>
      <c r="D136" s="25" t="s">
        <v>473</v>
      </c>
      <c r="E136" s="26" t="s">
        <v>45</v>
      </c>
      <c r="F136" s="27" t="s">
        <v>45</v>
      </c>
      <c r="G136" s="28" t="s">
        <v>45</v>
      </c>
      <c r="H136" s="29"/>
      <c r="I136" s="29" t="s">
        <v>46</v>
      </c>
      <c r="J136" s="30">
        <v>1</v>
      </c>
      <c r="K136" s="31">
        <f>2394</f>
        <v>2394</v>
      </c>
      <c r="L136" s="32" t="s">
        <v>999</v>
      </c>
      <c r="M136" s="31">
        <f>2415</f>
        <v>2415</v>
      </c>
      <c r="N136" s="32" t="s">
        <v>787</v>
      </c>
      <c r="O136" s="31">
        <f>2293</f>
        <v>2293</v>
      </c>
      <c r="P136" s="32" t="s">
        <v>786</v>
      </c>
      <c r="Q136" s="31">
        <f>2314</f>
        <v>2314</v>
      </c>
      <c r="R136" s="32" t="s">
        <v>791</v>
      </c>
      <c r="S136" s="33">
        <f>2353.43</f>
        <v>2353.4299999999998</v>
      </c>
      <c r="T136" s="30">
        <f>47834</f>
        <v>47834</v>
      </c>
      <c r="U136" s="30">
        <f>4348</f>
        <v>4348</v>
      </c>
      <c r="V136" s="30">
        <f>112311358</f>
        <v>112311358</v>
      </c>
      <c r="W136" s="30">
        <f>9991269</f>
        <v>9991269</v>
      </c>
      <c r="X136" s="34">
        <f>21</f>
        <v>21</v>
      </c>
    </row>
    <row r="137" spans="1:24" ht="13.5" customHeight="1" x14ac:dyDescent="0.15">
      <c r="A137" s="25" t="s">
        <v>1182</v>
      </c>
      <c r="B137" s="25" t="s">
        <v>474</v>
      </c>
      <c r="C137" s="25" t="s">
        <v>475</v>
      </c>
      <c r="D137" s="25" t="s">
        <v>476</v>
      </c>
      <c r="E137" s="26" t="s">
        <v>45</v>
      </c>
      <c r="F137" s="27" t="s">
        <v>45</v>
      </c>
      <c r="G137" s="28" t="s">
        <v>45</v>
      </c>
      <c r="H137" s="29"/>
      <c r="I137" s="29" t="s">
        <v>46</v>
      </c>
      <c r="J137" s="30">
        <v>1</v>
      </c>
      <c r="K137" s="31">
        <f>2650</f>
        <v>2650</v>
      </c>
      <c r="L137" s="32" t="s">
        <v>999</v>
      </c>
      <c r="M137" s="31">
        <f>2683</f>
        <v>2683</v>
      </c>
      <c r="N137" s="32" t="s">
        <v>787</v>
      </c>
      <c r="O137" s="31">
        <f>2468</f>
        <v>2468</v>
      </c>
      <c r="P137" s="32" t="s">
        <v>791</v>
      </c>
      <c r="Q137" s="31">
        <f>2480</f>
        <v>2480</v>
      </c>
      <c r="R137" s="32" t="s">
        <v>791</v>
      </c>
      <c r="S137" s="33">
        <f>2580.57</f>
        <v>2580.5700000000002</v>
      </c>
      <c r="T137" s="30">
        <f>147275</f>
        <v>147275</v>
      </c>
      <c r="U137" s="30">
        <f>1</f>
        <v>1</v>
      </c>
      <c r="V137" s="30">
        <f>377084911</f>
        <v>377084911</v>
      </c>
      <c r="W137" s="30">
        <f>2796</f>
        <v>2796</v>
      </c>
      <c r="X137" s="34">
        <f>21</f>
        <v>21</v>
      </c>
    </row>
    <row r="138" spans="1:24" ht="13.5" customHeight="1" x14ac:dyDescent="0.15">
      <c r="A138" s="25" t="s">
        <v>1182</v>
      </c>
      <c r="B138" s="25" t="s">
        <v>477</v>
      </c>
      <c r="C138" s="25" t="s">
        <v>478</v>
      </c>
      <c r="D138" s="25" t="s">
        <v>479</v>
      </c>
      <c r="E138" s="26" t="s">
        <v>45</v>
      </c>
      <c r="F138" s="27" t="s">
        <v>45</v>
      </c>
      <c r="G138" s="28" t="s">
        <v>45</v>
      </c>
      <c r="H138" s="29"/>
      <c r="I138" s="29" t="s">
        <v>46</v>
      </c>
      <c r="J138" s="30">
        <v>1</v>
      </c>
      <c r="K138" s="31">
        <f>10730</f>
        <v>10730</v>
      </c>
      <c r="L138" s="32" t="s">
        <v>999</v>
      </c>
      <c r="M138" s="31">
        <f>10750</f>
        <v>10750</v>
      </c>
      <c r="N138" s="32" t="s">
        <v>999</v>
      </c>
      <c r="O138" s="31">
        <f>10330</f>
        <v>10330</v>
      </c>
      <c r="P138" s="32" t="s">
        <v>876</v>
      </c>
      <c r="Q138" s="31">
        <f>10450</f>
        <v>10450</v>
      </c>
      <c r="R138" s="32" t="s">
        <v>791</v>
      </c>
      <c r="S138" s="33">
        <f>10491.67</f>
        <v>10491.67</v>
      </c>
      <c r="T138" s="30">
        <f>180614</f>
        <v>180614</v>
      </c>
      <c r="U138" s="30">
        <f>98000</f>
        <v>98000</v>
      </c>
      <c r="V138" s="30">
        <f>1889612265</f>
        <v>1889612265</v>
      </c>
      <c r="W138" s="30">
        <f>1023142335</f>
        <v>1023142335</v>
      </c>
      <c r="X138" s="34">
        <f>21</f>
        <v>21</v>
      </c>
    </row>
    <row r="139" spans="1:24" ht="13.5" customHeight="1" x14ac:dyDescent="0.15">
      <c r="A139" s="25" t="s">
        <v>1182</v>
      </c>
      <c r="B139" s="25" t="s">
        <v>480</v>
      </c>
      <c r="C139" s="25" t="s">
        <v>481</v>
      </c>
      <c r="D139" s="25" t="s">
        <v>482</v>
      </c>
      <c r="E139" s="26" t="s">
        <v>45</v>
      </c>
      <c r="F139" s="27" t="s">
        <v>45</v>
      </c>
      <c r="G139" s="28" t="s">
        <v>45</v>
      </c>
      <c r="H139" s="29"/>
      <c r="I139" s="29" t="s">
        <v>46</v>
      </c>
      <c r="J139" s="30">
        <v>1</v>
      </c>
      <c r="K139" s="31">
        <f>3350</f>
        <v>3350</v>
      </c>
      <c r="L139" s="32" t="s">
        <v>999</v>
      </c>
      <c r="M139" s="31">
        <f>3385</f>
        <v>3385</v>
      </c>
      <c r="N139" s="32" t="s">
        <v>80</v>
      </c>
      <c r="O139" s="31">
        <f>3030</f>
        <v>3030</v>
      </c>
      <c r="P139" s="32" t="s">
        <v>78</v>
      </c>
      <c r="Q139" s="31">
        <f>3170</f>
        <v>3170</v>
      </c>
      <c r="R139" s="32" t="s">
        <v>791</v>
      </c>
      <c r="S139" s="33">
        <f>3215.24</f>
        <v>3215.24</v>
      </c>
      <c r="T139" s="30">
        <f>6932212</f>
        <v>6932212</v>
      </c>
      <c r="U139" s="30">
        <f>75</f>
        <v>75</v>
      </c>
      <c r="V139" s="30">
        <f>22234137209</f>
        <v>22234137209</v>
      </c>
      <c r="W139" s="30">
        <f>233744</f>
        <v>233744</v>
      </c>
      <c r="X139" s="34">
        <f>21</f>
        <v>21</v>
      </c>
    </row>
    <row r="140" spans="1:24" ht="13.5" customHeight="1" x14ac:dyDescent="0.15">
      <c r="A140" s="25" t="s">
        <v>1182</v>
      </c>
      <c r="B140" s="25" t="s">
        <v>483</v>
      </c>
      <c r="C140" s="25" t="s">
        <v>484</v>
      </c>
      <c r="D140" s="25" t="s">
        <v>485</v>
      </c>
      <c r="E140" s="26" t="s">
        <v>45</v>
      </c>
      <c r="F140" s="27" t="s">
        <v>45</v>
      </c>
      <c r="G140" s="28" t="s">
        <v>45</v>
      </c>
      <c r="H140" s="29"/>
      <c r="I140" s="29" t="s">
        <v>46</v>
      </c>
      <c r="J140" s="30">
        <v>1</v>
      </c>
      <c r="K140" s="31">
        <f>26155</f>
        <v>26155</v>
      </c>
      <c r="L140" s="32" t="s">
        <v>999</v>
      </c>
      <c r="M140" s="31">
        <f>28150</f>
        <v>28150</v>
      </c>
      <c r="N140" s="32" t="s">
        <v>893</v>
      </c>
      <c r="O140" s="31">
        <f>25485</f>
        <v>25485</v>
      </c>
      <c r="P140" s="32" t="s">
        <v>785</v>
      </c>
      <c r="Q140" s="31">
        <f>28080</f>
        <v>28080</v>
      </c>
      <c r="R140" s="32" t="s">
        <v>791</v>
      </c>
      <c r="S140" s="33">
        <f>26915.24</f>
        <v>26915.24</v>
      </c>
      <c r="T140" s="30">
        <f>9835</f>
        <v>9835</v>
      </c>
      <c r="U140" s="30" t="str">
        <f>"－"</f>
        <v>－</v>
      </c>
      <c r="V140" s="30">
        <f>266202315</f>
        <v>266202315</v>
      </c>
      <c r="W140" s="30" t="str">
        <f>"－"</f>
        <v>－</v>
      </c>
      <c r="X140" s="34">
        <f>21</f>
        <v>21</v>
      </c>
    </row>
    <row r="141" spans="1:24" ht="13.5" customHeight="1" x14ac:dyDescent="0.15">
      <c r="A141" s="25" t="s">
        <v>1182</v>
      </c>
      <c r="B141" s="25" t="s">
        <v>486</v>
      </c>
      <c r="C141" s="25" t="s">
        <v>487</v>
      </c>
      <c r="D141" s="25" t="s">
        <v>488</v>
      </c>
      <c r="E141" s="26" t="s">
        <v>45</v>
      </c>
      <c r="F141" s="27" t="s">
        <v>45</v>
      </c>
      <c r="G141" s="28" t="s">
        <v>45</v>
      </c>
      <c r="H141" s="29"/>
      <c r="I141" s="29" t="s">
        <v>46</v>
      </c>
      <c r="J141" s="30">
        <v>10</v>
      </c>
      <c r="K141" s="31">
        <f>3074</f>
        <v>3074</v>
      </c>
      <c r="L141" s="32" t="s">
        <v>999</v>
      </c>
      <c r="M141" s="31">
        <f>3231</f>
        <v>3231</v>
      </c>
      <c r="N141" s="32" t="s">
        <v>894</v>
      </c>
      <c r="O141" s="31">
        <f>2852</f>
        <v>2852</v>
      </c>
      <c r="P141" s="32" t="s">
        <v>996</v>
      </c>
      <c r="Q141" s="31">
        <f>3210</f>
        <v>3210</v>
      </c>
      <c r="R141" s="32" t="s">
        <v>791</v>
      </c>
      <c r="S141" s="33">
        <f>3089.52</f>
        <v>3089.52</v>
      </c>
      <c r="T141" s="30">
        <f>21110</f>
        <v>21110</v>
      </c>
      <c r="U141" s="30" t="str">
        <f>"－"</f>
        <v>－</v>
      </c>
      <c r="V141" s="30">
        <f>64651435</f>
        <v>64651435</v>
      </c>
      <c r="W141" s="30" t="str">
        <f>"－"</f>
        <v>－</v>
      </c>
      <c r="X141" s="34">
        <f>21</f>
        <v>21</v>
      </c>
    </row>
    <row r="142" spans="1:24" ht="13.5" customHeight="1" x14ac:dyDescent="0.15">
      <c r="A142" s="25" t="s">
        <v>1182</v>
      </c>
      <c r="B142" s="25" t="s">
        <v>489</v>
      </c>
      <c r="C142" s="25" t="s">
        <v>490</v>
      </c>
      <c r="D142" s="25" t="s">
        <v>491</v>
      </c>
      <c r="E142" s="26" t="s">
        <v>45</v>
      </c>
      <c r="F142" s="27" t="s">
        <v>45</v>
      </c>
      <c r="G142" s="28" t="s">
        <v>45</v>
      </c>
      <c r="H142" s="29"/>
      <c r="I142" s="29" t="s">
        <v>46</v>
      </c>
      <c r="J142" s="30">
        <v>1</v>
      </c>
      <c r="K142" s="31">
        <f>12665</f>
        <v>12665</v>
      </c>
      <c r="L142" s="32" t="s">
        <v>999</v>
      </c>
      <c r="M142" s="31">
        <f>12935</f>
        <v>12935</v>
      </c>
      <c r="N142" s="32" t="s">
        <v>791</v>
      </c>
      <c r="O142" s="31">
        <f>11805</f>
        <v>11805</v>
      </c>
      <c r="P142" s="32" t="s">
        <v>78</v>
      </c>
      <c r="Q142" s="31">
        <f>12935</f>
        <v>12935</v>
      </c>
      <c r="R142" s="32" t="s">
        <v>791</v>
      </c>
      <c r="S142" s="33">
        <f>12326.9</f>
        <v>12326.9</v>
      </c>
      <c r="T142" s="30">
        <f>4922</f>
        <v>4922</v>
      </c>
      <c r="U142" s="30" t="str">
        <f>"－"</f>
        <v>－</v>
      </c>
      <c r="V142" s="30">
        <f>60746080</f>
        <v>60746080</v>
      </c>
      <c r="W142" s="30" t="str">
        <f>"－"</f>
        <v>－</v>
      </c>
      <c r="X142" s="34">
        <f>21</f>
        <v>21</v>
      </c>
    </row>
    <row r="143" spans="1:24" ht="13.5" customHeight="1" x14ac:dyDescent="0.15">
      <c r="A143" s="25" t="s">
        <v>1182</v>
      </c>
      <c r="B143" s="25" t="s">
        <v>492</v>
      </c>
      <c r="C143" s="25" t="s">
        <v>493</v>
      </c>
      <c r="D143" s="25" t="s">
        <v>494</v>
      </c>
      <c r="E143" s="26" t="s">
        <v>45</v>
      </c>
      <c r="F143" s="27" t="s">
        <v>45</v>
      </c>
      <c r="G143" s="28" t="s">
        <v>45</v>
      </c>
      <c r="H143" s="29"/>
      <c r="I143" s="29" t="s">
        <v>46</v>
      </c>
      <c r="J143" s="30">
        <v>1</v>
      </c>
      <c r="K143" s="31">
        <f>17180</f>
        <v>17180</v>
      </c>
      <c r="L143" s="32" t="s">
        <v>999</v>
      </c>
      <c r="M143" s="31">
        <f>17540</f>
        <v>17540</v>
      </c>
      <c r="N143" s="32" t="s">
        <v>999</v>
      </c>
      <c r="O143" s="31">
        <f>15200</f>
        <v>15200</v>
      </c>
      <c r="P143" s="32" t="s">
        <v>894</v>
      </c>
      <c r="Q143" s="31">
        <f>15620</f>
        <v>15620</v>
      </c>
      <c r="R143" s="32" t="s">
        <v>791</v>
      </c>
      <c r="S143" s="33">
        <f>15945.48</f>
        <v>15945.48</v>
      </c>
      <c r="T143" s="30">
        <f>8110</f>
        <v>8110</v>
      </c>
      <c r="U143" s="30" t="str">
        <f>"－"</f>
        <v>－</v>
      </c>
      <c r="V143" s="30">
        <f>128872830</f>
        <v>128872830</v>
      </c>
      <c r="W143" s="30" t="str">
        <f>"－"</f>
        <v>－</v>
      </c>
      <c r="X143" s="34">
        <f>21</f>
        <v>21</v>
      </c>
    </row>
    <row r="144" spans="1:24" ht="13.5" customHeight="1" x14ac:dyDescent="0.15">
      <c r="A144" s="25" t="s">
        <v>1182</v>
      </c>
      <c r="B144" s="25" t="s">
        <v>495</v>
      </c>
      <c r="C144" s="25" t="s">
        <v>496</v>
      </c>
      <c r="D144" s="25" t="s">
        <v>497</v>
      </c>
      <c r="E144" s="26" t="s">
        <v>45</v>
      </c>
      <c r="F144" s="27" t="s">
        <v>45</v>
      </c>
      <c r="G144" s="28" t="s">
        <v>45</v>
      </c>
      <c r="H144" s="29"/>
      <c r="I144" s="29" t="s">
        <v>46</v>
      </c>
      <c r="J144" s="30">
        <v>1</v>
      </c>
      <c r="K144" s="31">
        <f>18990</f>
        <v>18990</v>
      </c>
      <c r="L144" s="32" t="s">
        <v>999</v>
      </c>
      <c r="M144" s="31">
        <f>19650</f>
        <v>19650</v>
      </c>
      <c r="N144" s="32" t="s">
        <v>893</v>
      </c>
      <c r="O144" s="31">
        <f>17960</f>
        <v>17960</v>
      </c>
      <c r="P144" s="32" t="s">
        <v>875</v>
      </c>
      <c r="Q144" s="31">
        <f>19250</f>
        <v>19250</v>
      </c>
      <c r="R144" s="32" t="s">
        <v>893</v>
      </c>
      <c r="S144" s="33">
        <f>19075.83</f>
        <v>19075.830000000002</v>
      </c>
      <c r="T144" s="30">
        <f>209</f>
        <v>209</v>
      </c>
      <c r="U144" s="30" t="str">
        <f>"－"</f>
        <v>－</v>
      </c>
      <c r="V144" s="30">
        <f>3979865</f>
        <v>3979865</v>
      </c>
      <c r="W144" s="30" t="str">
        <f>"－"</f>
        <v>－</v>
      </c>
      <c r="X144" s="34">
        <f>12</f>
        <v>12</v>
      </c>
    </row>
    <row r="145" spans="1:24" ht="13.5" customHeight="1" x14ac:dyDescent="0.15">
      <c r="A145" s="25" t="s">
        <v>1182</v>
      </c>
      <c r="B145" s="25" t="s">
        <v>498</v>
      </c>
      <c r="C145" s="25" t="s">
        <v>499</v>
      </c>
      <c r="D145" s="25" t="s">
        <v>500</v>
      </c>
      <c r="E145" s="26" t="s">
        <v>45</v>
      </c>
      <c r="F145" s="27" t="s">
        <v>45</v>
      </c>
      <c r="G145" s="28" t="s">
        <v>45</v>
      </c>
      <c r="H145" s="29"/>
      <c r="I145" s="29" t="s">
        <v>46</v>
      </c>
      <c r="J145" s="30">
        <v>10</v>
      </c>
      <c r="K145" s="31">
        <f>52250</f>
        <v>52250</v>
      </c>
      <c r="L145" s="32" t="s">
        <v>999</v>
      </c>
      <c r="M145" s="31">
        <f>52450</f>
        <v>52450</v>
      </c>
      <c r="N145" s="32" t="s">
        <v>787</v>
      </c>
      <c r="O145" s="31">
        <f>51480</f>
        <v>51480</v>
      </c>
      <c r="P145" s="32" t="s">
        <v>785</v>
      </c>
      <c r="Q145" s="31">
        <f>52190</f>
        <v>52190</v>
      </c>
      <c r="R145" s="32" t="s">
        <v>791</v>
      </c>
      <c r="S145" s="33">
        <f>52005.71</f>
        <v>52005.71</v>
      </c>
      <c r="T145" s="30">
        <f>8140</f>
        <v>8140</v>
      </c>
      <c r="U145" s="30">
        <f>3980</f>
        <v>3980</v>
      </c>
      <c r="V145" s="30">
        <f>424566481</f>
        <v>424566481</v>
      </c>
      <c r="W145" s="30">
        <f>208730581</f>
        <v>208730581</v>
      </c>
      <c r="X145" s="34">
        <f>21</f>
        <v>21</v>
      </c>
    </row>
    <row r="146" spans="1:24" ht="13.5" customHeight="1" x14ac:dyDescent="0.15">
      <c r="A146" s="25" t="s">
        <v>1182</v>
      </c>
      <c r="B146" s="25" t="s">
        <v>501</v>
      </c>
      <c r="C146" s="25" t="s">
        <v>1121</v>
      </c>
      <c r="D146" s="25" t="s">
        <v>503</v>
      </c>
      <c r="E146" s="26" t="s">
        <v>45</v>
      </c>
      <c r="F146" s="27" t="s">
        <v>45</v>
      </c>
      <c r="G146" s="28" t="s">
        <v>45</v>
      </c>
      <c r="H146" s="29"/>
      <c r="I146" s="29" t="s">
        <v>46</v>
      </c>
      <c r="J146" s="30">
        <v>10</v>
      </c>
      <c r="K146" s="31">
        <f>312.9</f>
        <v>312.89999999999998</v>
      </c>
      <c r="L146" s="32" t="s">
        <v>999</v>
      </c>
      <c r="M146" s="31">
        <f>315.8</f>
        <v>315.8</v>
      </c>
      <c r="N146" s="32" t="s">
        <v>792</v>
      </c>
      <c r="O146" s="31">
        <f>300.1</f>
        <v>300.10000000000002</v>
      </c>
      <c r="P146" s="32" t="s">
        <v>893</v>
      </c>
      <c r="Q146" s="31">
        <f>304.1</f>
        <v>304.10000000000002</v>
      </c>
      <c r="R146" s="32" t="s">
        <v>791</v>
      </c>
      <c r="S146" s="33">
        <f>309.5</f>
        <v>309.5</v>
      </c>
      <c r="T146" s="30">
        <f>27360590</f>
        <v>27360590</v>
      </c>
      <c r="U146" s="30">
        <f>215200</f>
        <v>215200</v>
      </c>
      <c r="V146" s="30">
        <f>8454485401</f>
        <v>8454485401</v>
      </c>
      <c r="W146" s="30">
        <f>66735374</f>
        <v>66735374</v>
      </c>
      <c r="X146" s="34">
        <f>21</f>
        <v>21</v>
      </c>
    </row>
    <row r="147" spans="1:24" ht="13.5" customHeight="1" x14ac:dyDescent="0.15">
      <c r="A147" s="25" t="s">
        <v>1182</v>
      </c>
      <c r="B147" s="25" t="s">
        <v>504</v>
      </c>
      <c r="C147" s="25" t="s">
        <v>1122</v>
      </c>
      <c r="D147" s="25" t="s">
        <v>506</v>
      </c>
      <c r="E147" s="26" t="s">
        <v>45</v>
      </c>
      <c r="F147" s="27" t="s">
        <v>45</v>
      </c>
      <c r="G147" s="28" t="s">
        <v>45</v>
      </c>
      <c r="H147" s="29"/>
      <c r="I147" s="29" t="s">
        <v>46</v>
      </c>
      <c r="J147" s="30">
        <v>10</v>
      </c>
      <c r="K147" s="31">
        <f>42880</f>
        <v>42880</v>
      </c>
      <c r="L147" s="32" t="s">
        <v>999</v>
      </c>
      <c r="M147" s="31">
        <f>43250</f>
        <v>43250</v>
      </c>
      <c r="N147" s="32" t="s">
        <v>788</v>
      </c>
      <c r="O147" s="31">
        <f>41380</f>
        <v>41380</v>
      </c>
      <c r="P147" s="32" t="s">
        <v>893</v>
      </c>
      <c r="Q147" s="31">
        <f>42050</f>
        <v>42050</v>
      </c>
      <c r="R147" s="32" t="s">
        <v>791</v>
      </c>
      <c r="S147" s="33">
        <f>42476.19</f>
        <v>42476.19</v>
      </c>
      <c r="T147" s="30">
        <f>2330</f>
        <v>2330</v>
      </c>
      <c r="U147" s="30" t="str">
        <f t="shared" ref="U147:U155" si="0">"－"</f>
        <v>－</v>
      </c>
      <c r="V147" s="30">
        <f>98810300</f>
        <v>98810300</v>
      </c>
      <c r="W147" s="30" t="str">
        <f t="shared" ref="W147:W155" si="1">"－"</f>
        <v>－</v>
      </c>
      <c r="X147" s="34">
        <f>21</f>
        <v>21</v>
      </c>
    </row>
    <row r="148" spans="1:24" ht="13.5" customHeight="1" x14ac:dyDescent="0.15">
      <c r="A148" s="25" t="s">
        <v>1182</v>
      </c>
      <c r="B148" s="25" t="s">
        <v>507</v>
      </c>
      <c r="C148" s="25" t="s">
        <v>508</v>
      </c>
      <c r="D148" s="25" t="s">
        <v>1123</v>
      </c>
      <c r="E148" s="26" t="s">
        <v>45</v>
      </c>
      <c r="F148" s="27" t="s">
        <v>45</v>
      </c>
      <c r="G148" s="28" t="s">
        <v>45</v>
      </c>
      <c r="H148" s="29"/>
      <c r="I148" s="29" t="s">
        <v>46</v>
      </c>
      <c r="J148" s="30">
        <v>10</v>
      </c>
      <c r="K148" s="31">
        <f>4554</f>
        <v>4554</v>
      </c>
      <c r="L148" s="32" t="s">
        <v>999</v>
      </c>
      <c r="M148" s="31">
        <f>4627</f>
        <v>4627</v>
      </c>
      <c r="N148" s="32" t="s">
        <v>787</v>
      </c>
      <c r="O148" s="31">
        <f>4357</f>
        <v>4357</v>
      </c>
      <c r="P148" s="32" t="s">
        <v>893</v>
      </c>
      <c r="Q148" s="31">
        <f>4400</f>
        <v>4400</v>
      </c>
      <c r="R148" s="32" t="s">
        <v>791</v>
      </c>
      <c r="S148" s="33">
        <f>4505.71</f>
        <v>4505.71</v>
      </c>
      <c r="T148" s="30">
        <f>43840</f>
        <v>43840</v>
      </c>
      <c r="U148" s="30" t="str">
        <f t="shared" si="0"/>
        <v>－</v>
      </c>
      <c r="V148" s="30">
        <f>197612490</f>
        <v>197612490</v>
      </c>
      <c r="W148" s="30" t="str">
        <f t="shared" si="1"/>
        <v>－</v>
      </c>
      <c r="X148" s="34">
        <f>21</f>
        <v>21</v>
      </c>
    </row>
    <row r="149" spans="1:24" ht="13.5" customHeight="1" x14ac:dyDescent="0.15">
      <c r="A149" s="25" t="s">
        <v>1182</v>
      </c>
      <c r="B149" s="25" t="s">
        <v>510</v>
      </c>
      <c r="C149" s="25" t="s">
        <v>1124</v>
      </c>
      <c r="D149" s="25" t="s">
        <v>1125</v>
      </c>
      <c r="E149" s="26" t="s">
        <v>45</v>
      </c>
      <c r="F149" s="27" t="s">
        <v>45</v>
      </c>
      <c r="G149" s="28" t="s">
        <v>45</v>
      </c>
      <c r="H149" s="29"/>
      <c r="I149" s="29" t="s">
        <v>46</v>
      </c>
      <c r="J149" s="30">
        <v>10</v>
      </c>
      <c r="K149" s="31">
        <f>1810</f>
        <v>1810</v>
      </c>
      <c r="L149" s="32" t="s">
        <v>999</v>
      </c>
      <c r="M149" s="31">
        <f>1832</f>
        <v>1832</v>
      </c>
      <c r="N149" s="32" t="s">
        <v>787</v>
      </c>
      <c r="O149" s="31">
        <f>1730.5</f>
        <v>1730.5</v>
      </c>
      <c r="P149" s="32" t="s">
        <v>786</v>
      </c>
      <c r="Q149" s="31">
        <f>1739.5</f>
        <v>1739.5</v>
      </c>
      <c r="R149" s="32" t="s">
        <v>791</v>
      </c>
      <c r="S149" s="33">
        <f>1776.14</f>
        <v>1776.14</v>
      </c>
      <c r="T149" s="30">
        <f>235680</f>
        <v>235680</v>
      </c>
      <c r="U149" s="30" t="str">
        <f t="shared" si="0"/>
        <v>－</v>
      </c>
      <c r="V149" s="30">
        <f>416862220</f>
        <v>416862220</v>
      </c>
      <c r="W149" s="30" t="str">
        <f t="shared" si="1"/>
        <v>－</v>
      </c>
      <c r="X149" s="34">
        <f>21</f>
        <v>21</v>
      </c>
    </row>
    <row r="150" spans="1:24" ht="13.5" customHeight="1" x14ac:dyDescent="0.15">
      <c r="A150" s="25" t="s">
        <v>1182</v>
      </c>
      <c r="B150" s="25" t="s">
        <v>513</v>
      </c>
      <c r="C150" s="25" t="s">
        <v>514</v>
      </c>
      <c r="D150" s="25" t="s">
        <v>515</v>
      </c>
      <c r="E150" s="26" t="s">
        <v>45</v>
      </c>
      <c r="F150" s="27" t="s">
        <v>45</v>
      </c>
      <c r="G150" s="28" t="s">
        <v>45</v>
      </c>
      <c r="H150" s="29"/>
      <c r="I150" s="29" t="s">
        <v>46</v>
      </c>
      <c r="J150" s="30">
        <v>100</v>
      </c>
      <c r="K150" s="31">
        <f>235.3</f>
        <v>235.3</v>
      </c>
      <c r="L150" s="32" t="s">
        <v>999</v>
      </c>
      <c r="M150" s="31">
        <f>238.5</f>
        <v>238.5</v>
      </c>
      <c r="N150" s="32" t="s">
        <v>791</v>
      </c>
      <c r="O150" s="31">
        <f>222</f>
        <v>222</v>
      </c>
      <c r="P150" s="32" t="s">
        <v>78</v>
      </c>
      <c r="Q150" s="31">
        <f>237.9</f>
        <v>237.9</v>
      </c>
      <c r="R150" s="32" t="s">
        <v>791</v>
      </c>
      <c r="S150" s="33">
        <f>230.48</f>
        <v>230.48</v>
      </c>
      <c r="T150" s="30">
        <f>212200</f>
        <v>212200</v>
      </c>
      <c r="U150" s="30" t="str">
        <f t="shared" si="0"/>
        <v>－</v>
      </c>
      <c r="V150" s="30">
        <f>48977310</f>
        <v>48977310</v>
      </c>
      <c r="W150" s="30" t="str">
        <f t="shared" si="1"/>
        <v>－</v>
      </c>
      <c r="X150" s="34">
        <f>21</f>
        <v>21</v>
      </c>
    </row>
    <row r="151" spans="1:24" ht="13.5" customHeight="1" x14ac:dyDescent="0.15">
      <c r="A151" s="25" t="s">
        <v>1182</v>
      </c>
      <c r="B151" s="25" t="s">
        <v>516</v>
      </c>
      <c r="C151" s="25" t="s">
        <v>517</v>
      </c>
      <c r="D151" s="25" t="s">
        <v>518</v>
      </c>
      <c r="E151" s="26" t="s">
        <v>45</v>
      </c>
      <c r="F151" s="27" t="s">
        <v>45</v>
      </c>
      <c r="G151" s="28" t="s">
        <v>45</v>
      </c>
      <c r="H151" s="29"/>
      <c r="I151" s="29" t="s">
        <v>46</v>
      </c>
      <c r="J151" s="30">
        <v>10</v>
      </c>
      <c r="K151" s="31">
        <f>1675</f>
        <v>1675</v>
      </c>
      <c r="L151" s="32" t="s">
        <v>999</v>
      </c>
      <c r="M151" s="31">
        <f>1726</f>
        <v>1726</v>
      </c>
      <c r="N151" s="32" t="s">
        <v>894</v>
      </c>
      <c r="O151" s="31">
        <f>1608</f>
        <v>1608</v>
      </c>
      <c r="P151" s="32" t="s">
        <v>78</v>
      </c>
      <c r="Q151" s="31">
        <f>1719</f>
        <v>1719</v>
      </c>
      <c r="R151" s="32" t="s">
        <v>255</v>
      </c>
      <c r="S151" s="33">
        <f>1683.38</f>
        <v>1683.38</v>
      </c>
      <c r="T151" s="30">
        <f>1850</f>
        <v>1850</v>
      </c>
      <c r="U151" s="30" t="str">
        <f t="shared" si="0"/>
        <v>－</v>
      </c>
      <c r="V151" s="30">
        <f>3119305</f>
        <v>3119305</v>
      </c>
      <c r="W151" s="30" t="str">
        <f t="shared" si="1"/>
        <v>－</v>
      </c>
      <c r="X151" s="34">
        <f>13</f>
        <v>13</v>
      </c>
    </row>
    <row r="152" spans="1:24" ht="13.5" customHeight="1" x14ac:dyDescent="0.15">
      <c r="A152" s="25" t="s">
        <v>1182</v>
      </c>
      <c r="B152" s="25" t="s">
        <v>519</v>
      </c>
      <c r="C152" s="25" t="s">
        <v>520</v>
      </c>
      <c r="D152" s="25" t="s">
        <v>521</v>
      </c>
      <c r="E152" s="26" t="s">
        <v>45</v>
      </c>
      <c r="F152" s="27" t="s">
        <v>45</v>
      </c>
      <c r="G152" s="28" t="s">
        <v>45</v>
      </c>
      <c r="H152" s="29"/>
      <c r="I152" s="29" t="s">
        <v>46</v>
      </c>
      <c r="J152" s="30">
        <v>10</v>
      </c>
      <c r="K152" s="31">
        <f>645.2</f>
        <v>645.20000000000005</v>
      </c>
      <c r="L152" s="32" t="s">
        <v>999</v>
      </c>
      <c r="M152" s="31">
        <f>684.9</f>
        <v>684.9</v>
      </c>
      <c r="N152" s="32" t="s">
        <v>996</v>
      </c>
      <c r="O152" s="31">
        <f>600.1</f>
        <v>600.1</v>
      </c>
      <c r="P152" s="32" t="s">
        <v>78</v>
      </c>
      <c r="Q152" s="31">
        <f>620</f>
        <v>620</v>
      </c>
      <c r="R152" s="32" t="s">
        <v>791</v>
      </c>
      <c r="S152" s="33">
        <f>633.11</f>
        <v>633.11</v>
      </c>
      <c r="T152" s="30">
        <f>93400</f>
        <v>93400</v>
      </c>
      <c r="U152" s="30" t="str">
        <f t="shared" si="0"/>
        <v>－</v>
      </c>
      <c r="V152" s="30">
        <f>58788470</f>
        <v>58788470</v>
      </c>
      <c r="W152" s="30" t="str">
        <f t="shared" si="1"/>
        <v>－</v>
      </c>
      <c r="X152" s="34">
        <f>21</f>
        <v>21</v>
      </c>
    </row>
    <row r="153" spans="1:24" ht="13.5" customHeight="1" x14ac:dyDescent="0.15">
      <c r="A153" s="25" t="s">
        <v>1182</v>
      </c>
      <c r="B153" s="25" t="s">
        <v>522</v>
      </c>
      <c r="C153" s="25" t="s">
        <v>523</v>
      </c>
      <c r="D153" s="25" t="s">
        <v>524</v>
      </c>
      <c r="E153" s="26" t="s">
        <v>45</v>
      </c>
      <c r="F153" s="27" t="s">
        <v>45</v>
      </c>
      <c r="G153" s="28" t="s">
        <v>45</v>
      </c>
      <c r="H153" s="29"/>
      <c r="I153" s="29" t="s">
        <v>46</v>
      </c>
      <c r="J153" s="30">
        <v>10</v>
      </c>
      <c r="K153" s="31">
        <f>2147</f>
        <v>2147</v>
      </c>
      <c r="L153" s="32" t="s">
        <v>999</v>
      </c>
      <c r="M153" s="31">
        <f>2174.5</f>
        <v>2174.5</v>
      </c>
      <c r="N153" s="32" t="s">
        <v>999</v>
      </c>
      <c r="O153" s="31">
        <f>2032</f>
        <v>2032</v>
      </c>
      <c r="P153" s="32" t="s">
        <v>792</v>
      </c>
      <c r="Q153" s="31">
        <f>2078</f>
        <v>2078</v>
      </c>
      <c r="R153" s="32" t="s">
        <v>791</v>
      </c>
      <c r="S153" s="33">
        <f>2071.16</f>
        <v>2071.16</v>
      </c>
      <c r="T153" s="30">
        <f>3510</f>
        <v>3510</v>
      </c>
      <c r="U153" s="30" t="str">
        <f t="shared" si="0"/>
        <v>－</v>
      </c>
      <c r="V153" s="30">
        <f>7407775</f>
        <v>7407775</v>
      </c>
      <c r="W153" s="30" t="str">
        <f t="shared" si="1"/>
        <v>－</v>
      </c>
      <c r="X153" s="34">
        <f>19</f>
        <v>19</v>
      </c>
    </row>
    <row r="154" spans="1:24" ht="13.5" customHeight="1" x14ac:dyDescent="0.15">
      <c r="A154" s="25" t="s">
        <v>1182</v>
      </c>
      <c r="B154" s="25" t="s">
        <v>525</v>
      </c>
      <c r="C154" s="25" t="s">
        <v>526</v>
      </c>
      <c r="D154" s="25" t="s">
        <v>527</v>
      </c>
      <c r="E154" s="26" t="s">
        <v>45</v>
      </c>
      <c r="F154" s="27" t="s">
        <v>45</v>
      </c>
      <c r="G154" s="28" t="s">
        <v>45</v>
      </c>
      <c r="H154" s="29"/>
      <c r="I154" s="29" t="s">
        <v>46</v>
      </c>
      <c r="J154" s="30">
        <v>10</v>
      </c>
      <c r="K154" s="31">
        <f>974.9</f>
        <v>974.9</v>
      </c>
      <c r="L154" s="32" t="s">
        <v>999</v>
      </c>
      <c r="M154" s="31">
        <f>1004</f>
        <v>1004</v>
      </c>
      <c r="N154" s="32" t="s">
        <v>80</v>
      </c>
      <c r="O154" s="31">
        <f>949</f>
        <v>949</v>
      </c>
      <c r="P154" s="32" t="s">
        <v>787</v>
      </c>
      <c r="Q154" s="31">
        <f>974.3</f>
        <v>974.3</v>
      </c>
      <c r="R154" s="32" t="s">
        <v>791</v>
      </c>
      <c r="S154" s="33">
        <f>976.1</f>
        <v>976.1</v>
      </c>
      <c r="T154" s="30">
        <f>32520</f>
        <v>32520</v>
      </c>
      <c r="U154" s="30" t="str">
        <f t="shared" si="0"/>
        <v>－</v>
      </c>
      <c r="V154" s="30">
        <f>31887756</f>
        <v>31887756</v>
      </c>
      <c r="W154" s="30" t="str">
        <f t="shared" si="1"/>
        <v>－</v>
      </c>
      <c r="X154" s="34">
        <f>21</f>
        <v>21</v>
      </c>
    </row>
    <row r="155" spans="1:24" ht="13.5" customHeight="1" x14ac:dyDescent="0.15">
      <c r="A155" s="25" t="s">
        <v>1182</v>
      </c>
      <c r="B155" s="25" t="s">
        <v>528</v>
      </c>
      <c r="C155" s="25" t="s">
        <v>529</v>
      </c>
      <c r="D155" s="25" t="s">
        <v>530</v>
      </c>
      <c r="E155" s="26" t="s">
        <v>45</v>
      </c>
      <c r="F155" s="27" t="s">
        <v>45</v>
      </c>
      <c r="G155" s="28" t="s">
        <v>45</v>
      </c>
      <c r="H155" s="29"/>
      <c r="I155" s="29" t="s">
        <v>46</v>
      </c>
      <c r="J155" s="30">
        <v>10</v>
      </c>
      <c r="K155" s="31">
        <f>627.4</f>
        <v>627.4</v>
      </c>
      <c r="L155" s="32" t="s">
        <v>999</v>
      </c>
      <c r="M155" s="31">
        <f>666</f>
        <v>666</v>
      </c>
      <c r="N155" s="32" t="s">
        <v>80</v>
      </c>
      <c r="O155" s="31">
        <f>627.4</f>
        <v>627.4</v>
      </c>
      <c r="P155" s="32" t="s">
        <v>999</v>
      </c>
      <c r="Q155" s="31">
        <f>637.9</f>
        <v>637.9</v>
      </c>
      <c r="R155" s="32" t="s">
        <v>791</v>
      </c>
      <c r="S155" s="33">
        <f>643.96</f>
        <v>643.96</v>
      </c>
      <c r="T155" s="30">
        <f>110750</f>
        <v>110750</v>
      </c>
      <c r="U155" s="30" t="str">
        <f t="shared" si="0"/>
        <v>－</v>
      </c>
      <c r="V155" s="30">
        <f>71422901</f>
        <v>71422901</v>
      </c>
      <c r="W155" s="30" t="str">
        <f t="shared" si="1"/>
        <v>－</v>
      </c>
      <c r="X155" s="34">
        <f>21</f>
        <v>21</v>
      </c>
    </row>
    <row r="156" spans="1:24" ht="13.5" customHeight="1" x14ac:dyDescent="0.15">
      <c r="A156" s="25" t="s">
        <v>1182</v>
      </c>
      <c r="B156" s="25" t="s">
        <v>531</v>
      </c>
      <c r="C156" s="25" t="s">
        <v>532</v>
      </c>
      <c r="D156" s="25" t="s">
        <v>533</v>
      </c>
      <c r="E156" s="26" t="s">
        <v>45</v>
      </c>
      <c r="F156" s="27" t="s">
        <v>45</v>
      </c>
      <c r="G156" s="28" t="s">
        <v>45</v>
      </c>
      <c r="H156" s="29"/>
      <c r="I156" s="29" t="s">
        <v>46</v>
      </c>
      <c r="J156" s="30">
        <v>100</v>
      </c>
      <c r="K156" s="31">
        <f>1.2</f>
        <v>1.2</v>
      </c>
      <c r="L156" s="32" t="s">
        <v>999</v>
      </c>
      <c r="M156" s="31">
        <f>1.4</f>
        <v>1.4</v>
      </c>
      <c r="N156" s="32" t="s">
        <v>875</v>
      </c>
      <c r="O156" s="31">
        <f>1.1</f>
        <v>1.1000000000000001</v>
      </c>
      <c r="P156" s="32" t="s">
        <v>999</v>
      </c>
      <c r="Q156" s="31">
        <f>1.3</f>
        <v>1.3</v>
      </c>
      <c r="R156" s="32" t="s">
        <v>791</v>
      </c>
      <c r="S156" s="33">
        <f>1.28</f>
        <v>1.28</v>
      </c>
      <c r="T156" s="30">
        <f>1263548500</f>
        <v>1263548500</v>
      </c>
      <c r="U156" s="30">
        <f>300</f>
        <v>300</v>
      </c>
      <c r="V156" s="30">
        <f>1615687250</f>
        <v>1615687250</v>
      </c>
      <c r="W156" s="30">
        <f>330</f>
        <v>330</v>
      </c>
      <c r="X156" s="34">
        <f>21</f>
        <v>21</v>
      </c>
    </row>
    <row r="157" spans="1:24" ht="13.5" customHeight="1" x14ac:dyDescent="0.15">
      <c r="A157" s="25" t="s">
        <v>1182</v>
      </c>
      <c r="B157" s="25" t="s">
        <v>534</v>
      </c>
      <c r="C157" s="25" t="s">
        <v>535</v>
      </c>
      <c r="D157" s="25" t="s">
        <v>536</v>
      </c>
      <c r="E157" s="26" t="s">
        <v>45</v>
      </c>
      <c r="F157" s="27" t="s">
        <v>45</v>
      </c>
      <c r="G157" s="28" t="s">
        <v>45</v>
      </c>
      <c r="H157" s="29"/>
      <c r="I157" s="29" t="s">
        <v>46</v>
      </c>
      <c r="J157" s="30">
        <v>10</v>
      </c>
      <c r="K157" s="31">
        <f>1601.5</f>
        <v>1601.5</v>
      </c>
      <c r="L157" s="32" t="s">
        <v>999</v>
      </c>
      <c r="M157" s="31">
        <f>1609.5</f>
        <v>1609.5</v>
      </c>
      <c r="N157" s="32" t="s">
        <v>80</v>
      </c>
      <c r="O157" s="31">
        <f>1445</f>
        <v>1445</v>
      </c>
      <c r="P157" s="32" t="s">
        <v>78</v>
      </c>
      <c r="Q157" s="31">
        <f>1519</f>
        <v>1519</v>
      </c>
      <c r="R157" s="32" t="s">
        <v>791</v>
      </c>
      <c r="S157" s="33">
        <f>1536.07</f>
        <v>1536.07</v>
      </c>
      <c r="T157" s="30">
        <f>117650</f>
        <v>117650</v>
      </c>
      <c r="U157" s="30" t="str">
        <f t="shared" ref="U157:U164" si="2">"－"</f>
        <v>－</v>
      </c>
      <c r="V157" s="30">
        <f>180789170</f>
        <v>180789170</v>
      </c>
      <c r="W157" s="30" t="str">
        <f t="shared" ref="W157:W164" si="3">"－"</f>
        <v>－</v>
      </c>
      <c r="X157" s="34">
        <f>21</f>
        <v>21</v>
      </c>
    </row>
    <row r="158" spans="1:24" ht="13.5" customHeight="1" x14ac:dyDescent="0.15">
      <c r="A158" s="25" t="s">
        <v>1182</v>
      </c>
      <c r="B158" s="25" t="s">
        <v>537</v>
      </c>
      <c r="C158" s="25" t="s">
        <v>538</v>
      </c>
      <c r="D158" s="25" t="s">
        <v>539</v>
      </c>
      <c r="E158" s="26" t="s">
        <v>45</v>
      </c>
      <c r="F158" s="27" t="s">
        <v>45</v>
      </c>
      <c r="G158" s="28" t="s">
        <v>45</v>
      </c>
      <c r="H158" s="29"/>
      <c r="I158" s="29" t="s">
        <v>46</v>
      </c>
      <c r="J158" s="30">
        <v>1</v>
      </c>
      <c r="K158" s="31">
        <f>8448</f>
        <v>8448</v>
      </c>
      <c r="L158" s="32" t="s">
        <v>999</v>
      </c>
      <c r="M158" s="31">
        <f>8999</f>
        <v>8999</v>
      </c>
      <c r="N158" s="32" t="s">
        <v>876</v>
      </c>
      <c r="O158" s="31">
        <f>7462</f>
        <v>7462</v>
      </c>
      <c r="P158" s="32" t="s">
        <v>78</v>
      </c>
      <c r="Q158" s="31">
        <f>7824</f>
        <v>7824</v>
      </c>
      <c r="R158" s="32" t="s">
        <v>791</v>
      </c>
      <c r="S158" s="33">
        <f>7893.52</f>
        <v>7893.52</v>
      </c>
      <c r="T158" s="30">
        <f>3625</f>
        <v>3625</v>
      </c>
      <c r="U158" s="30" t="str">
        <f t="shared" si="2"/>
        <v>－</v>
      </c>
      <c r="V158" s="30">
        <f>29017461</f>
        <v>29017461</v>
      </c>
      <c r="W158" s="30" t="str">
        <f t="shared" si="3"/>
        <v>－</v>
      </c>
      <c r="X158" s="34">
        <f>21</f>
        <v>21</v>
      </c>
    </row>
    <row r="159" spans="1:24" ht="13.5" customHeight="1" x14ac:dyDescent="0.15">
      <c r="A159" s="25" t="s">
        <v>1182</v>
      </c>
      <c r="B159" s="25" t="s">
        <v>540</v>
      </c>
      <c r="C159" s="25" t="s">
        <v>541</v>
      </c>
      <c r="D159" s="25" t="s">
        <v>542</v>
      </c>
      <c r="E159" s="26" t="s">
        <v>45</v>
      </c>
      <c r="F159" s="27" t="s">
        <v>45</v>
      </c>
      <c r="G159" s="28" t="s">
        <v>45</v>
      </c>
      <c r="H159" s="29"/>
      <c r="I159" s="29" t="s">
        <v>46</v>
      </c>
      <c r="J159" s="30">
        <v>100</v>
      </c>
      <c r="K159" s="31">
        <f>465.1</f>
        <v>465.1</v>
      </c>
      <c r="L159" s="32" t="s">
        <v>999</v>
      </c>
      <c r="M159" s="31">
        <f>468</f>
        <v>468</v>
      </c>
      <c r="N159" s="32" t="s">
        <v>999</v>
      </c>
      <c r="O159" s="31">
        <f>430.3</f>
        <v>430.3</v>
      </c>
      <c r="P159" s="32" t="s">
        <v>792</v>
      </c>
      <c r="Q159" s="31">
        <f>452</f>
        <v>452</v>
      </c>
      <c r="R159" s="32" t="s">
        <v>791</v>
      </c>
      <c r="S159" s="33">
        <f>443.3</f>
        <v>443.3</v>
      </c>
      <c r="T159" s="30">
        <f>90500</f>
        <v>90500</v>
      </c>
      <c r="U159" s="30" t="str">
        <f t="shared" si="2"/>
        <v>－</v>
      </c>
      <c r="V159" s="30">
        <f>40304020</f>
        <v>40304020</v>
      </c>
      <c r="W159" s="30" t="str">
        <f t="shared" si="3"/>
        <v>－</v>
      </c>
      <c r="X159" s="34">
        <f>21</f>
        <v>21</v>
      </c>
    </row>
    <row r="160" spans="1:24" ht="13.5" customHeight="1" x14ac:dyDescent="0.15">
      <c r="A160" s="25" t="s">
        <v>1182</v>
      </c>
      <c r="B160" s="25" t="s">
        <v>543</v>
      </c>
      <c r="C160" s="25" t="s">
        <v>544</v>
      </c>
      <c r="D160" s="25" t="s">
        <v>545</v>
      </c>
      <c r="E160" s="26" t="s">
        <v>45</v>
      </c>
      <c r="F160" s="27" t="s">
        <v>45</v>
      </c>
      <c r="G160" s="28" t="s">
        <v>45</v>
      </c>
      <c r="H160" s="29"/>
      <c r="I160" s="29" t="s">
        <v>46</v>
      </c>
      <c r="J160" s="30">
        <v>10</v>
      </c>
      <c r="K160" s="31">
        <f>4990</f>
        <v>4990</v>
      </c>
      <c r="L160" s="32" t="s">
        <v>999</v>
      </c>
      <c r="M160" s="31">
        <f>4990</f>
        <v>4990</v>
      </c>
      <c r="N160" s="32" t="s">
        <v>999</v>
      </c>
      <c r="O160" s="31">
        <f>4702</f>
        <v>4702</v>
      </c>
      <c r="P160" s="32" t="s">
        <v>78</v>
      </c>
      <c r="Q160" s="31">
        <f>4890</f>
        <v>4890</v>
      </c>
      <c r="R160" s="32" t="s">
        <v>791</v>
      </c>
      <c r="S160" s="33">
        <f>4815.48</f>
        <v>4815.4799999999996</v>
      </c>
      <c r="T160" s="30">
        <f>17960</f>
        <v>17960</v>
      </c>
      <c r="U160" s="30" t="str">
        <f t="shared" si="2"/>
        <v>－</v>
      </c>
      <c r="V160" s="30">
        <f>86573150</f>
        <v>86573150</v>
      </c>
      <c r="W160" s="30" t="str">
        <f t="shared" si="3"/>
        <v>－</v>
      </c>
      <c r="X160" s="34">
        <f>21</f>
        <v>21</v>
      </c>
    </row>
    <row r="161" spans="1:24" ht="13.5" customHeight="1" x14ac:dyDescent="0.15">
      <c r="A161" s="25" t="s">
        <v>1182</v>
      </c>
      <c r="B161" s="25" t="s">
        <v>546</v>
      </c>
      <c r="C161" s="25" t="s">
        <v>547</v>
      </c>
      <c r="D161" s="25" t="s">
        <v>548</v>
      </c>
      <c r="E161" s="26" t="s">
        <v>45</v>
      </c>
      <c r="F161" s="27" t="s">
        <v>45</v>
      </c>
      <c r="G161" s="28" t="s">
        <v>45</v>
      </c>
      <c r="H161" s="29"/>
      <c r="I161" s="29" t="s">
        <v>46</v>
      </c>
      <c r="J161" s="30">
        <v>10</v>
      </c>
      <c r="K161" s="31">
        <f>2611.5</f>
        <v>2611.5</v>
      </c>
      <c r="L161" s="32" t="s">
        <v>999</v>
      </c>
      <c r="M161" s="31">
        <f>2645</f>
        <v>2645</v>
      </c>
      <c r="N161" s="32" t="s">
        <v>996</v>
      </c>
      <c r="O161" s="31">
        <f>2482.5</f>
        <v>2482.5</v>
      </c>
      <c r="P161" s="32" t="s">
        <v>255</v>
      </c>
      <c r="Q161" s="31">
        <f>2516.5</f>
        <v>2516.5</v>
      </c>
      <c r="R161" s="32" t="s">
        <v>791</v>
      </c>
      <c r="S161" s="33">
        <f>2552.67</f>
        <v>2552.67</v>
      </c>
      <c r="T161" s="30">
        <f>11540</f>
        <v>11540</v>
      </c>
      <c r="U161" s="30" t="str">
        <f t="shared" si="2"/>
        <v>－</v>
      </c>
      <c r="V161" s="30">
        <f>29441065</f>
        <v>29441065</v>
      </c>
      <c r="W161" s="30" t="str">
        <f t="shared" si="3"/>
        <v>－</v>
      </c>
      <c r="X161" s="34">
        <f>21</f>
        <v>21</v>
      </c>
    </row>
    <row r="162" spans="1:24" ht="13.5" customHeight="1" x14ac:dyDescent="0.15">
      <c r="A162" s="25" t="s">
        <v>1182</v>
      </c>
      <c r="B162" s="25" t="s">
        <v>549</v>
      </c>
      <c r="C162" s="25" t="s">
        <v>550</v>
      </c>
      <c r="D162" s="25" t="s">
        <v>551</v>
      </c>
      <c r="E162" s="26" t="s">
        <v>45</v>
      </c>
      <c r="F162" s="27" t="s">
        <v>45</v>
      </c>
      <c r="G162" s="28" t="s">
        <v>45</v>
      </c>
      <c r="H162" s="29"/>
      <c r="I162" s="29" t="s">
        <v>46</v>
      </c>
      <c r="J162" s="30">
        <v>100</v>
      </c>
      <c r="K162" s="31">
        <f>77.4</f>
        <v>77.400000000000006</v>
      </c>
      <c r="L162" s="32" t="s">
        <v>999</v>
      </c>
      <c r="M162" s="31">
        <f>83.5</f>
        <v>83.5</v>
      </c>
      <c r="N162" s="32" t="s">
        <v>80</v>
      </c>
      <c r="O162" s="31">
        <f>75.3</f>
        <v>75.3</v>
      </c>
      <c r="P162" s="32" t="s">
        <v>999</v>
      </c>
      <c r="Q162" s="31">
        <f>78.3</f>
        <v>78.3</v>
      </c>
      <c r="R162" s="32" t="s">
        <v>791</v>
      </c>
      <c r="S162" s="33">
        <f>79.45</f>
        <v>79.45</v>
      </c>
      <c r="T162" s="30">
        <f>11964300</f>
        <v>11964300</v>
      </c>
      <c r="U162" s="30" t="str">
        <f t="shared" si="2"/>
        <v>－</v>
      </c>
      <c r="V162" s="30">
        <f>944445740</f>
        <v>944445740</v>
      </c>
      <c r="W162" s="30" t="str">
        <f t="shared" si="3"/>
        <v>－</v>
      </c>
      <c r="X162" s="34">
        <f>21</f>
        <v>21</v>
      </c>
    </row>
    <row r="163" spans="1:24" ht="13.5" customHeight="1" x14ac:dyDescent="0.15">
      <c r="A163" s="25" t="s">
        <v>1182</v>
      </c>
      <c r="B163" s="25" t="s">
        <v>552</v>
      </c>
      <c r="C163" s="25" t="s">
        <v>553</v>
      </c>
      <c r="D163" s="25" t="s">
        <v>554</v>
      </c>
      <c r="E163" s="26" t="s">
        <v>45</v>
      </c>
      <c r="F163" s="27" t="s">
        <v>45</v>
      </c>
      <c r="G163" s="28" t="s">
        <v>45</v>
      </c>
      <c r="H163" s="29"/>
      <c r="I163" s="29" t="s">
        <v>46</v>
      </c>
      <c r="J163" s="30">
        <v>100</v>
      </c>
      <c r="K163" s="31">
        <f>169.1</f>
        <v>169.1</v>
      </c>
      <c r="L163" s="32" t="s">
        <v>999</v>
      </c>
      <c r="M163" s="31">
        <f>179.4</f>
        <v>179.4</v>
      </c>
      <c r="N163" s="32" t="s">
        <v>80</v>
      </c>
      <c r="O163" s="31">
        <f>168</f>
        <v>168</v>
      </c>
      <c r="P163" s="32" t="s">
        <v>999</v>
      </c>
      <c r="Q163" s="31">
        <f>170</f>
        <v>170</v>
      </c>
      <c r="R163" s="32" t="s">
        <v>791</v>
      </c>
      <c r="S163" s="33">
        <f>172.65</f>
        <v>172.65</v>
      </c>
      <c r="T163" s="30">
        <f>840800</f>
        <v>840800</v>
      </c>
      <c r="U163" s="30" t="str">
        <f t="shared" si="2"/>
        <v>－</v>
      </c>
      <c r="V163" s="30">
        <f>145591130</f>
        <v>145591130</v>
      </c>
      <c r="W163" s="30" t="str">
        <f t="shared" si="3"/>
        <v>－</v>
      </c>
      <c r="X163" s="34">
        <f>21</f>
        <v>21</v>
      </c>
    </row>
    <row r="164" spans="1:24" ht="13.5" customHeight="1" x14ac:dyDescent="0.15">
      <c r="A164" s="25" t="s">
        <v>1182</v>
      </c>
      <c r="B164" s="25" t="s">
        <v>555</v>
      </c>
      <c r="C164" s="25" t="s">
        <v>556</v>
      </c>
      <c r="D164" s="25" t="s">
        <v>557</v>
      </c>
      <c r="E164" s="26" t="s">
        <v>45</v>
      </c>
      <c r="F164" s="27" t="s">
        <v>45</v>
      </c>
      <c r="G164" s="28" t="s">
        <v>45</v>
      </c>
      <c r="H164" s="29"/>
      <c r="I164" s="29" t="s">
        <v>46</v>
      </c>
      <c r="J164" s="30">
        <v>10</v>
      </c>
      <c r="K164" s="31">
        <f>4648</f>
        <v>4648</v>
      </c>
      <c r="L164" s="32" t="s">
        <v>999</v>
      </c>
      <c r="M164" s="31">
        <f>4798</f>
        <v>4798</v>
      </c>
      <c r="N164" s="32" t="s">
        <v>788</v>
      </c>
      <c r="O164" s="31">
        <f>4555</f>
        <v>4555</v>
      </c>
      <c r="P164" s="32" t="s">
        <v>875</v>
      </c>
      <c r="Q164" s="31">
        <f>4682</f>
        <v>4682</v>
      </c>
      <c r="R164" s="32" t="s">
        <v>791</v>
      </c>
      <c r="S164" s="33">
        <f>4684.76</f>
        <v>4684.76</v>
      </c>
      <c r="T164" s="30">
        <f>5050</f>
        <v>5050</v>
      </c>
      <c r="U164" s="30" t="str">
        <f t="shared" si="2"/>
        <v>－</v>
      </c>
      <c r="V164" s="30">
        <f>23655730</f>
        <v>23655730</v>
      </c>
      <c r="W164" s="30" t="str">
        <f t="shared" si="3"/>
        <v>－</v>
      </c>
      <c r="X164" s="34">
        <f>21</f>
        <v>21</v>
      </c>
    </row>
    <row r="165" spans="1:24" ht="13.5" customHeight="1" x14ac:dyDescent="0.15">
      <c r="A165" s="25" t="s">
        <v>1182</v>
      </c>
      <c r="B165" s="25" t="s">
        <v>558</v>
      </c>
      <c r="C165" s="25" t="s">
        <v>559</v>
      </c>
      <c r="D165" s="25" t="s">
        <v>1126</v>
      </c>
      <c r="E165" s="26" t="s">
        <v>45</v>
      </c>
      <c r="F165" s="27" t="s">
        <v>45</v>
      </c>
      <c r="G165" s="28" t="s">
        <v>45</v>
      </c>
      <c r="H165" s="29"/>
      <c r="I165" s="29" t="s">
        <v>46</v>
      </c>
      <c r="J165" s="30">
        <v>10</v>
      </c>
      <c r="K165" s="31">
        <f>2667</f>
        <v>2667</v>
      </c>
      <c r="L165" s="32" t="s">
        <v>999</v>
      </c>
      <c r="M165" s="31">
        <f>2667</f>
        <v>2667</v>
      </c>
      <c r="N165" s="32" t="s">
        <v>999</v>
      </c>
      <c r="O165" s="31">
        <f>2487</f>
        <v>2487</v>
      </c>
      <c r="P165" s="32" t="s">
        <v>793</v>
      </c>
      <c r="Q165" s="31">
        <f>2552.5</f>
        <v>2552.5</v>
      </c>
      <c r="R165" s="32" t="s">
        <v>791</v>
      </c>
      <c r="S165" s="33">
        <f>2558.9</f>
        <v>2558.9</v>
      </c>
      <c r="T165" s="30">
        <f>572110</f>
        <v>572110</v>
      </c>
      <c r="U165" s="30">
        <f>394890</f>
        <v>394890</v>
      </c>
      <c r="V165" s="30">
        <f>1466391789</f>
        <v>1466391789</v>
      </c>
      <c r="W165" s="30">
        <f>1013849499</f>
        <v>1013849499</v>
      </c>
      <c r="X165" s="34">
        <f>21</f>
        <v>21</v>
      </c>
    </row>
    <row r="166" spans="1:24" ht="13.5" customHeight="1" x14ac:dyDescent="0.15">
      <c r="A166" s="25" t="s">
        <v>1182</v>
      </c>
      <c r="B166" s="25" t="s">
        <v>561</v>
      </c>
      <c r="C166" s="25" t="s">
        <v>1127</v>
      </c>
      <c r="D166" s="25" t="s">
        <v>1128</v>
      </c>
      <c r="E166" s="26" t="s">
        <v>45</v>
      </c>
      <c r="F166" s="27" t="s">
        <v>45</v>
      </c>
      <c r="G166" s="28" t="s">
        <v>45</v>
      </c>
      <c r="H166" s="29"/>
      <c r="I166" s="29" t="s">
        <v>46</v>
      </c>
      <c r="J166" s="30">
        <v>10</v>
      </c>
      <c r="K166" s="31">
        <f>432.6</f>
        <v>432.6</v>
      </c>
      <c r="L166" s="32" t="s">
        <v>999</v>
      </c>
      <c r="M166" s="31">
        <f>440.7</f>
        <v>440.7</v>
      </c>
      <c r="N166" s="32" t="s">
        <v>80</v>
      </c>
      <c r="O166" s="31">
        <f>394.9</f>
        <v>394.9</v>
      </c>
      <c r="P166" s="32" t="s">
        <v>78</v>
      </c>
      <c r="Q166" s="31">
        <f>415.8</f>
        <v>415.8</v>
      </c>
      <c r="R166" s="32" t="s">
        <v>791</v>
      </c>
      <c r="S166" s="33">
        <f>419.92</f>
        <v>419.92</v>
      </c>
      <c r="T166" s="30">
        <f>29394260</f>
        <v>29394260</v>
      </c>
      <c r="U166" s="30">
        <f>4610</f>
        <v>4610</v>
      </c>
      <c r="V166" s="30">
        <f>12347204191</f>
        <v>12347204191</v>
      </c>
      <c r="W166" s="30">
        <f>1870387</f>
        <v>1870387</v>
      </c>
      <c r="X166" s="34">
        <f>21</f>
        <v>21</v>
      </c>
    </row>
    <row r="167" spans="1:24" ht="13.5" customHeight="1" x14ac:dyDescent="0.15">
      <c r="A167" s="25" t="s">
        <v>1182</v>
      </c>
      <c r="B167" s="25" t="s">
        <v>564</v>
      </c>
      <c r="C167" s="25" t="s">
        <v>565</v>
      </c>
      <c r="D167" s="25" t="s">
        <v>566</v>
      </c>
      <c r="E167" s="26" t="s">
        <v>45</v>
      </c>
      <c r="F167" s="27" t="s">
        <v>45</v>
      </c>
      <c r="G167" s="28" t="s">
        <v>45</v>
      </c>
      <c r="H167" s="29"/>
      <c r="I167" s="29" t="s">
        <v>567</v>
      </c>
      <c r="J167" s="30">
        <v>1</v>
      </c>
      <c r="K167" s="31">
        <f>4955</f>
        <v>4955</v>
      </c>
      <c r="L167" s="32" t="s">
        <v>999</v>
      </c>
      <c r="M167" s="31">
        <f>5170</f>
        <v>5170</v>
      </c>
      <c r="N167" s="32" t="s">
        <v>787</v>
      </c>
      <c r="O167" s="31">
        <f>4420</f>
        <v>4420</v>
      </c>
      <c r="P167" s="32" t="s">
        <v>793</v>
      </c>
      <c r="Q167" s="31">
        <f>4555</f>
        <v>4555</v>
      </c>
      <c r="R167" s="32" t="s">
        <v>791</v>
      </c>
      <c r="S167" s="33">
        <f>4729.29</f>
        <v>4729.29</v>
      </c>
      <c r="T167" s="30">
        <f>34911</f>
        <v>34911</v>
      </c>
      <c r="U167" s="30" t="str">
        <f>"－"</f>
        <v>－</v>
      </c>
      <c r="V167" s="30">
        <f>164968300</f>
        <v>164968300</v>
      </c>
      <c r="W167" s="30" t="str">
        <f>"－"</f>
        <v>－</v>
      </c>
      <c r="X167" s="34">
        <f>21</f>
        <v>21</v>
      </c>
    </row>
    <row r="168" spans="1:24" ht="13.5" customHeight="1" x14ac:dyDescent="0.15">
      <c r="A168" s="25" t="s">
        <v>1182</v>
      </c>
      <c r="B168" s="25" t="s">
        <v>568</v>
      </c>
      <c r="C168" s="25" t="s">
        <v>569</v>
      </c>
      <c r="D168" s="25" t="s">
        <v>570</v>
      </c>
      <c r="E168" s="26" t="s">
        <v>45</v>
      </c>
      <c r="F168" s="27" t="s">
        <v>45</v>
      </c>
      <c r="G168" s="28" t="s">
        <v>45</v>
      </c>
      <c r="H168" s="29"/>
      <c r="I168" s="29" t="s">
        <v>567</v>
      </c>
      <c r="J168" s="30">
        <v>1</v>
      </c>
      <c r="K168" s="31">
        <f>9092</f>
        <v>9092</v>
      </c>
      <c r="L168" s="32" t="s">
        <v>999</v>
      </c>
      <c r="M168" s="31">
        <f>9700</f>
        <v>9700</v>
      </c>
      <c r="N168" s="32" t="s">
        <v>786</v>
      </c>
      <c r="O168" s="31">
        <f>8850</f>
        <v>8850</v>
      </c>
      <c r="P168" s="32" t="s">
        <v>787</v>
      </c>
      <c r="Q168" s="31">
        <f>9623</f>
        <v>9623</v>
      </c>
      <c r="R168" s="32" t="s">
        <v>791</v>
      </c>
      <c r="S168" s="33">
        <f>9368.14</f>
        <v>9368.14</v>
      </c>
      <c r="T168" s="30">
        <f>12955</f>
        <v>12955</v>
      </c>
      <c r="U168" s="30" t="str">
        <f>"－"</f>
        <v>－</v>
      </c>
      <c r="V168" s="30">
        <f>121421203</f>
        <v>121421203</v>
      </c>
      <c r="W168" s="30" t="str">
        <f>"－"</f>
        <v>－</v>
      </c>
      <c r="X168" s="34">
        <f>21</f>
        <v>21</v>
      </c>
    </row>
    <row r="169" spans="1:24" ht="13.5" customHeight="1" x14ac:dyDescent="0.15">
      <c r="A169" s="25" t="s">
        <v>1182</v>
      </c>
      <c r="B169" s="25" t="s">
        <v>571</v>
      </c>
      <c r="C169" s="25" t="s">
        <v>572</v>
      </c>
      <c r="D169" s="25" t="s">
        <v>573</v>
      </c>
      <c r="E169" s="26" t="s">
        <v>45</v>
      </c>
      <c r="F169" s="27" t="s">
        <v>45</v>
      </c>
      <c r="G169" s="28" t="s">
        <v>45</v>
      </c>
      <c r="H169" s="29"/>
      <c r="I169" s="29" t="s">
        <v>567</v>
      </c>
      <c r="J169" s="30">
        <v>1</v>
      </c>
      <c r="K169" s="31">
        <f>11700</f>
        <v>11700</v>
      </c>
      <c r="L169" s="32" t="s">
        <v>999</v>
      </c>
      <c r="M169" s="31">
        <f>11910</f>
        <v>11910</v>
      </c>
      <c r="N169" s="32" t="s">
        <v>999</v>
      </c>
      <c r="O169" s="31">
        <f>10150</f>
        <v>10150</v>
      </c>
      <c r="P169" s="32" t="s">
        <v>255</v>
      </c>
      <c r="Q169" s="31">
        <f>10245</f>
        <v>10245</v>
      </c>
      <c r="R169" s="32" t="s">
        <v>791</v>
      </c>
      <c r="S169" s="33">
        <f>11016.05</f>
        <v>11016.05</v>
      </c>
      <c r="T169" s="30">
        <f>1105</f>
        <v>1105</v>
      </c>
      <c r="U169" s="30" t="str">
        <f>"－"</f>
        <v>－</v>
      </c>
      <c r="V169" s="30">
        <f>12151325</f>
        <v>12151325</v>
      </c>
      <c r="W169" s="30" t="str">
        <f>"－"</f>
        <v>－</v>
      </c>
      <c r="X169" s="34">
        <f>19</f>
        <v>19</v>
      </c>
    </row>
    <row r="170" spans="1:24" ht="13.5" customHeight="1" x14ac:dyDescent="0.15">
      <c r="A170" s="25" t="s">
        <v>1182</v>
      </c>
      <c r="B170" s="25" t="s">
        <v>574</v>
      </c>
      <c r="C170" s="25" t="s">
        <v>575</v>
      </c>
      <c r="D170" s="25" t="s">
        <v>576</v>
      </c>
      <c r="E170" s="26" t="s">
        <v>45</v>
      </c>
      <c r="F170" s="27" t="s">
        <v>45</v>
      </c>
      <c r="G170" s="28" t="s">
        <v>45</v>
      </c>
      <c r="H170" s="29"/>
      <c r="I170" s="29" t="s">
        <v>567</v>
      </c>
      <c r="J170" s="30">
        <v>1</v>
      </c>
      <c r="K170" s="31">
        <f>8188</f>
        <v>8188</v>
      </c>
      <c r="L170" s="32" t="s">
        <v>999</v>
      </c>
      <c r="M170" s="31">
        <f>9100</f>
        <v>9100</v>
      </c>
      <c r="N170" s="32" t="s">
        <v>791</v>
      </c>
      <c r="O170" s="31">
        <f>8169</f>
        <v>8169</v>
      </c>
      <c r="P170" s="32" t="s">
        <v>999</v>
      </c>
      <c r="Q170" s="31">
        <f>9100</f>
        <v>9100</v>
      </c>
      <c r="R170" s="32" t="s">
        <v>791</v>
      </c>
      <c r="S170" s="33">
        <f>8546.95</f>
        <v>8546.9500000000007</v>
      </c>
      <c r="T170" s="30">
        <f>23555</f>
        <v>23555</v>
      </c>
      <c r="U170" s="30" t="str">
        <f>"－"</f>
        <v>－</v>
      </c>
      <c r="V170" s="30">
        <f>200052865</f>
        <v>200052865</v>
      </c>
      <c r="W170" s="30" t="str">
        <f>"－"</f>
        <v>－</v>
      </c>
      <c r="X170" s="34">
        <f>21</f>
        <v>21</v>
      </c>
    </row>
    <row r="171" spans="1:24" ht="13.5" customHeight="1" x14ac:dyDescent="0.15">
      <c r="A171" s="25" t="s">
        <v>1182</v>
      </c>
      <c r="B171" s="25" t="s">
        <v>577</v>
      </c>
      <c r="C171" s="25" t="s">
        <v>578</v>
      </c>
      <c r="D171" s="25" t="s">
        <v>579</v>
      </c>
      <c r="E171" s="26" t="s">
        <v>45</v>
      </c>
      <c r="F171" s="27" t="s">
        <v>45</v>
      </c>
      <c r="G171" s="28" t="s">
        <v>45</v>
      </c>
      <c r="H171" s="29"/>
      <c r="I171" s="29" t="s">
        <v>567</v>
      </c>
      <c r="J171" s="30">
        <v>1</v>
      </c>
      <c r="K171" s="31">
        <f>33040</f>
        <v>33040</v>
      </c>
      <c r="L171" s="32" t="s">
        <v>999</v>
      </c>
      <c r="M171" s="31">
        <f>38920</f>
        <v>38920</v>
      </c>
      <c r="N171" s="32" t="s">
        <v>893</v>
      </c>
      <c r="O171" s="31">
        <f>31590</f>
        <v>31590</v>
      </c>
      <c r="P171" s="32" t="s">
        <v>784</v>
      </c>
      <c r="Q171" s="31">
        <f>38490</f>
        <v>38490</v>
      </c>
      <c r="R171" s="32" t="s">
        <v>791</v>
      </c>
      <c r="S171" s="33">
        <f>35333.33</f>
        <v>35333.33</v>
      </c>
      <c r="T171" s="30">
        <f>47937</f>
        <v>47937</v>
      </c>
      <c r="U171" s="30">
        <f>75</f>
        <v>75</v>
      </c>
      <c r="V171" s="30">
        <f>1712709810</f>
        <v>1712709810</v>
      </c>
      <c r="W171" s="30">
        <f>2694220</f>
        <v>2694220</v>
      </c>
      <c r="X171" s="34">
        <f>21</f>
        <v>21</v>
      </c>
    </row>
    <row r="172" spans="1:24" ht="13.5" customHeight="1" x14ac:dyDescent="0.15">
      <c r="A172" s="25" t="s">
        <v>1182</v>
      </c>
      <c r="B172" s="25" t="s">
        <v>580</v>
      </c>
      <c r="C172" s="25" t="s">
        <v>581</v>
      </c>
      <c r="D172" s="25" t="s">
        <v>582</v>
      </c>
      <c r="E172" s="26" t="s">
        <v>45</v>
      </c>
      <c r="F172" s="27" t="s">
        <v>45</v>
      </c>
      <c r="G172" s="28" t="s">
        <v>45</v>
      </c>
      <c r="H172" s="29"/>
      <c r="I172" s="29" t="s">
        <v>567</v>
      </c>
      <c r="J172" s="30">
        <v>1</v>
      </c>
      <c r="K172" s="31">
        <f>3780</f>
        <v>3780</v>
      </c>
      <c r="L172" s="32" t="s">
        <v>999</v>
      </c>
      <c r="M172" s="31">
        <f>3890</f>
        <v>3890</v>
      </c>
      <c r="N172" s="32" t="s">
        <v>78</v>
      </c>
      <c r="O172" s="31">
        <f>3480</f>
        <v>3480</v>
      </c>
      <c r="P172" s="32" t="s">
        <v>893</v>
      </c>
      <c r="Q172" s="31">
        <f>3520</f>
        <v>3520</v>
      </c>
      <c r="R172" s="32" t="s">
        <v>791</v>
      </c>
      <c r="S172" s="33">
        <f>3681.67</f>
        <v>3681.67</v>
      </c>
      <c r="T172" s="30">
        <f>18832</f>
        <v>18832</v>
      </c>
      <c r="U172" s="30" t="str">
        <f>"－"</f>
        <v>－</v>
      </c>
      <c r="V172" s="30">
        <f>69253630</f>
        <v>69253630</v>
      </c>
      <c r="W172" s="30" t="str">
        <f>"－"</f>
        <v>－</v>
      </c>
      <c r="X172" s="34">
        <f>21</f>
        <v>21</v>
      </c>
    </row>
    <row r="173" spans="1:24" ht="13.5" customHeight="1" x14ac:dyDescent="0.15">
      <c r="A173" s="25" t="s">
        <v>1182</v>
      </c>
      <c r="B173" s="25" t="s">
        <v>583</v>
      </c>
      <c r="C173" s="25" t="s">
        <v>584</v>
      </c>
      <c r="D173" s="25" t="s">
        <v>585</v>
      </c>
      <c r="E173" s="26" t="s">
        <v>45</v>
      </c>
      <c r="F173" s="27" t="s">
        <v>45</v>
      </c>
      <c r="G173" s="28" t="s">
        <v>45</v>
      </c>
      <c r="H173" s="29"/>
      <c r="I173" s="29" t="s">
        <v>567</v>
      </c>
      <c r="J173" s="30">
        <v>1</v>
      </c>
      <c r="K173" s="31">
        <f>2190</f>
        <v>2190</v>
      </c>
      <c r="L173" s="32" t="s">
        <v>999</v>
      </c>
      <c r="M173" s="31">
        <f>2283</f>
        <v>2283</v>
      </c>
      <c r="N173" s="32" t="s">
        <v>80</v>
      </c>
      <c r="O173" s="31">
        <f>1827</f>
        <v>1827</v>
      </c>
      <c r="P173" s="32" t="s">
        <v>78</v>
      </c>
      <c r="Q173" s="31">
        <f>2100</f>
        <v>2100</v>
      </c>
      <c r="R173" s="32" t="s">
        <v>791</v>
      </c>
      <c r="S173" s="33">
        <f>2100.1</f>
        <v>2100.1</v>
      </c>
      <c r="T173" s="30">
        <f>19803016</f>
        <v>19803016</v>
      </c>
      <c r="U173" s="30">
        <f>401208</f>
        <v>401208</v>
      </c>
      <c r="V173" s="30">
        <f>41701047670</f>
        <v>41701047670</v>
      </c>
      <c r="W173" s="30">
        <f>902477035</f>
        <v>902477035</v>
      </c>
      <c r="X173" s="34">
        <f>21</f>
        <v>21</v>
      </c>
    </row>
    <row r="174" spans="1:24" ht="13.5" customHeight="1" x14ac:dyDescent="0.15">
      <c r="A174" s="25" t="s">
        <v>1182</v>
      </c>
      <c r="B174" s="25" t="s">
        <v>586</v>
      </c>
      <c r="C174" s="25" t="s">
        <v>587</v>
      </c>
      <c r="D174" s="25" t="s">
        <v>588</v>
      </c>
      <c r="E174" s="26" t="s">
        <v>45</v>
      </c>
      <c r="F174" s="27" t="s">
        <v>45</v>
      </c>
      <c r="G174" s="28" t="s">
        <v>45</v>
      </c>
      <c r="H174" s="29"/>
      <c r="I174" s="29" t="s">
        <v>567</v>
      </c>
      <c r="J174" s="30">
        <v>1</v>
      </c>
      <c r="K174" s="31">
        <f>1035</f>
        <v>1035</v>
      </c>
      <c r="L174" s="32" t="s">
        <v>999</v>
      </c>
      <c r="M174" s="31">
        <f>1119</f>
        <v>1119</v>
      </c>
      <c r="N174" s="32" t="s">
        <v>78</v>
      </c>
      <c r="O174" s="31">
        <f>1001</f>
        <v>1001</v>
      </c>
      <c r="P174" s="32" t="s">
        <v>80</v>
      </c>
      <c r="Q174" s="31">
        <f>1032</f>
        <v>1032</v>
      </c>
      <c r="R174" s="32" t="s">
        <v>791</v>
      </c>
      <c r="S174" s="33">
        <f>1042.29</f>
        <v>1042.29</v>
      </c>
      <c r="T174" s="30">
        <f>1890218</f>
        <v>1890218</v>
      </c>
      <c r="U174" s="30">
        <f>58</f>
        <v>58</v>
      </c>
      <c r="V174" s="30">
        <f>1996763757</f>
        <v>1996763757</v>
      </c>
      <c r="W174" s="30">
        <f>61134</f>
        <v>61134</v>
      </c>
      <c r="X174" s="34">
        <f>21</f>
        <v>21</v>
      </c>
    </row>
    <row r="175" spans="1:24" ht="13.5" customHeight="1" x14ac:dyDescent="0.15">
      <c r="A175" s="25" t="s">
        <v>1182</v>
      </c>
      <c r="B175" s="25" t="s">
        <v>589</v>
      </c>
      <c r="C175" s="25" t="s">
        <v>590</v>
      </c>
      <c r="D175" s="25" t="s">
        <v>591</v>
      </c>
      <c r="E175" s="26" t="s">
        <v>45</v>
      </c>
      <c r="F175" s="27" t="s">
        <v>45</v>
      </c>
      <c r="G175" s="28" t="s">
        <v>45</v>
      </c>
      <c r="H175" s="29"/>
      <c r="I175" s="29" t="s">
        <v>567</v>
      </c>
      <c r="J175" s="30">
        <v>1</v>
      </c>
      <c r="K175" s="31">
        <f>23405</f>
        <v>23405</v>
      </c>
      <c r="L175" s="32" t="s">
        <v>999</v>
      </c>
      <c r="M175" s="31">
        <f>23470</f>
        <v>23470</v>
      </c>
      <c r="N175" s="32" t="s">
        <v>792</v>
      </c>
      <c r="O175" s="31">
        <f>21505</f>
        <v>21505</v>
      </c>
      <c r="P175" s="32" t="s">
        <v>893</v>
      </c>
      <c r="Q175" s="31">
        <f>22035</f>
        <v>22035</v>
      </c>
      <c r="R175" s="32" t="s">
        <v>791</v>
      </c>
      <c r="S175" s="33">
        <f>22699.05</f>
        <v>22699.05</v>
      </c>
      <c r="T175" s="30">
        <f>54132</f>
        <v>54132</v>
      </c>
      <c r="U175" s="30">
        <f>1</f>
        <v>1</v>
      </c>
      <c r="V175" s="30">
        <f>1231135030</f>
        <v>1231135030</v>
      </c>
      <c r="W175" s="30">
        <f>22590</f>
        <v>22590</v>
      </c>
      <c r="X175" s="34">
        <f>21</f>
        <v>21</v>
      </c>
    </row>
    <row r="176" spans="1:24" ht="13.5" customHeight="1" x14ac:dyDescent="0.15">
      <c r="A176" s="25" t="s">
        <v>1182</v>
      </c>
      <c r="B176" s="25" t="s">
        <v>592</v>
      </c>
      <c r="C176" s="25" t="s">
        <v>593</v>
      </c>
      <c r="D176" s="25" t="s">
        <v>594</v>
      </c>
      <c r="E176" s="26" t="s">
        <v>45</v>
      </c>
      <c r="F176" s="27" t="s">
        <v>45</v>
      </c>
      <c r="G176" s="28" t="s">
        <v>45</v>
      </c>
      <c r="H176" s="29"/>
      <c r="I176" s="29" t="s">
        <v>567</v>
      </c>
      <c r="J176" s="30">
        <v>1</v>
      </c>
      <c r="K176" s="31">
        <f>2912</f>
        <v>2912</v>
      </c>
      <c r="L176" s="32" t="s">
        <v>999</v>
      </c>
      <c r="M176" s="31">
        <f>3035</f>
        <v>3035</v>
      </c>
      <c r="N176" s="32" t="s">
        <v>893</v>
      </c>
      <c r="O176" s="31">
        <f>2886</f>
        <v>2886</v>
      </c>
      <c r="P176" s="32" t="s">
        <v>792</v>
      </c>
      <c r="Q176" s="31">
        <f>2991</f>
        <v>2991</v>
      </c>
      <c r="R176" s="32" t="s">
        <v>791</v>
      </c>
      <c r="S176" s="33">
        <f>2946.76</f>
        <v>2946.76</v>
      </c>
      <c r="T176" s="30">
        <f>373011</f>
        <v>373011</v>
      </c>
      <c r="U176" s="30">
        <f>255</f>
        <v>255</v>
      </c>
      <c r="V176" s="30">
        <f>1101299945</f>
        <v>1101299945</v>
      </c>
      <c r="W176" s="30">
        <f>759986</f>
        <v>759986</v>
      </c>
      <c r="X176" s="34">
        <f>21</f>
        <v>21</v>
      </c>
    </row>
    <row r="177" spans="1:24" ht="13.5" customHeight="1" x14ac:dyDescent="0.15">
      <c r="A177" s="25" t="s">
        <v>1182</v>
      </c>
      <c r="B177" s="25" t="s">
        <v>595</v>
      </c>
      <c r="C177" s="25" t="s">
        <v>596</v>
      </c>
      <c r="D177" s="25" t="s">
        <v>597</v>
      </c>
      <c r="E177" s="26" t="s">
        <v>45</v>
      </c>
      <c r="F177" s="27" t="s">
        <v>45</v>
      </c>
      <c r="G177" s="28" t="s">
        <v>45</v>
      </c>
      <c r="H177" s="29"/>
      <c r="I177" s="29" t="s">
        <v>567</v>
      </c>
      <c r="J177" s="30">
        <v>1</v>
      </c>
      <c r="K177" s="31">
        <f>7909</f>
        <v>7909</v>
      </c>
      <c r="L177" s="32" t="s">
        <v>999</v>
      </c>
      <c r="M177" s="31">
        <f>7909</f>
        <v>7909</v>
      </c>
      <c r="N177" s="32" t="s">
        <v>999</v>
      </c>
      <c r="O177" s="31">
        <f>6638</f>
        <v>6638</v>
      </c>
      <c r="P177" s="32" t="s">
        <v>793</v>
      </c>
      <c r="Q177" s="31">
        <f>6899</f>
        <v>6899</v>
      </c>
      <c r="R177" s="32" t="s">
        <v>791</v>
      </c>
      <c r="S177" s="33">
        <f>7196.29</f>
        <v>7196.29</v>
      </c>
      <c r="T177" s="30">
        <f>59094</f>
        <v>59094</v>
      </c>
      <c r="U177" s="30" t="str">
        <f t="shared" ref="U177:U193" si="4">"－"</f>
        <v>－</v>
      </c>
      <c r="V177" s="30">
        <f>416797097</f>
        <v>416797097</v>
      </c>
      <c r="W177" s="30" t="str">
        <f t="shared" ref="W177:W193" si="5">"－"</f>
        <v>－</v>
      </c>
      <c r="X177" s="34">
        <f>21</f>
        <v>21</v>
      </c>
    </row>
    <row r="178" spans="1:24" ht="13.5" customHeight="1" x14ac:dyDescent="0.15">
      <c r="A178" s="25" t="s">
        <v>1182</v>
      </c>
      <c r="B178" s="25" t="s">
        <v>598</v>
      </c>
      <c r="C178" s="25" t="s">
        <v>599</v>
      </c>
      <c r="D178" s="25" t="s">
        <v>600</v>
      </c>
      <c r="E178" s="26" t="s">
        <v>45</v>
      </c>
      <c r="F178" s="27" t="s">
        <v>45</v>
      </c>
      <c r="G178" s="28" t="s">
        <v>45</v>
      </c>
      <c r="H178" s="29"/>
      <c r="I178" s="29" t="s">
        <v>567</v>
      </c>
      <c r="J178" s="30">
        <v>1</v>
      </c>
      <c r="K178" s="31">
        <f>18250</f>
        <v>18250</v>
      </c>
      <c r="L178" s="32" t="s">
        <v>999</v>
      </c>
      <c r="M178" s="31">
        <f>18335</f>
        <v>18335</v>
      </c>
      <c r="N178" s="32" t="s">
        <v>999</v>
      </c>
      <c r="O178" s="31">
        <f>17020</f>
        <v>17020</v>
      </c>
      <c r="P178" s="32" t="s">
        <v>791</v>
      </c>
      <c r="Q178" s="31">
        <f>17020</f>
        <v>17020</v>
      </c>
      <c r="R178" s="32" t="s">
        <v>791</v>
      </c>
      <c r="S178" s="33">
        <f>17432.14</f>
        <v>17432.14</v>
      </c>
      <c r="T178" s="30">
        <f>129</f>
        <v>129</v>
      </c>
      <c r="U178" s="30" t="str">
        <f t="shared" si="4"/>
        <v>－</v>
      </c>
      <c r="V178" s="30">
        <f>2305700</f>
        <v>2305700</v>
      </c>
      <c r="W178" s="30" t="str">
        <f t="shared" si="5"/>
        <v>－</v>
      </c>
      <c r="X178" s="34">
        <f>14</f>
        <v>14</v>
      </c>
    </row>
    <row r="179" spans="1:24" ht="13.5" customHeight="1" x14ac:dyDescent="0.15">
      <c r="A179" s="25" t="s">
        <v>1182</v>
      </c>
      <c r="B179" s="25" t="s">
        <v>601</v>
      </c>
      <c r="C179" s="25" t="s">
        <v>602</v>
      </c>
      <c r="D179" s="25" t="s">
        <v>603</v>
      </c>
      <c r="E179" s="26" t="s">
        <v>45</v>
      </c>
      <c r="F179" s="27" t="s">
        <v>45</v>
      </c>
      <c r="G179" s="28" t="s">
        <v>45</v>
      </c>
      <c r="H179" s="29"/>
      <c r="I179" s="29" t="s">
        <v>567</v>
      </c>
      <c r="J179" s="30">
        <v>1</v>
      </c>
      <c r="K179" s="31">
        <f>25255</f>
        <v>25255</v>
      </c>
      <c r="L179" s="32" t="s">
        <v>999</v>
      </c>
      <c r="M179" s="31">
        <f>25400</f>
        <v>25400</v>
      </c>
      <c r="N179" s="32" t="s">
        <v>999</v>
      </c>
      <c r="O179" s="31">
        <f>23795</f>
        <v>23795</v>
      </c>
      <c r="P179" s="32" t="s">
        <v>893</v>
      </c>
      <c r="Q179" s="31">
        <f>24060</f>
        <v>24060</v>
      </c>
      <c r="R179" s="32" t="s">
        <v>791</v>
      </c>
      <c r="S179" s="33">
        <f>24641.43</f>
        <v>24641.43</v>
      </c>
      <c r="T179" s="30">
        <f>9371</f>
        <v>9371</v>
      </c>
      <c r="U179" s="30" t="str">
        <f t="shared" si="4"/>
        <v>－</v>
      </c>
      <c r="V179" s="30">
        <f>230126375</f>
        <v>230126375</v>
      </c>
      <c r="W179" s="30" t="str">
        <f t="shared" si="5"/>
        <v>－</v>
      </c>
      <c r="X179" s="34">
        <f>21</f>
        <v>21</v>
      </c>
    </row>
    <row r="180" spans="1:24" ht="13.5" customHeight="1" x14ac:dyDescent="0.15">
      <c r="A180" s="25" t="s">
        <v>1182</v>
      </c>
      <c r="B180" s="25" t="s">
        <v>604</v>
      </c>
      <c r="C180" s="25" t="s">
        <v>605</v>
      </c>
      <c r="D180" s="25" t="s">
        <v>606</v>
      </c>
      <c r="E180" s="26" t="s">
        <v>45</v>
      </c>
      <c r="F180" s="27" t="s">
        <v>45</v>
      </c>
      <c r="G180" s="28" t="s">
        <v>45</v>
      </c>
      <c r="H180" s="29"/>
      <c r="I180" s="29" t="s">
        <v>567</v>
      </c>
      <c r="J180" s="30">
        <v>1</v>
      </c>
      <c r="K180" s="31">
        <f>15650</f>
        <v>15650</v>
      </c>
      <c r="L180" s="32" t="s">
        <v>999</v>
      </c>
      <c r="M180" s="31">
        <f>15650</f>
        <v>15650</v>
      </c>
      <c r="N180" s="32" t="s">
        <v>999</v>
      </c>
      <c r="O180" s="31">
        <f>14240</f>
        <v>14240</v>
      </c>
      <c r="P180" s="32" t="s">
        <v>893</v>
      </c>
      <c r="Q180" s="31">
        <f>14685</f>
        <v>14685</v>
      </c>
      <c r="R180" s="32" t="s">
        <v>791</v>
      </c>
      <c r="S180" s="33">
        <f>15039.5</f>
        <v>15039.5</v>
      </c>
      <c r="T180" s="30">
        <f>321</f>
        <v>321</v>
      </c>
      <c r="U180" s="30" t="str">
        <f t="shared" si="4"/>
        <v>－</v>
      </c>
      <c r="V180" s="30">
        <f>4758340</f>
        <v>4758340</v>
      </c>
      <c r="W180" s="30" t="str">
        <f t="shared" si="5"/>
        <v>－</v>
      </c>
      <c r="X180" s="34">
        <f>20</f>
        <v>20</v>
      </c>
    </row>
    <row r="181" spans="1:24" ht="13.5" customHeight="1" x14ac:dyDescent="0.15">
      <c r="A181" s="25" t="s">
        <v>1182</v>
      </c>
      <c r="B181" s="25" t="s">
        <v>607</v>
      </c>
      <c r="C181" s="25" t="s">
        <v>608</v>
      </c>
      <c r="D181" s="25" t="s">
        <v>609</v>
      </c>
      <c r="E181" s="26" t="s">
        <v>45</v>
      </c>
      <c r="F181" s="27" t="s">
        <v>45</v>
      </c>
      <c r="G181" s="28" t="s">
        <v>45</v>
      </c>
      <c r="H181" s="29"/>
      <c r="I181" s="29" t="s">
        <v>567</v>
      </c>
      <c r="J181" s="30">
        <v>1</v>
      </c>
      <c r="K181" s="31">
        <f>23575</f>
        <v>23575</v>
      </c>
      <c r="L181" s="32" t="s">
        <v>999</v>
      </c>
      <c r="M181" s="31">
        <f>23865</f>
        <v>23865</v>
      </c>
      <c r="N181" s="32" t="s">
        <v>787</v>
      </c>
      <c r="O181" s="31">
        <f>21510</f>
        <v>21510</v>
      </c>
      <c r="P181" s="32" t="s">
        <v>786</v>
      </c>
      <c r="Q181" s="31">
        <f>21990</f>
        <v>21990</v>
      </c>
      <c r="R181" s="32" t="s">
        <v>791</v>
      </c>
      <c r="S181" s="33">
        <f>22855.24</f>
        <v>22855.24</v>
      </c>
      <c r="T181" s="30">
        <f>43233</f>
        <v>43233</v>
      </c>
      <c r="U181" s="30" t="str">
        <f t="shared" si="4"/>
        <v>－</v>
      </c>
      <c r="V181" s="30">
        <f>986919520</f>
        <v>986919520</v>
      </c>
      <c r="W181" s="30" t="str">
        <f t="shared" si="5"/>
        <v>－</v>
      </c>
      <c r="X181" s="34">
        <f>21</f>
        <v>21</v>
      </c>
    </row>
    <row r="182" spans="1:24" ht="13.5" customHeight="1" x14ac:dyDescent="0.15">
      <c r="A182" s="25" t="s">
        <v>1182</v>
      </c>
      <c r="B182" s="25" t="s">
        <v>610</v>
      </c>
      <c r="C182" s="25" t="s">
        <v>611</v>
      </c>
      <c r="D182" s="25" t="s">
        <v>612</v>
      </c>
      <c r="E182" s="26" t="s">
        <v>45</v>
      </c>
      <c r="F182" s="27" t="s">
        <v>45</v>
      </c>
      <c r="G182" s="28" t="s">
        <v>45</v>
      </c>
      <c r="H182" s="29"/>
      <c r="I182" s="29" t="s">
        <v>567</v>
      </c>
      <c r="J182" s="30">
        <v>1</v>
      </c>
      <c r="K182" s="31">
        <f>4310</f>
        <v>4310</v>
      </c>
      <c r="L182" s="32" t="s">
        <v>999</v>
      </c>
      <c r="M182" s="31">
        <f>4565</f>
        <v>4565</v>
      </c>
      <c r="N182" s="32" t="s">
        <v>786</v>
      </c>
      <c r="O182" s="31">
        <f>4210</f>
        <v>4210</v>
      </c>
      <c r="P182" s="32" t="s">
        <v>999</v>
      </c>
      <c r="Q182" s="31">
        <f>4410</f>
        <v>4410</v>
      </c>
      <c r="R182" s="32" t="s">
        <v>791</v>
      </c>
      <c r="S182" s="33">
        <f>4339.76</f>
        <v>4339.76</v>
      </c>
      <c r="T182" s="30">
        <f>8070</f>
        <v>8070</v>
      </c>
      <c r="U182" s="30" t="str">
        <f t="shared" si="4"/>
        <v>－</v>
      </c>
      <c r="V182" s="30">
        <f>35313280</f>
        <v>35313280</v>
      </c>
      <c r="W182" s="30" t="str">
        <f t="shared" si="5"/>
        <v>－</v>
      </c>
      <c r="X182" s="34">
        <f>21</f>
        <v>21</v>
      </c>
    </row>
    <row r="183" spans="1:24" ht="13.5" customHeight="1" x14ac:dyDescent="0.15">
      <c r="A183" s="25" t="s">
        <v>1182</v>
      </c>
      <c r="B183" s="25" t="s">
        <v>613</v>
      </c>
      <c r="C183" s="25" t="s">
        <v>614</v>
      </c>
      <c r="D183" s="25" t="s">
        <v>615</v>
      </c>
      <c r="E183" s="26" t="s">
        <v>45</v>
      </c>
      <c r="F183" s="27" t="s">
        <v>45</v>
      </c>
      <c r="G183" s="28" t="s">
        <v>45</v>
      </c>
      <c r="H183" s="29"/>
      <c r="I183" s="29" t="s">
        <v>567</v>
      </c>
      <c r="J183" s="30">
        <v>1</v>
      </c>
      <c r="K183" s="31">
        <f>23855</f>
        <v>23855</v>
      </c>
      <c r="L183" s="32" t="s">
        <v>999</v>
      </c>
      <c r="M183" s="31">
        <f>24040</f>
        <v>24040</v>
      </c>
      <c r="N183" s="32" t="s">
        <v>787</v>
      </c>
      <c r="O183" s="31">
        <f>22485</f>
        <v>22485</v>
      </c>
      <c r="P183" s="32" t="s">
        <v>784</v>
      </c>
      <c r="Q183" s="31">
        <f>23325</f>
        <v>23325</v>
      </c>
      <c r="R183" s="32" t="s">
        <v>791</v>
      </c>
      <c r="S183" s="33">
        <f>23375.26</f>
        <v>23375.26</v>
      </c>
      <c r="T183" s="30">
        <f>309</f>
        <v>309</v>
      </c>
      <c r="U183" s="30" t="str">
        <f t="shared" si="4"/>
        <v>－</v>
      </c>
      <c r="V183" s="30">
        <f>7223710</f>
        <v>7223710</v>
      </c>
      <c r="W183" s="30" t="str">
        <f t="shared" si="5"/>
        <v>－</v>
      </c>
      <c r="X183" s="34">
        <f>19</f>
        <v>19</v>
      </c>
    </row>
    <row r="184" spans="1:24" ht="13.5" customHeight="1" x14ac:dyDescent="0.15">
      <c r="A184" s="25" t="s">
        <v>1182</v>
      </c>
      <c r="B184" s="25" t="s">
        <v>616</v>
      </c>
      <c r="C184" s="25" t="s">
        <v>617</v>
      </c>
      <c r="D184" s="25" t="s">
        <v>618</v>
      </c>
      <c r="E184" s="26" t="s">
        <v>45</v>
      </c>
      <c r="F184" s="27" t="s">
        <v>45</v>
      </c>
      <c r="G184" s="28" t="s">
        <v>45</v>
      </c>
      <c r="H184" s="29"/>
      <c r="I184" s="29" t="s">
        <v>567</v>
      </c>
      <c r="J184" s="30">
        <v>1</v>
      </c>
      <c r="K184" s="31">
        <f>15455</f>
        <v>15455</v>
      </c>
      <c r="L184" s="32" t="s">
        <v>784</v>
      </c>
      <c r="M184" s="31">
        <f>16005</f>
        <v>16005</v>
      </c>
      <c r="N184" s="32" t="s">
        <v>56</v>
      </c>
      <c r="O184" s="31">
        <f>15400</f>
        <v>15400</v>
      </c>
      <c r="P184" s="32" t="s">
        <v>894</v>
      </c>
      <c r="Q184" s="31">
        <f>15430</f>
        <v>15430</v>
      </c>
      <c r="R184" s="32" t="s">
        <v>791</v>
      </c>
      <c r="S184" s="33">
        <f>15657.86</f>
        <v>15657.86</v>
      </c>
      <c r="T184" s="30">
        <f>23</f>
        <v>23</v>
      </c>
      <c r="U184" s="30" t="str">
        <f t="shared" si="4"/>
        <v>－</v>
      </c>
      <c r="V184" s="30">
        <f>359985</f>
        <v>359985</v>
      </c>
      <c r="W184" s="30" t="str">
        <f t="shared" si="5"/>
        <v>－</v>
      </c>
      <c r="X184" s="34">
        <f>7</f>
        <v>7</v>
      </c>
    </row>
    <row r="185" spans="1:24" ht="13.5" customHeight="1" x14ac:dyDescent="0.15">
      <c r="A185" s="25" t="s">
        <v>1182</v>
      </c>
      <c r="B185" s="25" t="s">
        <v>619</v>
      </c>
      <c r="C185" s="25" t="s">
        <v>620</v>
      </c>
      <c r="D185" s="25" t="s">
        <v>621</v>
      </c>
      <c r="E185" s="26" t="s">
        <v>45</v>
      </c>
      <c r="F185" s="27" t="s">
        <v>45</v>
      </c>
      <c r="G185" s="28" t="s">
        <v>45</v>
      </c>
      <c r="H185" s="29"/>
      <c r="I185" s="29" t="s">
        <v>567</v>
      </c>
      <c r="J185" s="30">
        <v>1</v>
      </c>
      <c r="K185" s="31">
        <f>28195</f>
        <v>28195</v>
      </c>
      <c r="L185" s="32" t="s">
        <v>999</v>
      </c>
      <c r="M185" s="31">
        <f>28275</f>
        <v>28275</v>
      </c>
      <c r="N185" s="32" t="s">
        <v>999</v>
      </c>
      <c r="O185" s="31">
        <f>26335</f>
        <v>26335</v>
      </c>
      <c r="P185" s="32" t="s">
        <v>785</v>
      </c>
      <c r="Q185" s="31">
        <f>26765</f>
        <v>26765</v>
      </c>
      <c r="R185" s="32" t="s">
        <v>893</v>
      </c>
      <c r="S185" s="33">
        <f>27183.06</f>
        <v>27183.06</v>
      </c>
      <c r="T185" s="30">
        <f>754</f>
        <v>754</v>
      </c>
      <c r="U185" s="30" t="str">
        <f t="shared" si="4"/>
        <v>－</v>
      </c>
      <c r="V185" s="30">
        <f>20389075</f>
        <v>20389075</v>
      </c>
      <c r="W185" s="30" t="str">
        <f t="shared" si="5"/>
        <v>－</v>
      </c>
      <c r="X185" s="34">
        <f>18</f>
        <v>18</v>
      </c>
    </row>
    <row r="186" spans="1:24" ht="13.5" customHeight="1" x14ac:dyDescent="0.15">
      <c r="A186" s="25" t="s">
        <v>1182</v>
      </c>
      <c r="B186" s="25" t="s">
        <v>622</v>
      </c>
      <c r="C186" s="25" t="s">
        <v>623</v>
      </c>
      <c r="D186" s="25" t="s">
        <v>624</v>
      </c>
      <c r="E186" s="26" t="s">
        <v>45</v>
      </c>
      <c r="F186" s="27" t="s">
        <v>45</v>
      </c>
      <c r="G186" s="28" t="s">
        <v>45</v>
      </c>
      <c r="H186" s="29"/>
      <c r="I186" s="29" t="s">
        <v>567</v>
      </c>
      <c r="J186" s="30">
        <v>1</v>
      </c>
      <c r="K186" s="31">
        <f>18805</f>
        <v>18805</v>
      </c>
      <c r="L186" s="32" t="s">
        <v>790</v>
      </c>
      <c r="M186" s="31">
        <f>18805</f>
        <v>18805</v>
      </c>
      <c r="N186" s="32" t="s">
        <v>790</v>
      </c>
      <c r="O186" s="31">
        <f>18535</f>
        <v>18535</v>
      </c>
      <c r="P186" s="32" t="s">
        <v>791</v>
      </c>
      <c r="Q186" s="31">
        <f>18535</f>
        <v>18535</v>
      </c>
      <c r="R186" s="32" t="s">
        <v>791</v>
      </c>
      <c r="S186" s="33">
        <f>18670</f>
        <v>18670</v>
      </c>
      <c r="T186" s="30">
        <f>108</f>
        <v>108</v>
      </c>
      <c r="U186" s="30" t="str">
        <f t="shared" si="4"/>
        <v>－</v>
      </c>
      <c r="V186" s="30">
        <f>2002050</f>
        <v>2002050</v>
      </c>
      <c r="W186" s="30" t="str">
        <f t="shared" si="5"/>
        <v>－</v>
      </c>
      <c r="X186" s="34">
        <f>2</f>
        <v>2</v>
      </c>
    </row>
    <row r="187" spans="1:24" ht="13.5" customHeight="1" x14ac:dyDescent="0.15">
      <c r="A187" s="25" t="s">
        <v>1182</v>
      </c>
      <c r="B187" s="25" t="s">
        <v>625</v>
      </c>
      <c r="C187" s="25" t="s">
        <v>626</v>
      </c>
      <c r="D187" s="25" t="s">
        <v>627</v>
      </c>
      <c r="E187" s="26" t="s">
        <v>45</v>
      </c>
      <c r="F187" s="27" t="s">
        <v>45</v>
      </c>
      <c r="G187" s="28" t="s">
        <v>45</v>
      </c>
      <c r="H187" s="29"/>
      <c r="I187" s="29" t="s">
        <v>567</v>
      </c>
      <c r="J187" s="30">
        <v>1</v>
      </c>
      <c r="K187" s="31">
        <f>16845</f>
        <v>16845</v>
      </c>
      <c r="L187" s="32" t="s">
        <v>999</v>
      </c>
      <c r="M187" s="31">
        <f>16845</f>
        <v>16845</v>
      </c>
      <c r="N187" s="32" t="s">
        <v>999</v>
      </c>
      <c r="O187" s="31">
        <f>15695</f>
        <v>15695</v>
      </c>
      <c r="P187" s="32" t="s">
        <v>785</v>
      </c>
      <c r="Q187" s="31">
        <f>15795</f>
        <v>15795</v>
      </c>
      <c r="R187" s="32" t="s">
        <v>791</v>
      </c>
      <c r="S187" s="33">
        <f>16137.5</f>
        <v>16137.5</v>
      </c>
      <c r="T187" s="30">
        <f>751</f>
        <v>751</v>
      </c>
      <c r="U187" s="30" t="str">
        <f t="shared" si="4"/>
        <v>－</v>
      </c>
      <c r="V187" s="30">
        <f>11980290</f>
        <v>11980290</v>
      </c>
      <c r="W187" s="30" t="str">
        <f t="shared" si="5"/>
        <v>－</v>
      </c>
      <c r="X187" s="34">
        <f>16</f>
        <v>16</v>
      </c>
    </row>
    <row r="188" spans="1:24" ht="13.5" customHeight="1" x14ac:dyDescent="0.15">
      <c r="A188" s="25" t="s">
        <v>1182</v>
      </c>
      <c r="B188" s="25" t="s">
        <v>628</v>
      </c>
      <c r="C188" s="25" t="s">
        <v>629</v>
      </c>
      <c r="D188" s="25" t="s">
        <v>630</v>
      </c>
      <c r="E188" s="26" t="s">
        <v>45</v>
      </c>
      <c r="F188" s="27" t="s">
        <v>45</v>
      </c>
      <c r="G188" s="28" t="s">
        <v>45</v>
      </c>
      <c r="H188" s="29"/>
      <c r="I188" s="29" t="s">
        <v>567</v>
      </c>
      <c r="J188" s="30">
        <v>1</v>
      </c>
      <c r="K188" s="31">
        <f>19420</f>
        <v>19420</v>
      </c>
      <c r="L188" s="32" t="s">
        <v>999</v>
      </c>
      <c r="M188" s="31">
        <f>19445</f>
        <v>19445</v>
      </c>
      <c r="N188" s="32" t="s">
        <v>999</v>
      </c>
      <c r="O188" s="31">
        <f>18155</f>
        <v>18155</v>
      </c>
      <c r="P188" s="32" t="s">
        <v>784</v>
      </c>
      <c r="Q188" s="31">
        <f>18625</f>
        <v>18625</v>
      </c>
      <c r="R188" s="32" t="s">
        <v>788</v>
      </c>
      <c r="S188" s="33">
        <f>18631.25</f>
        <v>18631.25</v>
      </c>
      <c r="T188" s="30">
        <f>61</f>
        <v>61</v>
      </c>
      <c r="U188" s="30" t="str">
        <f t="shared" si="4"/>
        <v>－</v>
      </c>
      <c r="V188" s="30">
        <f>1129570</f>
        <v>1129570</v>
      </c>
      <c r="W188" s="30" t="str">
        <f t="shared" si="5"/>
        <v>－</v>
      </c>
      <c r="X188" s="34">
        <f>4</f>
        <v>4</v>
      </c>
    </row>
    <row r="189" spans="1:24" ht="13.5" customHeight="1" x14ac:dyDescent="0.15">
      <c r="A189" s="25" t="s">
        <v>1182</v>
      </c>
      <c r="B189" s="25" t="s">
        <v>631</v>
      </c>
      <c r="C189" s="25" t="s">
        <v>632</v>
      </c>
      <c r="D189" s="25" t="s">
        <v>633</v>
      </c>
      <c r="E189" s="26" t="s">
        <v>45</v>
      </c>
      <c r="F189" s="27" t="s">
        <v>45</v>
      </c>
      <c r="G189" s="28" t="s">
        <v>45</v>
      </c>
      <c r="H189" s="29"/>
      <c r="I189" s="29" t="s">
        <v>567</v>
      </c>
      <c r="J189" s="30">
        <v>1</v>
      </c>
      <c r="K189" s="31" t="str">
        <f>"－"</f>
        <v>－</v>
      </c>
      <c r="L189" s="32"/>
      <c r="M189" s="31" t="str">
        <f>"－"</f>
        <v>－</v>
      </c>
      <c r="N189" s="32"/>
      <c r="O189" s="31" t="str">
        <f>"－"</f>
        <v>－</v>
      </c>
      <c r="P189" s="32"/>
      <c r="Q189" s="31" t="str">
        <f>"－"</f>
        <v>－</v>
      </c>
      <c r="R189" s="32"/>
      <c r="S189" s="33" t="str">
        <f>"－"</f>
        <v>－</v>
      </c>
      <c r="T189" s="30" t="str">
        <f>"－"</f>
        <v>－</v>
      </c>
      <c r="U189" s="30" t="str">
        <f t="shared" si="4"/>
        <v>－</v>
      </c>
      <c r="V189" s="30" t="str">
        <f>"－"</f>
        <v>－</v>
      </c>
      <c r="W189" s="30" t="str">
        <f t="shared" si="5"/>
        <v>－</v>
      </c>
      <c r="X189" s="34" t="str">
        <f>"－"</f>
        <v>－</v>
      </c>
    </row>
    <row r="190" spans="1:24" ht="13.5" customHeight="1" x14ac:dyDescent="0.15">
      <c r="A190" s="25" t="s">
        <v>1182</v>
      </c>
      <c r="B190" s="25" t="s">
        <v>634</v>
      </c>
      <c r="C190" s="25" t="s">
        <v>635</v>
      </c>
      <c r="D190" s="25" t="s">
        <v>636</v>
      </c>
      <c r="E190" s="26" t="s">
        <v>45</v>
      </c>
      <c r="F190" s="27" t="s">
        <v>45</v>
      </c>
      <c r="G190" s="28" t="s">
        <v>45</v>
      </c>
      <c r="H190" s="29"/>
      <c r="I190" s="29" t="s">
        <v>567</v>
      </c>
      <c r="J190" s="30">
        <v>1</v>
      </c>
      <c r="K190" s="31">
        <f>10265</f>
        <v>10265</v>
      </c>
      <c r="L190" s="32" t="s">
        <v>78</v>
      </c>
      <c r="M190" s="31">
        <f>10395</f>
        <v>10395</v>
      </c>
      <c r="N190" s="32" t="s">
        <v>56</v>
      </c>
      <c r="O190" s="31">
        <f>9920</f>
        <v>9920</v>
      </c>
      <c r="P190" s="32" t="s">
        <v>893</v>
      </c>
      <c r="Q190" s="31">
        <f>9920</f>
        <v>9920</v>
      </c>
      <c r="R190" s="32" t="s">
        <v>893</v>
      </c>
      <c r="S190" s="33">
        <f>10154.17</f>
        <v>10154.17</v>
      </c>
      <c r="T190" s="30">
        <f>3936</f>
        <v>3936</v>
      </c>
      <c r="U190" s="30" t="str">
        <f t="shared" si="4"/>
        <v>－</v>
      </c>
      <c r="V190" s="30">
        <f>39908555</f>
        <v>39908555</v>
      </c>
      <c r="W190" s="30" t="str">
        <f t="shared" si="5"/>
        <v>－</v>
      </c>
      <c r="X190" s="34">
        <f>6</f>
        <v>6</v>
      </c>
    </row>
    <row r="191" spans="1:24" ht="13.5" customHeight="1" x14ac:dyDescent="0.15">
      <c r="A191" s="25" t="s">
        <v>1182</v>
      </c>
      <c r="B191" s="25" t="s">
        <v>637</v>
      </c>
      <c r="C191" s="25" t="s">
        <v>638</v>
      </c>
      <c r="D191" s="25" t="s">
        <v>639</v>
      </c>
      <c r="E191" s="26" t="s">
        <v>45</v>
      </c>
      <c r="F191" s="27" t="s">
        <v>45</v>
      </c>
      <c r="G191" s="28" t="s">
        <v>45</v>
      </c>
      <c r="H191" s="29"/>
      <c r="I191" s="29" t="s">
        <v>567</v>
      </c>
      <c r="J191" s="30">
        <v>1</v>
      </c>
      <c r="K191" s="31">
        <f>11495</f>
        <v>11495</v>
      </c>
      <c r="L191" s="32" t="s">
        <v>999</v>
      </c>
      <c r="M191" s="31">
        <f>11545</f>
        <v>11545</v>
      </c>
      <c r="N191" s="32" t="s">
        <v>999</v>
      </c>
      <c r="O191" s="31">
        <f>10645</f>
        <v>10645</v>
      </c>
      <c r="P191" s="32" t="s">
        <v>793</v>
      </c>
      <c r="Q191" s="31">
        <f>10880</f>
        <v>10880</v>
      </c>
      <c r="R191" s="32" t="s">
        <v>791</v>
      </c>
      <c r="S191" s="33">
        <f>11068.75</f>
        <v>11068.75</v>
      </c>
      <c r="T191" s="30">
        <f>14985</f>
        <v>14985</v>
      </c>
      <c r="U191" s="30" t="str">
        <f t="shared" si="4"/>
        <v>－</v>
      </c>
      <c r="V191" s="30">
        <f>166030850</f>
        <v>166030850</v>
      </c>
      <c r="W191" s="30" t="str">
        <f t="shared" si="5"/>
        <v>－</v>
      </c>
      <c r="X191" s="34">
        <f>20</f>
        <v>20</v>
      </c>
    </row>
    <row r="192" spans="1:24" ht="13.5" customHeight="1" x14ac:dyDescent="0.15">
      <c r="A192" s="25" t="s">
        <v>1182</v>
      </c>
      <c r="B192" s="25" t="s">
        <v>640</v>
      </c>
      <c r="C192" s="25" t="s">
        <v>641</v>
      </c>
      <c r="D192" s="25" t="s">
        <v>642</v>
      </c>
      <c r="E192" s="26" t="s">
        <v>45</v>
      </c>
      <c r="F192" s="27" t="s">
        <v>45</v>
      </c>
      <c r="G192" s="28" t="s">
        <v>45</v>
      </c>
      <c r="H192" s="29"/>
      <c r="I192" s="29" t="s">
        <v>567</v>
      </c>
      <c r="J192" s="30">
        <v>1</v>
      </c>
      <c r="K192" s="31">
        <f>11280</f>
        <v>11280</v>
      </c>
      <c r="L192" s="32" t="s">
        <v>999</v>
      </c>
      <c r="M192" s="31">
        <f>11280</f>
        <v>11280</v>
      </c>
      <c r="N192" s="32" t="s">
        <v>999</v>
      </c>
      <c r="O192" s="31">
        <f>10520</f>
        <v>10520</v>
      </c>
      <c r="P192" s="32" t="s">
        <v>893</v>
      </c>
      <c r="Q192" s="31">
        <f>10545</f>
        <v>10545</v>
      </c>
      <c r="R192" s="32" t="s">
        <v>893</v>
      </c>
      <c r="S192" s="33">
        <f>10898.21</f>
        <v>10898.21</v>
      </c>
      <c r="T192" s="30">
        <f>8176</f>
        <v>8176</v>
      </c>
      <c r="U192" s="30" t="str">
        <f t="shared" si="4"/>
        <v>－</v>
      </c>
      <c r="V192" s="30">
        <f>88900230</f>
        <v>88900230</v>
      </c>
      <c r="W192" s="30" t="str">
        <f t="shared" si="5"/>
        <v>－</v>
      </c>
      <c r="X192" s="34">
        <f>14</f>
        <v>14</v>
      </c>
    </row>
    <row r="193" spans="1:24" ht="13.5" customHeight="1" x14ac:dyDescent="0.15">
      <c r="A193" s="25" t="s">
        <v>1182</v>
      </c>
      <c r="B193" s="25" t="s">
        <v>899</v>
      </c>
      <c r="C193" s="25" t="s">
        <v>900</v>
      </c>
      <c r="D193" s="25" t="s">
        <v>901</v>
      </c>
      <c r="E193" s="26" t="s">
        <v>45</v>
      </c>
      <c r="F193" s="27" t="s">
        <v>45</v>
      </c>
      <c r="G193" s="28" t="s">
        <v>45</v>
      </c>
      <c r="H193" s="29"/>
      <c r="I193" s="29" t="s">
        <v>567</v>
      </c>
      <c r="J193" s="30">
        <v>1</v>
      </c>
      <c r="K193" s="31">
        <f>10800</f>
        <v>10800</v>
      </c>
      <c r="L193" s="32" t="s">
        <v>794</v>
      </c>
      <c r="M193" s="31">
        <f>10800</f>
        <v>10800</v>
      </c>
      <c r="N193" s="32" t="s">
        <v>794</v>
      </c>
      <c r="O193" s="31">
        <f>10425</f>
        <v>10425</v>
      </c>
      <c r="P193" s="32" t="s">
        <v>791</v>
      </c>
      <c r="Q193" s="31">
        <f>10425</f>
        <v>10425</v>
      </c>
      <c r="R193" s="32" t="s">
        <v>791</v>
      </c>
      <c r="S193" s="33">
        <f>10663.33</f>
        <v>10663.33</v>
      </c>
      <c r="T193" s="30">
        <f>12</f>
        <v>12</v>
      </c>
      <c r="U193" s="30" t="str">
        <f t="shared" si="4"/>
        <v>－</v>
      </c>
      <c r="V193" s="30">
        <f>129155</f>
        <v>129155</v>
      </c>
      <c r="W193" s="30" t="str">
        <f t="shared" si="5"/>
        <v>－</v>
      </c>
      <c r="X193" s="34">
        <f>3</f>
        <v>3</v>
      </c>
    </row>
    <row r="194" spans="1:24" ht="13.5" customHeight="1" x14ac:dyDescent="0.15">
      <c r="A194" s="25" t="s">
        <v>1182</v>
      </c>
      <c r="B194" s="25" t="s">
        <v>1141</v>
      </c>
      <c r="C194" s="25" t="s">
        <v>1142</v>
      </c>
      <c r="D194" s="25" t="s">
        <v>1143</v>
      </c>
      <c r="E194" s="26" t="s">
        <v>45</v>
      </c>
      <c r="F194" s="27" t="s">
        <v>45</v>
      </c>
      <c r="G194" s="28" t="s">
        <v>45</v>
      </c>
      <c r="H194" s="29"/>
      <c r="I194" s="29" t="s">
        <v>46</v>
      </c>
      <c r="J194" s="30">
        <v>1</v>
      </c>
      <c r="K194" s="31">
        <f>1017</f>
        <v>1017</v>
      </c>
      <c r="L194" s="32" t="s">
        <v>999</v>
      </c>
      <c r="M194" s="31">
        <f>1031</f>
        <v>1031</v>
      </c>
      <c r="N194" s="32" t="s">
        <v>999</v>
      </c>
      <c r="O194" s="31">
        <f>956</f>
        <v>956</v>
      </c>
      <c r="P194" s="32" t="s">
        <v>785</v>
      </c>
      <c r="Q194" s="31">
        <f>991</f>
        <v>991</v>
      </c>
      <c r="R194" s="32" t="s">
        <v>791</v>
      </c>
      <c r="S194" s="33">
        <f>991.62</f>
        <v>991.62</v>
      </c>
      <c r="T194" s="30">
        <f>23859127</f>
        <v>23859127</v>
      </c>
      <c r="U194" s="30">
        <f>462850</f>
        <v>462850</v>
      </c>
      <c r="V194" s="30">
        <f>23615832057</f>
        <v>23615832057</v>
      </c>
      <c r="W194" s="30">
        <f>455049366</f>
        <v>455049366</v>
      </c>
      <c r="X194" s="34">
        <f>21</f>
        <v>21</v>
      </c>
    </row>
    <row r="195" spans="1:24" ht="13.5" customHeight="1" x14ac:dyDescent="0.15">
      <c r="A195" s="25" t="s">
        <v>1182</v>
      </c>
      <c r="B195" s="25" t="s">
        <v>1145</v>
      </c>
      <c r="C195" s="25" t="s">
        <v>1146</v>
      </c>
      <c r="D195" s="25" t="s">
        <v>1147</v>
      </c>
      <c r="E195" s="26" t="s">
        <v>45</v>
      </c>
      <c r="F195" s="27" t="s">
        <v>45</v>
      </c>
      <c r="G195" s="28" t="s">
        <v>45</v>
      </c>
      <c r="H195" s="29"/>
      <c r="I195" s="29" t="s">
        <v>46</v>
      </c>
      <c r="J195" s="30">
        <v>1</v>
      </c>
      <c r="K195" s="31">
        <f>1000</f>
        <v>1000</v>
      </c>
      <c r="L195" s="32" t="s">
        <v>999</v>
      </c>
      <c r="M195" s="31">
        <f>1009</f>
        <v>1009</v>
      </c>
      <c r="N195" s="32" t="s">
        <v>999</v>
      </c>
      <c r="O195" s="31">
        <f>941</f>
        <v>941</v>
      </c>
      <c r="P195" s="32" t="s">
        <v>793</v>
      </c>
      <c r="Q195" s="31">
        <f>971</f>
        <v>971</v>
      </c>
      <c r="R195" s="32" t="s">
        <v>791</v>
      </c>
      <c r="S195" s="33">
        <f>973.38</f>
        <v>973.38</v>
      </c>
      <c r="T195" s="30">
        <f>486756</f>
        <v>486756</v>
      </c>
      <c r="U195" s="30" t="str">
        <f>"－"</f>
        <v>－</v>
      </c>
      <c r="V195" s="30">
        <f>477528899</f>
        <v>477528899</v>
      </c>
      <c r="W195" s="30" t="str">
        <f>"－"</f>
        <v>－</v>
      </c>
      <c r="X195" s="34">
        <f>21</f>
        <v>21</v>
      </c>
    </row>
    <row r="196" spans="1:24" ht="13.5" customHeight="1" x14ac:dyDescent="0.15">
      <c r="A196" s="25" t="s">
        <v>1182</v>
      </c>
      <c r="B196" s="25" t="s">
        <v>1148</v>
      </c>
      <c r="C196" s="25" t="s">
        <v>1149</v>
      </c>
      <c r="D196" s="25" t="s">
        <v>1150</v>
      </c>
      <c r="E196" s="26" t="s">
        <v>45</v>
      </c>
      <c r="F196" s="27" t="s">
        <v>45</v>
      </c>
      <c r="G196" s="28" t="s">
        <v>45</v>
      </c>
      <c r="H196" s="29"/>
      <c r="I196" s="29" t="s">
        <v>46</v>
      </c>
      <c r="J196" s="30">
        <v>1</v>
      </c>
      <c r="K196" s="31">
        <f>954</f>
        <v>954</v>
      </c>
      <c r="L196" s="32" t="s">
        <v>999</v>
      </c>
      <c r="M196" s="31">
        <f>957</f>
        <v>957</v>
      </c>
      <c r="N196" s="32" t="s">
        <v>999</v>
      </c>
      <c r="O196" s="31">
        <f>891</f>
        <v>891</v>
      </c>
      <c r="P196" s="32" t="s">
        <v>793</v>
      </c>
      <c r="Q196" s="31">
        <f>910</f>
        <v>910</v>
      </c>
      <c r="R196" s="32" t="s">
        <v>791</v>
      </c>
      <c r="S196" s="33">
        <f>924.52</f>
        <v>924.52</v>
      </c>
      <c r="T196" s="30">
        <f>195741</f>
        <v>195741</v>
      </c>
      <c r="U196" s="30" t="str">
        <f>"－"</f>
        <v>－</v>
      </c>
      <c r="V196" s="30">
        <f>180500135</f>
        <v>180500135</v>
      </c>
      <c r="W196" s="30" t="str">
        <f>"－"</f>
        <v>－</v>
      </c>
      <c r="X196" s="34">
        <f>21</f>
        <v>21</v>
      </c>
    </row>
    <row r="197" spans="1:24" ht="13.5" customHeight="1" x14ac:dyDescent="0.15">
      <c r="A197" s="25" t="s">
        <v>1182</v>
      </c>
      <c r="B197" s="25" t="s">
        <v>1151</v>
      </c>
      <c r="C197" s="25" t="s">
        <v>1152</v>
      </c>
      <c r="D197" s="25" t="s">
        <v>1153</v>
      </c>
      <c r="E197" s="26" t="s">
        <v>45</v>
      </c>
      <c r="F197" s="27" t="s">
        <v>45</v>
      </c>
      <c r="G197" s="28" t="s">
        <v>45</v>
      </c>
      <c r="H197" s="29"/>
      <c r="I197" s="29" t="s">
        <v>46</v>
      </c>
      <c r="J197" s="30">
        <v>1</v>
      </c>
      <c r="K197" s="31">
        <f>1909</f>
        <v>1909</v>
      </c>
      <c r="L197" s="32" t="s">
        <v>999</v>
      </c>
      <c r="M197" s="31">
        <f>1921</f>
        <v>1921</v>
      </c>
      <c r="N197" s="32" t="s">
        <v>787</v>
      </c>
      <c r="O197" s="31">
        <f>1757</f>
        <v>1757</v>
      </c>
      <c r="P197" s="32" t="s">
        <v>793</v>
      </c>
      <c r="Q197" s="31">
        <f>1812</f>
        <v>1812</v>
      </c>
      <c r="R197" s="32" t="s">
        <v>791</v>
      </c>
      <c r="S197" s="33">
        <f>1844.67</f>
        <v>1844.67</v>
      </c>
      <c r="T197" s="30">
        <f>739718</f>
        <v>739718</v>
      </c>
      <c r="U197" s="30">
        <f>16301</f>
        <v>16301</v>
      </c>
      <c r="V197" s="30">
        <f>1353552065</f>
        <v>1353552065</v>
      </c>
      <c r="W197" s="30">
        <f>30172309</f>
        <v>30172309</v>
      </c>
      <c r="X197" s="34">
        <f>21</f>
        <v>21</v>
      </c>
    </row>
    <row r="198" spans="1:24" ht="13.5" customHeight="1" x14ac:dyDescent="0.15">
      <c r="A198" s="25" t="s">
        <v>1182</v>
      </c>
      <c r="B198" s="25" t="s">
        <v>1154</v>
      </c>
      <c r="C198" s="25" t="s">
        <v>1155</v>
      </c>
      <c r="D198" s="25" t="s">
        <v>1156</v>
      </c>
      <c r="E198" s="26" t="s">
        <v>45</v>
      </c>
      <c r="F198" s="27" t="s">
        <v>45</v>
      </c>
      <c r="G198" s="28" t="s">
        <v>45</v>
      </c>
      <c r="H198" s="29"/>
      <c r="I198" s="29" t="s">
        <v>46</v>
      </c>
      <c r="J198" s="30">
        <v>1</v>
      </c>
      <c r="K198" s="31">
        <f>2008</f>
        <v>2008</v>
      </c>
      <c r="L198" s="32" t="s">
        <v>999</v>
      </c>
      <c r="M198" s="31">
        <f>2031</f>
        <v>2031</v>
      </c>
      <c r="N198" s="32" t="s">
        <v>999</v>
      </c>
      <c r="O198" s="31">
        <f>1888</f>
        <v>1888</v>
      </c>
      <c r="P198" s="32" t="s">
        <v>793</v>
      </c>
      <c r="Q198" s="31">
        <f>1952</f>
        <v>1952</v>
      </c>
      <c r="R198" s="32" t="s">
        <v>791</v>
      </c>
      <c r="S198" s="33">
        <f>1951.52</f>
        <v>1951.52</v>
      </c>
      <c r="T198" s="30">
        <f>2272727</f>
        <v>2272727</v>
      </c>
      <c r="U198" s="30">
        <f>194427</f>
        <v>194427</v>
      </c>
      <c r="V198" s="30">
        <f>4436450025</f>
        <v>4436450025</v>
      </c>
      <c r="W198" s="30">
        <f>379872327</f>
        <v>379872327</v>
      </c>
      <c r="X198" s="34">
        <f>21</f>
        <v>21</v>
      </c>
    </row>
    <row r="199" spans="1:24" ht="13.5" customHeight="1" x14ac:dyDescent="0.15">
      <c r="A199" s="25" t="s">
        <v>1182</v>
      </c>
      <c r="B199" s="25" t="s">
        <v>1157</v>
      </c>
      <c r="C199" s="25" t="s">
        <v>1158</v>
      </c>
      <c r="D199" s="25" t="s">
        <v>1159</v>
      </c>
      <c r="E199" s="26" t="s">
        <v>45</v>
      </c>
      <c r="F199" s="27" t="s">
        <v>45</v>
      </c>
      <c r="G199" s="28" t="s">
        <v>45</v>
      </c>
      <c r="H199" s="29"/>
      <c r="I199" s="29" t="s">
        <v>46</v>
      </c>
      <c r="J199" s="30">
        <v>10</v>
      </c>
      <c r="K199" s="31">
        <f>505</f>
        <v>505</v>
      </c>
      <c r="L199" s="32" t="s">
        <v>999</v>
      </c>
      <c r="M199" s="31">
        <f>510.5</f>
        <v>510.5</v>
      </c>
      <c r="N199" s="32" t="s">
        <v>999</v>
      </c>
      <c r="O199" s="31">
        <f>476</f>
        <v>476</v>
      </c>
      <c r="P199" s="32" t="s">
        <v>785</v>
      </c>
      <c r="Q199" s="31">
        <f>494.6</f>
        <v>494.6</v>
      </c>
      <c r="R199" s="32" t="s">
        <v>791</v>
      </c>
      <c r="S199" s="33">
        <f>490.82</f>
        <v>490.82</v>
      </c>
      <c r="T199" s="30">
        <f>8476150</f>
        <v>8476150</v>
      </c>
      <c r="U199" s="30">
        <f>751410</f>
        <v>751410</v>
      </c>
      <c r="V199" s="30">
        <f>4153211953</f>
        <v>4153211953</v>
      </c>
      <c r="W199" s="30">
        <f>364284039</f>
        <v>364284039</v>
      </c>
      <c r="X199" s="34">
        <f>21</f>
        <v>21</v>
      </c>
    </row>
    <row r="200" spans="1:24" ht="13.5" customHeight="1" x14ac:dyDescent="0.15">
      <c r="A200" s="25" t="s">
        <v>1182</v>
      </c>
      <c r="B200" s="25" t="s">
        <v>1160</v>
      </c>
      <c r="C200" s="25" t="s">
        <v>1161</v>
      </c>
      <c r="D200" s="25" t="s">
        <v>1162</v>
      </c>
      <c r="E200" s="26" t="s">
        <v>45</v>
      </c>
      <c r="F200" s="27" t="s">
        <v>45</v>
      </c>
      <c r="G200" s="28" t="s">
        <v>45</v>
      </c>
      <c r="H200" s="29"/>
      <c r="I200" s="29" t="s">
        <v>46</v>
      </c>
      <c r="J200" s="30">
        <v>10</v>
      </c>
      <c r="K200" s="31">
        <f>1946.5</f>
        <v>1946.5</v>
      </c>
      <c r="L200" s="32" t="s">
        <v>996</v>
      </c>
      <c r="M200" s="31">
        <f>1966.5</f>
        <v>1966.5</v>
      </c>
      <c r="N200" s="32" t="s">
        <v>875</v>
      </c>
      <c r="O200" s="31">
        <f>1880</f>
        <v>1880</v>
      </c>
      <c r="P200" s="32" t="s">
        <v>255</v>
      </c>
      <c r="Q200" s="31">
        <f>1880</f>
        <v>1880</v>
      </c>
      <c r="R200" s="32" t="s">
        <v>255</v>
      </c>
      <c r="S200" s="33">
        <f>1917.5</f>
        <v>1917.5</v>
      </c>
      <c r="T200" s="30">
        <f>1700</f>
        <v>1700</v>
      </c>
      <c r="U200" s="30" t="str">
        <f>"－"</f>
        <v>－</v>
      </c>
      <c r="V200" s="30">
        <f>3273800</f>
        <v>3273800</v>
      </c>
      <c r="W200" s="30" t="str">
        <f>"－"</f>
        <v>－</v>
      </c>
      <c r="X200" s="34">
        <f>6</f>
        <v>6</v>
      </c>
    </row>
    <row r="201" spans="1:24" ht="13.5" customHeight="1" x14ac:dyDescent="0.15">
      <c r="A201" s="25" t="s">
        <v>1182</v>
      </c>
      <c r="B201" s="25" t="s">
        <v>1164</v>
      </c>
      <c r="C201" s="25" t="s">
        <v>1165</v>
      </c>
      <c r="D201" s="25" t="s">
        <v>1166</v>
      </c>
      <c r="E201" s="26" t="s">
        <v>45</v>
      </c>
      <c r="F201" s="27" t="s">
        <v>45</v>
      </c>
      <c r="G201" s="28" t="s">
        <v>45</v>
      </c>
      <c r="H201" s="29"/>
      <c r="I201" s="29" t="s">
        <v>46</v>
      </c>
      <c r="J201" s="30">
        <v>10</v>
      </c>
      <c r="K201" s="31">
        <f>1940</f>
        <v>1940</v>
      </c>
      <c r="L201" s="32" t="s">
        <v>785</v>
      </c>
      <c r="M201" s="31">
        <f>2007</f>
        <v>2007</v>
      </c>
      <c r="N201" s="32" t="s">
        <v>875</v>
      </c>
      <c r="O201" s="31">
        <f>1891.5</f>
        <v>1891.5</v>
      </c>
      <c r="P201" s="32" t="s">
        <v>786</v>
      </c>
      <c r="Q201" s="31">
        <f>1891.5</f>
        <v>1891.5</v>
      </c>
      <c r="R201" s="32" t="s">
        <v>893</v>
      </c>
      <c r="S201" s="33">
        <f>1932.25</f>
        <v>1932.25</v>
      </c>
      <c r="T201" s="30">
        <f>55850</f>
        <v>55850</v>
      </c>
      <c r="U201" s="30" t="str">
        <f>"－"</f>
        <v>－</v>
      </c>
      <c r="V201" s="30">
        <f>111920345</f>
        <v>111920345</v>
      </c>
      <c r="W201" s="30" t="str">
        <f>"－"</f>
        <v>－</v>
      </c>
      <c r="X201" s="34">
        <f>4</f>
        <v>4</v>
      </c>
    </row>
    <row r="202" spans="1:24" ht="13.5" customHeight="1" x14ac:dyDescent="0.15">
      <c r="A202" s="25" t="s">
        <v>1182</v>
      </c>
      <c r="B202" s="25" t="s">
        <v>1167</v>
      </c>
      <c r="C202" s="25" t="s">
        <v>1168</v>
      </c>
      <c r="D202" s="25" t="s">
        <v>1169</v>
      </c>
      <c r="E202" s="26" t="s">
        <v>45</v>
      </c>
      <c r="F202" s="27" t="s">
        <v>45</v>
      </c>
      <c r="G202" s="28" t="s">
        <v>45</v>
      </c>
      <c r="H202" s="29"/>
      <c r="I202" s="29" t="s">
        <v>46</v>
      </c>
      <c r="J202" s="30">
        <v>10</v>
      </c>
      <c r="K202" s="31">
        <f>1993</f>
        <v>1993</v>
      </c>
      <c r="L202" s="32" t="s">
        <v>875</v>
      </c>
      <c r="M202" s="31">
        <f>1993</f>
        <v>1993</v>
      </c>
      <c r="N202" s="32" t="s">
        <v>875</v>
      </c>
      <c r="O202" s="31">
        <f>1875</f>
        <v>1875</v>
      </c>
      <c r="P202" s="32" t="s">
        <v>893</v>
      </c>
      <c r="Q202" s="31">
        <f>1875</f>
        <v>1875</v>
      </c>
      <c r="R202" s="32" t="s">
        <v>893</v>
      </c>
      <c r="S202" s="33">
        <f>1912</f>
        <v>1912</v>
      </c>
      <c r="T202" s="30">
        <f>80</f>
        <v>80</v>
      </c>
      <c r="U202" s="30" t="str">
        <f>"－"</f>
        <v>－</v>
      </c>
      <c r="V202" s="30">
        <f>156640</f>
        <v>156640</v>
      </c>
      <c r="W202" s="30" t="str">
        <f>"－"</f>
        <v>－</v>
      </c>
      <c r="X202" s="34">
        <f>2</f>
        <v>2</v>
      </c>
    </row>
    <row r="203" spans="1:24" ht="13.5" customHeight="1" x14ac:dyDescent="0.15">
      <c r="A203" s="25" t="s">
        <v>1182</v>
      </c>
      <c r="B203" s="25" t="s">
        <v>1170</v>
      </c>
      <c r="C203" s="25" t="s">
        <v>1171</v>
      </c>
      <c r="D203" s="25" t="s">
        <v>1172</v>
      </c>
      <c r="E203" s="26" t="s">
        <v>45</v>
      </c>
      <c r="F203" s="27" t="s">
        <v>45</v>
      </c>
      <c r="G203" s="28" t="s">
        <v>45</v>
      </c>
      <c r="H203" s="29"/>
      <c r="I203" s="29" t="s">
        <v>46</v>
      </c>
      <c r="J203" s="30">
        <v>10</v>
      </c>
      <c r="K203" s="31">
        <f>1940</f>
        <v>1940</v>
      </c>
      <c r="L203" s="32" t="s">
        <v>996</v>
      </c>
      <c r="M203" s="31">
        <f>1980</f>
        <v>1980</v>
      </c>
      <c r="N203" s="32" t="s">
        <v>875</v>
      </c>
      <c r="O203" s="31">
        <f>1940</f>
        <v>1940</v>
      </c>
      <c r="P203" s="32" t="s">
        <v>996</v>
      </c>
      <c r="Q203" s="31">
        <f>1957</f>
        <v>1957</v>
      </c>
      <c r="R203" s="32" t="s">
        <v>875</v>
      </c>
      <c r="S203" s="33">
        <f>1948.5</f>
        <v>1948.5</v>
      </c>
      <c r="T203" s="30">
        <f>120</f>
        <v>120</v>
      </c>
      <c r="U203" s="30" t="str">
        <f>"－"</f>
        <v>－</v>
      </c>
      <c r="V203" s="30">
        <f>236970</f>
        <v>236970</v>
      </c>
      <c r="W203" s="30" t="str">
        <f>"－"</f>
        <v>－</v>
      </c>
      <c r="X203" s="34">
        <f>2</f>
        <v>2</v>
      </c>
    </row>
    <row r="204" spans="1:24" ht="13.5" customHeight="1" x14ac:dyDescent="0.15">
      <c r="A204" s="25" t="s">
        <v>1182</v>
      </c>
      <c r="B204" s="25" t="s">
        <v>1173</v>
      </c>
      <c r="C204" s="25" t="s">
        <v>1174</v>
      </c>
      <c r="D204" s="25" t="s">
        <v>1175</v>
      </c>
      <c r="E204" s="26" t="s">
        <v>45</v>
      </c>
      <c r="F204" s="27" t="s">
        <v>45</v>
      </c>
      <c r="G204" s="28" t="s">
        <v>45</v>
      </c>
      <c r="H204" s="29"/>
      <c r="I204" s="29" t="s">
        <v>46</v>
      </c>
      <c r="J204" s="30">
        <v>10</v>
      </c>
      <c r="K204" s="31">
        <f>4941</f>
        <v>4941</v>
      </c>
      <c r="L204" s="32" t="s">
        <v>999</v>
      </c>
      <c r="M204" s="31">
        <f>5038</f>
        <v>5038</v>
      </c>
      <c r="N204" s="32" t="s">
        <v>875</v>
      </c>
      <c r="O204" s="31">
        <f>4810</f>
        <v>4810</v>
      </c>
      <c r="P204" s="32" t="s">
        <v>786</v>
      </c>
      <c r="Q204" s="31">
        <f>4850</f>
        <v>4850</v>
      </c>
      <c r="R204" s="32" t="s">
        <v>255</v>
      </c>
      <c r="S204" s="33">
        <f>4908</f>
        <v>4908</v>
      </c>
      <c r="T204" s="30">
        <f>99280</f>
        <v>99280</v>
      </c>
      <c r="U204" s="30">
        <f>20000</f>
        <v>20000</v>
      </c>
      <c r="V204" s="30">
        <f>487056762</f>
        <v>487056762</v>
      </c>
      <c r="W204" s="30">
        <f>97312352</f>
        <v>97312352</v>
      </c>
      <c r="X204" s="34">
        <f>11</f>
        <v>11</v>
      </c>
    </row>
    <row r="205" spans="1:24" ht="13.5" customHeight="1" x14ac:dyDescent="0.15">
      <c r="A205" s="25" t="s">
        <v>1182</v>
      </c>
      <c r="B205" s="25" t="s">
        <v>1176</v>
      </c>
      <c r="C205" s="25" t="s">
        <v>1177</v>
      </c>
      <c r="D205" s="25" t="s">
        <v>1178</v>
      </c>
      <c r="E205" s="26" t="s">
        <v>45</v>
      </c>
      <c r="F205" s="27" t="s">
        <v>45</v>
      </c>
      <c r="G205" s="28" t="s">
        <v>45</v>
      </c>
      <c r="H205" s="29"/>
      <c r="I205" s="29" t="s">
        <v>46</v>
      </c>
      <c r="J205" s="30">
        <v>10</v>
      </c>
      <c r="K205" s="31">
        <f>5040</f>
        <v>5040</v>
      </c>
      <c r="L205" s="32" t="s">
        <v>875</v>
      </c>
      <c r="M205" s="31">
        <f>5040</f>
        <v>5040</v>
      </c>
      <c r="N205" s="32" t="s">
        <v>875</v>
      </c>
      <c r="O205" s="31">
        <f>5005</f>
        <v>5005</v>
      </c>
      <c r="P205" s="32" t="s">
        <v>875</v>
      </c>
      <c r="Q205" s="31">
        <f>5005</f>
        <v>5005</v>
      </c>
      <c r="R205" s="32" t="s">
        <v>875</v>
      </c>
      <c r="S205" s="33">
        <f>5005</f>
        <v>5005</v>
      </c>
      <c r="T205" s="30">
        <f>20</f>
        <v>20</v>
      </c>
      <c r="U205" s="30" t="str">
        <f>"－"</f>
        <v>－</v>
      </c>
      <c r="V205" s="30">
        <f>100450</f>
        <v>100450</v>
      </c>
      <c r="W205" s="30" t="str">
        <f>"－"</f>
        <v>－</v>
      </c>
      <c r="X205" s="34">
        <f>1</f>
        <v>1</v>
      </c>
    </row>
    <row r="206" spans="1:24" ht="13.5" customHeight="1" x14ac:dyDescent="0.15">
      <c r="A206" s="25" t="s">
        <v>1182</v>
      </c>
      <c r="B206" s="25" t="s">
        <v>1179</v>
      </c>
      <c r="C206" s="25" t="s">
        <v>1180</v>
      </c>
      <c r="D206" s="25" t="s">
        <v>1181</v>
      </c>
      <c r="E206" s="26" t="s">
        <v>45</v>
      </c>
      <c r="F206" s="27" t="s">
        <v>45</v>
      </c>
      <c r="G206" s="28" t="s">
        <v>45</v>
      </c>
      <c r="H206" s="29"/>
      <c r="I206" s="29" t="s">
        <v>46</v>
      </c>
      <c r="J206" s="30">
        <v>10</v>
      </c>
      <c r="K206" s="31">
        <f>4944</f>
        <v>4944</v>
      </c>
      <c r="L206" s="32" t="s">
        <v>996</v>
      </c>
      <c r="M206" s="31">
        <f>5068</f>
        <v>5068</v>
      </c>
      <c r="N206" s="32" t="s">
        <v>875</v>
      </c>
      <c r="O206" s="31">
        <f>4909</f>
        <v>4909</v>
      </c>
      <c r="P206" s="32" t="s">
        <v>80</v>
      </c>
      <c r="Q206" s="31">
        <f>4909</f>
        <v>4909</v>
      </c>
      <c r="R206" s="32" t="s">
        <v>80</v>
      </c>
      <c r="S206" s="33">
        <f>4957.25</f>
        <v>4957.25</v>
      </c>
      <c r="T206" s="30">
        <f>22140</f>
        <v>22140</v>
      </c>
      <c r="U206" s="30" t="str">
        <f>"－"</f>
        <v>－</v>
      </c>
      <c r="V206" s="30">
        <f>110256100</f>
        <v>110256100</v>
      </c>
      <c r="W206" s="30" t="str">
        <f>"－"</f>
        <v>－</v>
      </c>
      <c r="X206" s="34">
        <f>4</f>
        <v>4</v>
      </c>
    </row>
    <row r="207" spans="1:24" ht="13.5" customHeight="1" x14ac:dyDescent="0.15">
      <c r="A207" s="25" t="s">
        <v>1182</v>
      </c>
      <c r="B207" s="25" t="s">
        <v>1209</v>
      </c>
      <c r="C207" s="25" t="s">
        <v>1208</v>
      </c>
      <c r="D207" s="25" t="s">
        <v>1207</v>
      </c>
      <c r="E207" s="26" t="s">
        <v>782</v>
      </c>
      <c r="F207" s="27" t="s">
        <v>783</v>
      </c>
      <c r="G207" s="28" t="s">
        <v>1206</v>
      </c>
      <c r="H207" s="29"/>
      <c r="I207" s="29" t="s">
        <v>46</v>
      </c>
      <c r="J207" s="30">
        <v>10</v>
      </c>
      <c r="K207" s="31">
        <f>5149</f>
        <v>5149</v>
      </c>
      <c r="L207" s="32" t="s">
        <v>784</v>
      </c>
      <c r="M207" s="31">
        <f>5149</f>
        <v>5149</v>
      </c>
      <c r="N207" s="32" t="s">
        <v>784</v>
      </c>
      <c r="O207" s="31">
        <f>4956</f>
        <v>4956</v>
      </c>
      <c r="P207" s="32" t="s">
        <v>875</v>
      </c>
      <c r="Q207" s="31">
        <f>5040</f>
        <v>5040</v>
      </c>
      <c r="R207" s="32" t="s">
        <v>791</v>
      </c>
      <c r="S207" s="33">
        <f>5005.11</f>
        <v>5005.1099999999997</v>
      </c>
      <c r="T207" s="30">
        <f>33200</f>
        <v>33200</v>
      </c>
      <c r="U207" s="30" t="str">
        <f>"－"</f>
        <v>－</v>
      </c>
      <c r="V207" s="30">
        <f>165349580</f>
        <v>165349580</v>
      </c>
      <c r="W207" s="30" t="str">
        <f>"－"</f>
        <v>－</v>
      </c>
      <c r="X207" s="34">
        <f>18</f>
        <v>18</v>
      </c>
    </row>
    <row r="208" spans="1:24" ht="13.5" customHeight="1" x14ac:dyDescent="0.15">
      <c r="A208" s="25" t="s">
        <v>1182</v>
      </c>
      <c r="B208" s="25" t="s">
        <v>1205</v>
      </c>
      <c r="C208" s="25" t="s">
        <v>1204</v>
      </c>
      <c r="D208" s="25" t="s">
        <v>1203</v>
      </c>
      <c r="E208" s="26" t="s">
        <v>782</v>
      </c>
      <c r="F208" s="27" t="s">
        <v>783</v>
      </c>
      <c r="G208" s="28" t="s">
        <v>1202</v>
      </c>
      <c r="H208" s="29"/>
      <c r="I208" s="29" t="s">
        <v>46</v>
      </c>
      <c r="J208" s="30">
        <v>1</v>
      </c>
      <c r="K208" s="31">
        <f>1002</f>
        <v>1002</v>
      </c>
      <c r="L208" s="32" t="s">
        <v>78</v>
      </c>
      <c r="M208" s="31">
        <f>1008</f>
        <v>1008</v>
      </c>
      <c r="N208" s="32" t="s">
        <v>893</v>
      </c>
      <c r="O208" s="31">
        <f>982</f>
        <v>982</v>
      </c>
      <c r="P208" s="32" t="s">
        <v>787</v>
      </c>
      <c r="Q208" s="31">
        <f>997</f>
        <v>997</v>
      </c>
      <c r="R208" s="32" t="s">
        <v>791</v>
      </c>
      <c r="S208" s="33">
        <f>994.12</f>
        <v>994.12</v>
      </c>
      <c r="T208" s="30">
        <f>1024708</f>
        <v>1024708</v>
      </c>
      <c r="U208" s="30">
        <f>479195</f>
        <v>479195</v>
      </c>
      <c r="V208" s="30">
        <f>1015140517</f>
        <v>1015140517</v>
      </c>
      <c r="W208" s="30">
        <f>474373693</f>
        <v>474373693</v>
      </c>
      <c r="X208" s="34">
        <f>17</f>
        <v>17</v>
      </c>
    </row>
    <row r="209" spans="1:24" ht="13.5" customHeight="1" x14ac:dyDescent="0.15">
      <c r="A209" s="25" t="s">
        <v>1182</v>
      </c>
      <c r="B209" s="25" t="s">
        <v>1201</v>
      </c>
      <c r="C209" s="25" t="s">
        <v>1200</v>
      </c>
      <c r="D209" s="25" t="s">
        <v>1199</v>
      </c>
      <c r="E209" s="26" t="s">
        <v>782</v>
      </c>
      <c r="F209" s="27" t="s">
        <v>783</v>
      </c>
      <c r="G209" s="28" t="s">
        <v>1189</v>
      </c>
      <c r="H209" s="29"/>
      <c r="I209" s="29" t="s">
        <v>46</v>
      </c>
      <c r="J209" s="30">
        <v>1</v>
      </c>
      <c r="K209" s="31">
        <f>1011</f>
        <v>1011</v>
      </c>
      <c r="L209" s="32" t="s">
        <v>786</v>
      </c>
      <c r="M209" s="31">
        <f>1015</f>
        <v>1015</v>
      </c>
      <c r="N209" s="32" t="s">
        <v>786</v>
      </c>
      <c r="O209" s="31">
        <f>979</f>
        <v>979</v>
      </c>
      <c r="P209" s="32" t="s">
        <v>791</v>
      </c>
      <c r="Q209" s="31">
        <f>996</f>
        <v>996</v>
      </c>
      <c r="R209" s="32" t="s">
        <v>791</v>
      </c>
      <c r="S209" s="33">
        <f>999.25</f>
        <v>999.25</v>
      </c>
      <c r="T209" s="30">
        <f>26056</f>
        <v>26056</v>
      </c>
      <c r="U209" s="30" t="str">
        <f>"－"</f>
        <v>－</v>
      </c>
      <c r="V209" s="30">
        <f>25931943</f>
        <v>25931943</v>
      </c>
      <c r="W209" s="30" t="str">
        <f>"－"</f>
        <v>－</v>
      </c>
      <c r="X209" s="34">
        <f>4</f>
        <v>4</v>
      </c>
    </row>
    <row r="210" spans="1:24" ht="13.5" customHeight="1" x14ac:dyDescent="0.15">
      <c r="A210" s="25" t="s">
        <v>1182</v>
      </c>
      <c r="B210" s="25" t="s">
        <v>1198</v>
      </c>
      <c r="C210" s="25" t="s">
        <v>1197</v>
      </c>
      <c r="D210" s="25" t="s">
        <v>1196</v>
      </c>
      <c r="E210" s="26" t="s">
        <v>782</v>
      </c>
      <c r="F210" s="27" t="s">
        <v>783</v>
      </c>
      <c r="G210" s="28" t="s">
        <v>1189</v>
      </c>
      <c r="H210" s="29"/>
      <c r="I210" s="29" t="s">
        <v>46</v>
      </c>
      <c r="J210" s="30">
        <v>1</v>
      </c>
      <c r="K210" s="31">
        <f>999</f>
        <v>999</v>
      </c>
      <c r="L210" s="32" t="s">
        <v>786</v>
      </c>
      <c r="M210" s="31">
        <f>1019</f>
        <v>1019</v>
      </c>
      <c r="N210" s="32" t="s">
        <v>255</v>
      </c>
      <c r="O210" s="31">
        <f>993</f>
        <v>993</v>
      </c>
      <c r="P210" s="32" t="s">
        <v>791</v>
      </c>
      <c r="Q210" s="31">
        <f>1002</f>
        <v>1002</v>
      </c>
      <c r="R210" s="32" t="s">
        <v>791</v>
      </c>
      <c r="S210" s="33">
        <f>1005.75</f>
        <v>1005.75</v>
      </c>
      <c r="T210" s="30">
        <f>46833</f>
        <v>46833</v>
      </c>
      <c r="U210" s="30" t="str">
        <f>"－"</f>
        <v>－</v>
      </c>
      <c r="V210" s="30">
        <f>46892201</f>
        <v>46892201</v>
      </c>
      <c r="W210" s="30" t="str">
        <f>"－"</f>
        <v>－</v>
      </c>
      <c r="X210" s="34">
        <f>4</f>
        <v>4</v>
      </c>
    </row>
    <row r="211" spans="1:24" ht="13.5" customHeight="1" x14ac:dyDescent="0.15">
      <c r="A211" s="25" t="s">
        <v>1182</v>
      </c>
      <c r="B211" s="25" t="s">
        <v>1195</v>
      </c>
      <c r="C211" s="25" t="s">
        <v>1194</v>
      </c>
      <c r="D211" s="25" t="s">
        <v>1193</v>
      </c>
      <c r="E211" s="26" t="s">
        <v>782</v>
      </c>
      <c r="F211" s="27" t="s">
        <v>783</v>
      </c>
      <c r="G211" s="28" t="s">
        <v>1189</v>
      </c>
      <c r="H211" s="29"/>
      <c r="I211" s="29" t="s">
        <v>46</v>
      </c>
      <c r="J211" s="30">
        <v>1</v>
      </c>
      <c r="K211" s="31">
        <f>1002</f>
        <v>1002</v>
      </c>
      <c r="L211" s="32" t="s">
        <v>786</v>
      </c>
      <c r="M211" s="31">
        <f>1028</f>
        <v>1028</v>
      </c>
      <c r="N211" s="32" t="s">
        <v>255</v>
      </c>
      <c r="O211" s="31">
        <f>1000</f>
        <v>1000</v>
      </c>
      <c r="P211" s="32" t="s">
        <v>786</v>
      </c>
      <c r="Q211" s="31">
        <f>1008</f>
        <v>1008</v>
      </c>
      <c r="R211" s="32" t="s">
        <v>791</v>
      </c>
      <c r="S211" s="33">
        <f>1014</f>
        <v>1014</v>
      </c>
      <c r="T211" s="30">
        <f>839107</f>
        <v>839107</v>
      </c>
      <c r="U211" s="30" t="str">
        <f>"－"</f>
        <v>－</v>
      </c>
      <c r="V211" s="30">
        <f>844857443</f>
        <v>844857443</v>
      </c>
      <c r="W211" s="30" t="str">
        <f>"－"</f>
        <v>－</v>
      </c>
      <c r="X211" s="34">
        <f>4</f>
        <v>4</v>
      </c>
    </row>
    <row r="212" spans="1:24" ht="13.5" customHeight="1" x14ac:dyDescent="0.15">
      <c r="A212" s="25" t="s">
        <v>1182</v>
      </c>
      <c r="B212" s="25" t="s">
        <v>1192</v>
      </c>
      <c r="C212" s="25" t="s">
        <v>1191</v>
      </c>
      <c r="D212" s="25" t="s">
        <v>1190</v>
      </c>
      <c r="E212" s="26" t="s">
        <v>782</v>
      </c>
      <c r="F212" s="27" t="s">
        <v>783</v>
      </c>
      <c r="G212" s="28" t="s">
        <v>1189</v>
      </c>
      <c r="H212" s="29"/>
      <c r="I212" s="29" t="s">
        <v>46</v>
      </c>
      <c r="J212" s="30">
        <v>1</v>
      </c>
      <c r="K212" s="31">
        <f>998</f>
        <v>998</v>
      </c>
      <c r="L212" s="32" t="s">
        <v>786</v>
      </c>
      <c r="M212" s="31">
        <f>1025</f>
        <v>1025</v>
      </c>
      <c r="N212" s="32" t="s">
        <v>255</v>
      </c>
      <c r="O212" s="31">
        <f>997</f>
        <v>997</v>
      </c>
      <c r="P212" s="32" t="s">
        <v>786</v>
      </c>
      <c r="Q212" s="31">
        <f>1005</f>
        <v>1005</v>
      </c>
      <c r="R212" s="32" t="s">
        <v>791</v>
      </c>
      <c r="S212" s="33">
        <f>1010.25</f>
        <v>1010.25</v>
      </c>
      <c r="T212" s="30">
        <f>205739</f>
        <v>205739</v>
      </c>
      <c r="U212" s="30" t="str">
        <f>"－"</f>
        <v>－</v>
      </c>
      <c r="V212" s="30">
        <f>206597150</f>
        <v>206597150</v>
      </c>
      <c r="W212" s="30" t="str">
        <f>"－"</f>
        <v>－</v>
      </c>
      <c r="X212" s="34">
        <f>4</f>
        <v>4</v>
      </c>
    </row>
    <row r="213" spans="1:24" ht="13.5" customHeight="1" x14ac:dyDescent="0.15">
      <c r="A213" s="25" t="s">
        <v>1182</v>
      </c>
      <c r="B213" s="25" t="s">
        <v>986</v>
      </c>
      <c r="C213" s="25" t="s">
        <v>987</v>
      </c>
      <c r="D213" s="25" t="s">
        <v>988</v>
      </c>
      <c r="E213" s="26" t="s">
        <v>45</v>
      </c>
      <c r="F213" s="27" t="s">
        <v>45</v>
      </c>
      <c r="G213" s="28" t="s">
        <v>45</v>
      </c>
      <c r="H213" s="29"/>
      <c r="I213" s="29" t="s">
        <v>46</v>
      </c>
      <c r="J213" s="30">
        <v>10</v>
      </c>
      <c r="K213" s="31">
        <f>2246</f>
        <v>2246</v>
      </c>
      <c r="L213" s="32" t="s">
        <v>999</v>
      </c>
      <c r="M213" s="31">
        <f>2247</f>
        <v>2247</v>
      </c>
      <c r="N213" s="32" t="s">
        <v>876</v>
      </c>
      <c r="O213" s="31">
        <f>2120.5</f>
        <v>2120.5</v>
      </c>
      <c r="P213" s="32" t="s">
        <v>893</v>
      </c>
      <c r="Q213" s="31">
        <f>2141</f>
        <v>2141</v>
      </c>
      <c r="R213" s="32" t="s">
        <v>791</v>
      </c>
      <c r="S213" s="33">
        <f>2174.62</f>
        <v>2174.62</v>
      </c>
      <c r="T213" s="30">
        <f>12860</f>
        <v>12860</v>
      </c>
      <c r="U213" s="30" t="str">
        <f>"－"</f>
        <v>－</v>
      </c>
      <c r="V213" s="30">
        <f>28032340</f>
        <v>28032340</v>
      </c>
      <c r="W213" s="30" t="str">
        <f>"－"</f>
        <v>－</v>
      </c>
      <c r="X213" s="34">
        <f>21</f>
        <v>21</v>
      </c>
    </row>
    <row r="214" spans="1:24" ht="13.5" customHeight="1" x14ac:dyDescent="0.15">
      <c r="A214" s="25" t="s">
        <v>1182</v>
      </c>
      <c r="B214" s="25" t="s">
        <v>990</v>
      </c>
      <c r="C214" s="25" t="s">
        <v>991</v>
      </c>
      <c r="D214" s="25" t="s">
        <v>992</v>
      </c>
      <c r="E214" s="26" t="s">
        <v>45</v>
      </c>
      <c r="F214" s="27" t="s">
        <v>45</v>
      </c>
      <c r="G214" s="28" t="s">
        <v>45</v>
      </c>
      <c r="H214" s="29"/>
      <c r="I214" s="29" t="s">
        <v>46</v>
      </c>
      <c r="J214" s="30">
        <v>1</v>
      </c>
      <c r="K214" s="31">
        <f>1083</f>
        <v>1083</v>
      </c>
      <c r="L214" s="32" t="s">
        <v>999</v>
      </c>
      <c r="M214" s="31">
        <f>1087</f>
        <v>1087</v>
      </c>
      <c r="N214" s="32" t="s">
        <v>999</v>
      </c>
      <c r="O214" s="31">
        <f>1000</f>
        <v>1000</v>
      </c>
      <c r="P214" s="32" t="s">
        <v>893</v>
      </c>
      <c r="Q214" s="31">
        <f>1035</f>
        <v>1035</v>
      </c>
      <c r="R214" s="32" t="s">
        <v>791</v>
      </c>
      <c r="S214" s="33">
        <f>1057</f>
        <v>1057</v>
      </c>
      <c r="T214" s="30">
        <f>666820</f>
        <v>666820</v>
      </c>
      <c r="U214" s="30">
        <f>105275</f>
        <v>105275</v>
      </c>
      <c r="V214" s="30">
        <f>706798499</f>
        <v>706798499</v>
      </c>
      <c r="W214" s="30">
        <f>112055665</f>
        <v>112055665</v>
      </c>
      <c r="X214" s="34">
        <f>21</f>
        <v>21</v>
      </c>
    </row>
    <row r="215" spans="1:24" ht="13.5" customHeight="1" x14ac:dyDescent="0.15">
      <c r="A215" s="25" t="s">
        <v>1182</v>
      </c>
      <c r="B215" s="25" t="s">
        <v>1006</v>
      </c>
      <c r="C215" s="25" t="s">
        <v>1007</v>
      </c>
      <c r="D215" s="25" t="s">
        <v>1008</v>
      </c>
      <c r="E215" s="26" t="s">
        <v>45</v>
      </c>
      <c r="F215" s="27" t="s">
        <v>45</v>
      </c>
      <c r="G215" s="28" t="s">
        <v>45</v>
      </c>
      <c r="H215" s="29"/>
      <c r="I215" s="29" t="s">
        <v>46</v>
      </c>
      <c r="J215" s="30">
        <v>1</v>
      </c>
      <c r="K215" s="31">
        <f>53600</f>
        <v>53600</v>
      </c>
      <c r="L215" s="32" t="s">
        <v>999</v>
      </c>
      <c r="M215" s="31">
        <f>55540</f>
        <v>55540</v>
      </c>
      <c r="N215" s="32" t="s">
        <v>787</v>
      </c>
      <c r="O215" s="31">
        <f>48760</f>
        <v>48760</v>
      </c>
      <c r="P215" s="32" t="s">
        <v>893</v>
      </c>
      <c r="Q215" s="31">
        <f>49240</f>
        <v>49240</v>
      </c>
      <c r="R215" s="32" t="s">
        <v>791</v>
      </c>
      <c r="S215" s="33">
        <f>52466.19</f>
        <v>52466.19</v>
      </c>
      <c r="T215" s="30">
        <f>46647</f>
        <v>46647</v>
      </c>
      <c r="U215" s="30" t="str">
        <f>"－"</f>
        <v>－</v>
      </c>
      <c r="V215" s="30">
        <f>2432105090</f>
        <v>2432105090</v>
      </c>
      <c r="W215" s="30" t="str">
        <f>"－"</f>
        <v>－</v>
      </c>
      <c r="X215" s="34">
        <f>21</f>
        <v>21</v>
      </c>
    </row>
    <row r="216" spans="1:24" ht="13.5" customHeight="1" x14ac:dyDescent="0.15">
      <c r="A216" s="25" t="s">
        <v>1182</v>
      </c>
      <c r="B216" s="25" t="s">
        <v>1010</v>
      </c>
      <c r="C216" s="25" t="s">
        <v>1011</v>
      </c>
      <c r="D216" s="25" t="s">
        <v>1012</v>
      </c>
      <c r="E216" s="26" t="s">
        <v>45</v>
      </c>
      <c r="F216" s="27" t="s">
        <v>45</v>
      </c>
      <c r="G216" s="28" t="s">
        <v>45</v>
      </c>
      <c r="H216" s="29"/>
      <c r="I216" s="29" t="s">
        <v>46</v>
      </c>
      <c r="J216" s="30">
        <v>1</v>
      </c>
      <c r="K216" s="31">
        <f>9107</f>
        <v>9107</v>
      </c>
      <c r="L216" s="32" t="s">
        <v>999</v>
      </c>
      <c r="M216" s="31">
        <f>9518</f>
        <v>9518</v>
      </c>
      <c r="N216" s="32" t="s">
        <v>893</v>
      </c>
      <c r="O216" s="31">
        <f>8940</f>
        <v>8940</v>
      </c>
      <c r="P216" s="32" t="s">
        <v>787</v>
      </c>
      <c r="Q216" s="31">
        <f>9465</f>
        <v>9465</v>
      </c>
      <c r="R216" s="32" t="s">
        <v>791</v>
      </c>
      <c r="S216" s="33">
        <f>9197.76</f>
        <v>9197.76</v>
      </c>
      <c r="T216" s="30">
        <f>531198</f>
        <v>531198</v>
      </c>
      <c r="U216" s="30">
        <f>454759</f>
        <v>454759</v>
      </c>
      <c r="V216" s="30">
        <f>4956101678</f>
        <v>4956101678</v>
      </c>
      <c r="W216" s="30">
        <f>4245959678</f>
        <v>4245959678</v>
      </c>
      <c r="X216" s="34">
        <f>21</f>
        <v>21</v>
      </c>
    </row>
    <row r="217" spans="1:24" ht="13.5" customHeight="1" x14ac:dyDescent="0.15">
      <c r="A217" s="25" t="s">
        <v>1182</v>
      </c>
      <c r="B217" s="25" t="s">
        <v>1018</v>
      </c>
      <c r="C217" s="25" t="s">
        <v>1019</v>
      </c>
      <c r="D217" s="25" t="s">
        <v>1020</v>
      </c>
      <c r="E217" s="26" t="s">
        <v>45</v>
      </c>
      <c r="F217" s="27" t="s">
        <v>45</v>
      </c>
      <c r="G217" s="28" t="s">
        <v>45</v>
      </c>
      <c r="H217" s="29"/>
      <c r="I217" s="29" t="s">
        <v>46</v>
      </c>
      <c r="J217" s="30">
        <v>10</v>
      </c>
      <c r="K217" s="31">
        <f>11480</f>
        <v>11480</v>
      </c>
      <c r="L217" s="32" t="s">
        <v>999</v>
      </c>
      <c r="M217" s="31">
        <f>11885</f>
        <v>11885</v>
      </c>
      <c r="N217" s="32" t="s">
        <v>787</v>
      </c>
      <c r="O217" s="31">
        <f>10445</f>
        <v>10445</v>
      </c>
      <c r="P217" s="32" t="s">
        <v>893</v>
      </c>
      <c r="Q217" s="31">
        <f>10550</f>
        <v>10550</v>
      </c>
      <c r="R217" s="32" t="s">
        <v>791</v>
      </c>
      <c r="S217" s="33">
        <f>11231.9</f>
        <v>11231.9</v>
      </c>
      <c r="T217" s="30">
        <f>40070</f>
        <v>40070</v>
      </c>
      <c r="U217" s="30" t="str">
        <f>"－"</f>
        <v>－</v>
      </c>
      <c r="V217" s="30">
        <f>451140950</f>
        <v>451140950</v>
      </c>
      <c r="W217" s="30" t="str">
        <f>"－"</f>
        <v>－</v>
      </c>
      <c r="X217" s="34">
        <f>21</f>
        <v>21</v>
      </c>
    </row>
    <row r="218" spans="1:24" ht="13.5" customHeight="1" x14ac:dyDescent="0.15">
      <c r="A218" s="25" t="s">
        <v>1182</v>
      </c>
      <c r="B218" s="25" t="s">
        <v>1022</v>
      </c>
      <c r="C218" s="25" t="s">
        <v>1023</v>
      </c>
      <c r="D218" s="25" t="s">
        <v>1024</v>
      </c>
      <c r="E218" s="26" t="s">
        <v>45</v>
      </c>
      <c r="F218" s="27" t="s">
        <v>45</v>
      </c>
      <c r="G218" s="28" t="s">
        <v>45</v>
      </c>
      <c r="H218" s="29"/>
      <c r="I218" s="29" t="s">
        <v>46</v>
      </c>
      <c r="J218" s="30">
        <v>10</v>
      </c>
      <c r="K218" s="31">
        <f>9157</f>
        <v>9157</v>
      </c>
      <c r="L218" s="32" t="s">
        <v>999</v>
      </c>
      <c r="M218" s="31">
        <f>9569</f>
        <v>9569</v>
      </c>
      <c r="N218" s="32" t="s">
        <v>893</v>
      </c>
      <c r="O218" s="31">
        <f>8987</f>
        <v>8987</v>
      </c>
      <c r="P218" s="32" t="s">
        <v>787</v>
      </c>
      <c r="Q218" s="31">
        <f>9508</f>
        <v>9508</v>
      </c>
      <c r="R218" s="32" t="s">
        <v>791</v>
      </c>
      <c r="S218" s="33">
        <f>9240.43</f>
        <v>9240.43</v>
      </c>
      <c r="T218" s="30">
        <f>202970</f>
        <v>202970</v>
      </c>
      <c r="U218" s="30">
        <f>189400</f>
        <v>189400</v>
      </c>
      <c r="V218" s="30">
        <f>1887343217</f>
        <v>1887343217</v>
      </c>
      <c r="W218" s="30">
        <f>1761009297</f>
        <v>1761009297</v>
      </c>
      <c r="X218" s="34">
        <f>21</f>
        <v>21</v>
      </c>
    </row>
    <row r="219" spans="1:24" ht="13.5" customHeight="1" x14ac:dyDescent="0.15">
      <c r="A219" s="25" t="s">
        <v>1182</v>
      </c>
      <c r="B219" s="25" t="s">
        <v>1025</v>
      </c>
      <c r="C219" s="25" t="s">
        <v>1026</v>
      </c>
      <c r="D219" s="25" t="s">
        <v>1027</v>
      </c>
      <c r="E219" s="26" t="s">
        <v>45</v>
      </c>
      <c r="F219" s="27" t="s">
        <v>45</v>
      </c>
      <c r="G219" s="28" t="s">
        <v>45</v>
      </c>
      <c r="H219" s="29"/>
      <c r="I219" s="29" t="s">
        <v>46</v>
      </c>
      <c r="J219" s="30">
        <v>10</v>
      </c>
      <c r="K219" s="31">
        <f>572.5</f>
        <v>572.5</v>
      </c>
      <c r="L219" s="32" t="s">
        <v>999</v>
      </c>
      <c r="M219" s="31">
        <f>574.3</f>
        <v>574.29999999999995</v>
      </c>
      <c r="N219" s="32" t="s">
        <v>56</v>
      </c>
      <c r="O219" s="31">
        <f>542.9</f>
        <v>542.9</v>
      </c>
      <c r="P219" s="32" t="s">
        <v>893</v>
      </c>
      <c r="Q219" s="31">
        <f>551.2</f>
        <v>551.20000000000005</v>
      </c>
      <c r="R219" s="32" t="s">
        <v>791</v>
      </c>
      <c r="S219" s="33">
        <f>557.22</f>
        <v>557.22</v>
      </c>
      <c r="T219" s="30">
        <f>59550</f>
        <v>59550</v>
      </c>
      <c r="U219" s="30" t="str">
        <f>"－"</f>
        <v>－</v>
      </c>
      <c r="V219" s="30">
        <f>33196199</f>
        <v>33196199</v>
      </c>
      <c r="W219" s="30" t="str">
        <f>"－"</f>
        <v>－</v>
      </c>
      <c r="X219" s="34">
        <f>21</f>
        <v>21</v>
      </c>
    </row>
    <row r="220" spans="1:24" ht="13.5" customHeight="1" x14ac:dyDescent="0.15">
      <c r="A220" s="25" t="s">
        <v>1182</v>
      </c>
      <c r="B220" s="25" t="s">
        <v>1029</v>
      </c>
      <c r="C220" s="25" t="s">
        <v>1030</v>
      </c>
      <c r="D220" s="25" t="s">
        <v>1031</v>
      </c>
      <c r="E220" s="26" t="s">
        <v>45</v>
      </c>
      <c r="F220" s="27" t="s">
        <v>45</v>
      </c>
      <c r="G220" s="28" t="s">
        <v>45</v>
      </c>
      <c r="H220" s="29"/>
      <c r="I220" s="29" t="s">
        <v>46</v>
      </c>
      <c r="J220" s="30">
        <v>10</v>
      </c>
      <c r="K220" s="31">
        <f>495.2</f>
        <v>495.2</v>
      </c>
      <c r="L220" s="32" t="s">
        <v>999</v>
      </c>
      <c r="M220" s="31">
        <f>502.8</f>
        <v>502.8</v>
      </c>
      <c r="N220" s="32" t="s">
        <v>792</v>
      </c>
      <c r="O220" s="31">
        <f>475.6</f>
        <v>475.6</v>
      </c>
      <c r="P220" s="32" t="s">
        <v>893</v>
      </c>
      <c r="Q220" s="31">
        <f>481.3</f>
        <v>481.3</v>
      </c>
      <c r="R220" s="32" t="s">
        <v>791</v>
      </c>
      <c r="S220" s="33">
        <f>489.46</f>
        <v>489.46</v>
      </c>
      <c r="T220" s="30">
        <f>55140</f>
        <v>55140</v>
      </c>
      <c r="U220" s="30" t="str">
        <f>"－"</f>
        <v>－</v>
      </c>
      <c r="V220" s="30">
        <f>26892355</f>
        <v>26892355</v>
      </c>
      <c r="W220" s="30" t="str">
        <f>"－"</f>
        <v>－</v>
      </c>
      <c r="X220" s="34">
        <f>21</f>
        <v>21</v>
      </c>
    </row>
    <row r="221" spans="1:24" ht="13.5" customHeight="1" x14ac:dyDescent="0.15">
      <c r="A221" s="25" t="s">
        <v>1182</v>
      </c>
      <c r="B221" s="25" t="s">
        <v>1071</v>
      </c>
      <c r="C221" s="25" t="s">
        <v>1072</v>
      </c>
      <c r="D221" s="25" t="s">
        <v>1073</v>
      </c>
      <c r="E221" s="26" t="s">
        <v>45</v>
      </c>
      <c r="F221" s="27" t="s">
        <v>45</v>
      </c>
      <c r="G221" s="28" t="s">
        <v>45</v>
      </c>
      <c r="H221" s="29"/>
      <c r="I221" s="29" t="s">
        <v>46</v>
      </c>
      <c r="J221" s="30">
        <v>1</v>
      </c>
      <c r="K221" s="31">
        <f>1239</f>
        <v>1239</v>
      </c>
      <c r="L221" s="32" t="s">
        <v>999</v>
      </c>
      <c r="M221" s="31">
        <f>1274</f>
        <v>1274</v>
      </c>
      <c r="N221" s="32" t="s">
        <v>56</v>
      </c>
      <c r="O221" s="31">
        <f>1134</f>
        <v>1134</v>
      </c>
      <c r="P221" s="32" t="s">
        <v>791</v>
      </c>
      <c r="Q221" s="31">
        <f>1139</f>
        <v>1139</v>
      </c>
      <c r="R221" s="32" t="s">
        <v>791</v>
      </c>
      <c r="S221" s="33">
        <f>1211.9</f>
        <v>1211.9000000000001</v>
      </c>
      <c r="T221" s="30">
        <f>1808162</f>
        <v>1808162</v>
      </c>
      <c r="U221" s="30">
        <f>8800</f>
        <v>8800</v>
      </c>
      <c r="V221" s="30">
        <f>2186961965</f>
        <v>2186961965</v>
      </c>
      <c r="W221" s="30">
        <f>10056112</f>
        <v>10056112</v>
      </c>
      <c r="X221" s="34">
        <f>21</f>
        <v>21</v>
      </c>
    </row>
    <row r="222" spans="1:24" ht="13.5" customHeight="1" x14ac:dyDescent="0.15">
      <c r="A222" s="25" t="s">
        <v>1182</v>
      </c>
      <c r="B222" s="25" t="s">
        <v>1075</v>
      </c>
      <c r="C222" s="25" t="s">
        <v>1076</v>
      </c>
      <c r="D222" s="25" t="s">
        <v>1077</v>
      </c>
      <c r="E222" s="26" t="s">
        <v>45</v>
      </c>
      <c r="F222" s="27" t="s">
        <v>45</v>
      </c>
      <c r="G222" s="28" t="s">
        <v>45</v>
      </c>
      <c r="H222" s="29"/>
      <c r="I222" s="29" t="s">
        <v>46</v>
      </c>
      <c r="J222" s="30">
        <v>1</v>
      </c>
      <c r="K222" s="31">
        <f>1387</f>
        <v>1387</v>
      </c>
      <c r="L222" s="32" t="s">
        <v>999</v>
      </c>
      <c r="M222" s="31">
        <f>1453</f>
        <v>1453</v>
      </c>
      <c r="N222" s="32" t="s">
        <v>787</v>
      </c>
      <c r="O222" s="31">
        <f>1326</f>
        <v>1326</v>
      </c>
      <c r="P222" s="32" t="s">
        <v>893</v>
      </c>
      <c r="Q222" s="31">
        <f>1335</f>
        <v>1335</v>
      </c>
      <c r="R222" s="32" t="s">
        <v>791</v>
      </c>
      <c r="S222" s="33">
        <f>1390.9</f>
        <v>1390.9</v>
      </c>
      <c r="T222" s="30">
        <f>1268425</f>
        <v>1268425</v>
      </c>
      <c r="U222" s="30">
        <f>351124</f>
        <v>351124</v>
      </c>
      <c r="V222" s="30">
        <f>1772525732</f>
        <v>1772525732</v>
      </c>
      <c r="W222" s="30">
        <f>500019255</f>
        <v>500019255</v>
      </c>
      <c r="X222" s="34">
        <f>21</f>
        <v>21</v>
      </c>
    </row>
    <row r="223" spans="1:24" ht="13.5" customHeight="1" x14ac:dyDescent="0.15">
      <c r="A223" s="25" t="s">
        <v>1182</v>
      </c>
      <c r="B223" s="25" t="s">
        <v>1078</v>
      </c>
      <c r="C223" s="25" t="s">
        <v>1079</v>
      </c>
      <c r="D223" s="25" t="s">
        <v>1080</v>
      </c>
      <c r="E223" s="26" t="s">
        <v>45</v>
      </c>
      <c r="F223" s="27" t="s">
        <v>45</v>
      </c>
      <c r="G223" s="28" t="s">
        <v>45</v>
      </c>
      <c r="H223" s="29"/>
      <c r="I223" s="29" t="s">
        <v>46</v>
      </c>
      <c r="J223" s="30">
        <v>10</v>
      </c>
      <c r="K223" s="31">
        <f>809.3</f>
        <v>809.3</v>
      </c>
      <c r="L223" s="32" t="s">
        <v>999</v>
      </c>
      <c r="M223" s="31">
        <f>809.3</f>
        <v>809.3</v>
      </c>
      <c r="N223" s="32" t="s">
        <v>999</v>
      </c>
      <c r="O223" s="31">
        <f>751.4</f>
        <v>751.4</v>
      </c>
      <c r="P223" s="32" t="s">
        <v>785</v>
      </c>
      <c r="Q223" s="31">
        <f>784.8</f>
        <v>784.8</v>
      </c>
      <c r="R223" s="32" t="s">
        <v>791</v>
      </c>
      <c r="S223" s="33">
        <f>769.43</f>
        <v>769.43</v>
      </c>
      <c r="T223" s="30">
        <f>144470</f>
        <v>144470</v>
      </c>
      <c r="U223" s="30" t="str">
        <f>"－"</f>
        <v>－</v>
      </c>
      <c r="V223" s="30">
        <f>110740268</f>
        <v>110740268</v>
      </c>
      <c r="W223" s="30" t="str">
        <f>"－"</f>
        <v>－</v>
      </c>
      <c r="X223" s="34">
        <f>15</f>
        <v>15</v>
      </c>
    </row>
    <row r="224" spans="1:24" ht="13.5" customHeight="1" x14ac:dyDescent="0.15">
      <c r="A224" s="25" t="s">
        <v>1182</v>
      </c>
      <c r="B224" s="25" t="s">
        <v>1082</v>
      </c>
      <c r="C224" s="25" t="s">
        <v>1083</v>
      </c>
      <c r="D224" s="25" t="s">
        <v>1084</v>
      </c>
      <c r="E224" s="26" t="s">
        <v>45</v>
      </c>
      <c r="F224" s="27" t="s">
        <v>45</v>
      </c>
      <c r="G224" s="28" t="s">
        <v>45</v>
      </c>
      <c r="H224" s="29"/>
      <c r="I224" s="29" t="s">
        <v>46</v>
      </c>
      <c r="J224" s="30">
        <v>10</v>
      </c>
      <c r="K224" s="31">
        <f>768.2</f>
        <v>768.2</v>
      </c>
      <c r="L224" s="32" t="s">
        <v>999</v>
      </c>
      <c r="M224" s="31">
        <f>773.7</f>
        <v>773.7</v>
      </c>
      <c r="N224" s="32" t="s">
        <v>876</v>
      </c>
      <c r="O224" s="31">
        <f>759.3</f>
        <v>759.3</v>
      </c>
      <c r="P224" s="32" t="s">
        <v>785</v>
      </c>
      <c r="Q224" s="31">
        <f>770.6</f>
        <v>770.6</v>
      </c>
      <c r="R224" s="32" t="s">
        <v>791</v>
      </c>
      <c r="S224" s="33">
        <f>766.4</f>
        <v>766.4</v>
      </c>
      <c r="T224" s="30">
        <f>1760</f>
        <v>1760</v>
      </c>
      <c r="U224" s="30" t="str">
        <f>"－"</f>
        <v>－</v>
      </c>
      <c r="V224" s="30">
        <f>1349724</f>
        <v>1349724</v>
      </c>
      <c r="W224" s="30" t="str">
        <f>"－"</f>
        <v>－</v>
      </c>
      <c r="X224" s="34">
        <f>12</f>
        <v>12</v>
      </c>
    </row>
    <row r="225" spans="1:24" ht="13.5" customHeight="1" x14ac:dyDescent="0.15">
      <c r="A225" s="25" t="s">
        <v>1182</v>
      </c>
      <c r="B225" s="25" t="s">
        <v>1092</v>
      </c>
      <c r="C225" s="25" t="s">
        <v>1093</v>
      </c>
      <c r="D225" s="25" t="s">
        <v>1094</v>
      </c>
      <c r="E225" s="26" t="s">
        <v>45</v>
      </c>
      <c r="F225" s="27" t="s">
        <v>45</v>
      </c>
      <c r="G225" s="28" t="s">
        <v>45</v>
      </c>
      <c r="H225" s="29"/>
      <c r="I225" s="29" t="s">
        <v>46</v>
      </c>
      <c r="J225" s="30">
        <v>1</v>
      </c>
      <c r="K225" s="31">
        <f>12060</f>
        <v>12060</v>
      </c>
      <c r="L225" s="32" t="s">
        <v>999</v>
      </c>
      <c r="M225" s="31">
        <f>12265</f>
        <v>12265</v>
      </c>
      <c r="N225" s="32" t="s">
        <v>787</v>
      </c>
      <c r="O225" s="31">
        <f>11565</f>
        <v>11565</v>
      </c>
      <c r="P225" s="32" t="s">
        <v>893</v>
      </c>
      <c r="Q225" s="31">
        <f>11665</f>
        <v>11665</v>
      </c>
      <c r="R225" s="32" t="s">
        <v>791</v>
      </c>
      <c r="S225" s="33">
        <f>11952.62</f>
        <v>11952.62</v>
      </c>
      <c r="T225" s="30">
        <f>77873</f>
        <v>77873</v>
      </c>
      <c r="U225" s="30" t="str">
        <f>"－"</f>
        <v>－</v>
      </c>
      <c r="V225" s="30">
        <f>936181555</f>
        <v>936181555</v>
      </c>
      <c r="W225" s="30" t="str">
        <f>"－"</f>
        <v>－</v>
      </c>
      <c r="X225" s="34">
        <f>21</f>
        <v>21</v>
      </c>
    </row>
    <row r="226" spans="1:24" ht="13.5" customHeight="1" x14ac:dyDescent="0.15">
      <c r="A226" s="25" t="s">
        <v>1182</v>
      </c>
      <c r="B226" s="25" t="s">
        <v>1096</v>
      </c>
      <c r="C226" s="25" t="s">
        <v>1097</v>
      </c>
      <c r="D226" s="25" t="s">
        <v>1098</v>
      </c>
      <c r="E226" s="26" t="s">
        <v>45</v>
      </c>
      <c r="F226" s="27" t="s">
        <v>45</v>
      </c>
      <c r="G226" s="28" t="s">
        <v>45</v>
      </c>
      <c r="H226" s="29"/>
      <c r="I226" s="29" t="s">
        <v>46</v>
      </c>
      <c r="J226" s="30">
        <v>1</v>
      </c>
      <c r="K226" s="31">
        <f>35350</f>
        <v>35350</v>
      </c>
      <c r="L226" s="32" t="s">
        <v>999</v>
      </c>
      <c r="M226" s="31">
        <f>35900</f>
        <v>35900</v>
      </c>
      <c r="N226" s="32" t="s">
        <v>787</v>
      </c>
      <c r="O226" s="31">
        <f>33690</f>
        <v>33690</v>
      </c>
      <c r="P226" s="32" t="s">
        <v>893</v>
      </c>
      <c r="Q226" s="31">
        <f>33690</f>
        <v>33690</v>
      </c>
      <c r="R226" s="32" t="s">
        <v>893</v>
      </c>
      <c r="S226" s="33">
        <f>34930.53</f>
        <v>34930.53</v>
      </c>
      <c r="T226" s="30">
        <f>138713</f>
        <v>138713</v>
      </c>
      <c r="U226" s="30">
        <f>103092</f>
        <v>103092</v>
      </c>
      <c r="V226" s="30">
        <f>4763821504</f>
        <v>4763821504</v>
      </c>
      <c r="W226" s="30">
        <f>3499622594</f>
        <v>3499622594</v>
      </c>
      <c r="X226" s="34">
        <f>19</f>
        <v>19</v>
      </c>
    </row>
    <row r="227" spans="1:24" ht="13.5" customHeight="1" x14ac:dyDescent="0.15">
      <c r="A227" s="25" t="s">
        <v>1182</v>
      </c>
      <c r="B227" s="25" t="s">
        <v>1099</v>
      </c>
      <c r="C227" s="25" t="s">
        <v>1100</v>
      </c>
      <c r="D227" s="25" t="s">
        <v>1101</v>
      </c>
      <c r="E227" s="26" t="s">
        <v>45</v>
      </c>
      <c r="F227" s="27" t="s">
        <v>45</v>
      </c>
      <c r="G227" s="28" t="s">
        <v>45</v>
      </c>
      <c r="H227" s="29"/>
      <c r="I227" s="29" t="s">
        <v>46</v>
      </c>
      <c r="J227" s="30">
        <v>1</v>
      </c>
      <c r="K227" s="31">
        <f>30540</f>
        <v>30540</v>
      </c>
      <c r="L227" s="32" t="s">
        <v>999</v>
      </c>
      <c r="M227" s="31">
        <f>33400</f>
        <v>33400</v>
      </c>
      <c r="N227" s="32" t="s">
        <v>893</v>
      </c>
      <c r="O227" s="31">
        <f>29490</f>
        <v>29490</v>
      </c>
      <c r="P227" s="32" t="s">
        <v>787</v>
      </c>
      <c r="Q227" s="31">
        <f>33050</f>
        <v>33050</v>
      </c>
      <c r="R227" s="32" t="s">
        <v>791</v>
      </c>
      <c r="S227" s="33">
        <f>31210</f>
        <v>31210</v>
      </c>
      <c r="T227" s="30">
        <f>46800</f>
        <v>46800</v>
      </c>
      <c r="U227" s="30">
        <f>14320</f>
        <v>14320</v>
      </c>
      <c r="V227" s="30">
        <f>1449067856</f>
        <v>1449067856</v>
      </c>
      <c r="W227" s="30">
        <f>447967656</f>
        <v>447967656</v>
      </c>
      <c r="X227" s="34">
        <f>21</f>
        <v>21</v>
      </c>
    </row>
    <row r="228" spans="1:24" ht="13.5" customHeight="1" x14ac:dyDescent="0.15">
      <c r="A228" s="25" t="s">
        <v>1182</v>
      </c>
      <c r="B228" s="25" t="s">
        <v>1104</v>
      </c>
      <c r="C228" s="25" t="s">
        <v>1105</v>
      </c>
      <c r="D228" s="25" t="s">
        <v>1106</v>
      </c>
      <c r="E228" s="26" t="s">
        <v>45</v>
      </c>
      <c r="F228" s="27" t="s">
        <v>45</v>
      </c>
      <c r="G228" s="28" t="s">
        <v>45</v>
      </c>
      <c r="H228" s="29"/>
      <c r="I228" s="29" t="s">
        <v>46</v>
      </c>
      <c r="J228" s="30">
        <v>10</v>
      </c>
      <c r="K228" s="31">
        <f>211.5</f>
        <v>211.5</v>
      </c>
      <c r="L228" s="32" t="s">
        <v>999</v>
      </c>
      <c r="M228" s="31">
        <f>211.5</f>
        <v>211.5</v>
      </c>
      <c r="N228" s="32" t="s">
        <v>999</v>
      </c>
      <c r="O228" s="31">
        <f>195.3</f>
        <v>195.3</v>
      </c>
      <c r="P228" s="32" t="s">
        <v>793</v>
      </c>
      <c r="Q228" s="31">
        <f>198.5</f>
        <v>198.5</v>
      </c>
      <c r="R228" s="32" t="s">
        <v>791</v>
      </c>
      <c r="S228" s="33">
        <f>201.46</f>
        <v>201.46</v>
      </c>
      <c r="T228" s="30">
        <f>228950</f>
        <v>228950</v>
      </c>
      <c r="U228" s="30">
        <f>200000</f>
        <v>200000</v>
      </c>
      <c r="V228" s="30">
        <f>45256174</f>
        <v>45256174</v>
      </c>
      <c r="W228" s="30">
        <f>39480000</f>
        <v>39480000</v>
      </c>
      <c r="X228" s="34">
        <f>21</f>
        <v>21</v>
      </c>
    </row>
    <row r="229" spans="1:24" ht="13.5" customHeight="1" x14ac:dyDescent="0.15">
      <c r="A229" s="25" t="s">
        <v>1182</v>
      </c>
      <c r="B229" s="25" t="s">
        <v>1108</v>
      </c>
      <c r="C229" s="25" t="s">
        <v>1109</v>
      </c>
      <c r="D229" s="25" t="s">
        <v>1110</v>
      </c>
      <c r="E229" s="26" t="s">
        <v>45</v>
      </c>
      <c r="F229" s="27" t="s">
        <v>45</v>
      </c>
      <c r="G229" s="28" t="s">
        <v>45</v>
      </c>
      <c r="H229" s="29"/>
      <c r="I229" s="29" t="s">
        <v>46</v>
      </c>
      <c r="J229" s="30">
        <v>10</v>
      </c>
      <c r="K229" s="31">
        <f>779</f>
        <v>779</v>
      </c>
      <c r="L229" s="32" t="s">
        <v>999</v>
      </c>
      <c r="M229" s="31">
        <f>796.4</f>
        <v>796.4</v>
      </c>
      <c r="N229" s="32" t="s">
        <v>789</v>
      </c>
      <c r="O229" s="31">
        <f>771.2</f>
        <v>771.2</v>
      </c>
      <c r="P229" s="32" t="s">
        <v>787</v>
      </c>
      <c r="Q229" s="31">
        <f>791</f>
        <v>791</v>
      </c>
      <c r="R229" s="32" t="s">
        <v>791</v>
      </c>
      <c r="S229" s="33">
        <f>779.42</f>
        <v>779.42</v>
      </c>
      <c r="T229" s="30">
        <f>918330</f>
        <v>918330</v>
      </c>
      <c r="U229" s="30">
        <f>12020</f>
        <v>12020</v>
      </c>
      <c r="V229" s="30">
        <f>721167689</f>
        <v>721167689</v>
      </c>
      <c r="W229" s="30">
        <f>9487190</f>
        <v>9487190</v>
      </c>
      <c r="X229" s="34">
        <f>21</f>
        <v>21</v>
      </c>
    </row>
    <row r="230" spans="1:24" ht="13.5" customHeight="1" x14ac:dyDescent="0.15">
      <c r="A230" s="25" t="s">
        <v>1182</v>
      </c>
      <c r="B230" s="25" t="s">
        <v>1129</v>
      </c>
      <c r="C230" s="25" t="s">
        <v>1130</v>
      </c>
      <c r="D230" s="25" t="s">
        <v>1131</v>
      </c>
      <c r="E230" s="26" t="s">
        <v>45</v>
      </c>
      <c r="F230" s="27" t="s">
        <v>45</v>
      </c>
      <c r="G230" s="28" t="s">
        <v>45</v>
      </c>
      <c r="H230" s="29"/>
      <c r="I230" s="29" t="s">
        <v>46</v>
      </c>
      <c r="J230" s="30">
        <v>1</v>
      </c>
      <c r="K230" s="31">
        <f>993</f>
        <v>993</v>
      </c>
      <c r="L230" s="32" t="s">
        <v>999</v>
      </c>
      <c r="M230" s="31">
        <f>999</f>
        <v>999</v>
      </c>
      <c r="N230" s="32" t="s">
        <v>999</v>
      </c>
      <c r="O230" s="31">
        <f>900</f>
        <v>900</v>
      </c>
      <c r="P230" s="32" t="s">
        <v>791</v>
      </c>
      <c r="Q230" s="31">
        <f>905</f>
        <v>905</v>
      </c>
      <c r="R230" s="32" t="s">
        <v>791</v>
      </c>
      <c r="S230" s="33">
        <f>954.95</f>
        <v>954.95</v>
      </c>
      <c r="T230" s="30">
        <f>441373</f>
        <v>441373</v>
      </c>
      <c r="U230" s="30" t="str">
        <f>"－"</f>
        <v>－</v>
      </c>
      <c r="V230" s="30">
        <f>422774725</f>
        <v>422774725</v>
      </c>
      <c r="W230" s="30" t="str">
        <f>"－"</f>
        <v>－</v>
      </c>
      <c r="X230" s="34">
        <f>21</f>
        <v>21</v>
      </c>
    </row>
    <row r="231" spans="1:24" ht="13.5" customHeight="1" x14ac:dyDescent="0.15">
      <c r="A231" s="25" t="s">
        <v>1182</v>
      </c>
      <c r="B231" s="25" t="s">
        <v>1133</v>
      </c>
      <c r="C231" s="25" t="s">
        <v>1134</v>
      </c>
      <c r="D231" s="25" t="s">
        <v>1135</v>
      </c>
      <c r="E231" s="26" t="s">
        <v>45</v>
      </c>
      <c r="F231" s="27" t="s">
        <v>45</v>
      </c>
      <c r="G231" s="28" t="s">
        <v>45</v>
      </c>
      <c r="H231" s="29"/>
      <c r="I231" s="29" t="s">
        <v>46</v>
      </c>
      <c r="J231" s="30">
        <v>1</v>
      </c>
      <c r="K231" s="31">
        <f>1034</f>
        <v>1034</v>
      </c>
      <c r="L231" s="32" t="s">
        <v>999</v>
      </c>
      <c r="M231" s="31">
        <f>1038</f>
        <v>1038</v>
      </c>
      <c r="N231" s="32" t="s">
        <v>999</v>
      </c>
      <c r="O231" s="31">
        <f>982</f>
        <v>982</v>
      </c>
      <c r="P231" s="32" t="s">
        <v>784</v>
      </c>
      <c r="Q231" s="31">
        <f>997</f>
        <v>997</v>
      </c>
      <c r="R231" s="32" t="s">
        <v>791</v>
      </c>
      <c r="S231" s="33">
        <f>1010</f>
        <v>1010</v>
      </c>
      <c r="T231" s="30">
        <f>89461</f>
        <v>89461</v>
      </c>
      <c r="U231" s="30" t="str">
        <f>"－"</f>
        <v>－</v>
      </c>
      <c r="V231" s="30">
        <f>89885925</f>
        <v>89885925</v>
      </c>
      <c r="W231" s="30" t="str">
        <f>"－"</f>
        <v>－</v>
      </c>
      <c r="X231" s="34">
        <f>21</f>
        <v>21</v>
      </c>
    </row>
    <row r="232" spans="1:24" ht="13.5" customHeight="1" x14ac:dyDescent="0.15">
      <c r="A232" s="25" t="s">
        <v>1182</v>
      </c>
      <c r="B232" s="25" t="s">
        <v>1136</v>
      </c>
      <c r="C232" s="25" t="s">
        <v>1137</v>
      </c>
      <c r="D232" s="25" t="s">
        <v>1138</v>
      </c>
      <c r="E232" s="26" t="s">
        <v>45</v>
      </c>
      <c r="F232" s="27" t="s">
        <v>45</v>
      </c>
      <c r="G232" s="28" t="s">
        <v>45</v>
      </c>
      <c r="H232" s="29"/>
      <c r="I232" s="29" t="s">
        <v>46</v>
      </c>
      <c r="J232" s="30">
        <v>1</v>
      </c>
      <c r="K232" s="31">
        <f>888</f>
        <v>888</v>
      </c>
      <c r="L232" s="32" t="s">
        <v>999</v>
      </c>
      <c r="M232" s="31">
        <f>893</f>
        <v>893</v>
      </c>
      <c r="N232" s="32" t="s">
        <v>999</v>
      </c>
      <c r="O232" s="31">
        <f>809</f>
        <v>809</v>
      </c>
      <c r="P232" s="32" t="s">
        <v>786</v>
      </c>
      <c r="Q232" s="31">
        <f>853</f>
        <v>853</v>
      </c>
      <c r="R232" s="32" t="s">
        <v>791</v>
      </c>
      <c r="S232" s="33">
        <f>854.38</f>
        <v>854.38</v>
      </c>
      <c r="T232" s="30">
        <f>524232</f>
        <v>524232</v>
      </c>
      <c r="U232" s="30" t="str">
        <f>"－"</f>
        <v>－</v>
      </c>
      <c r="V232" s="30">
        <f>447130689</f>
        <v>447130689</v>
      </c>
      <c r="W232" s="30" t="str">
        <f>"－"</f>
        <v>－</v>
      </c>
      <c r="X232" s="34">
        <f>21</f>
        <v>21</v>
      </c>
    </row>
    <row r="233" spans="1:24" ht="13.5" customHeight="1" x14ac:dyDescent="0.15">
      <c r="A233" s="25" t="s">
        <v>1182</v>
      </c>
      <c r="B233" s="25" t="s">
        <v>643</v>
      </c>
      <c r="C233" s="25" t="s">
        <v>644</v>
      </c>
      <c r="D233" s="25" t="s">
        <v>645</v>
      </c>
      <c r="E233" s="26" t="s">
        <v>45</v>
      </c>
      <c r="F233" s="27" t="s">
        <v>45</v>
      </c>
      <c r="G233" s="28" t="s">
        <v>45</v>
      </c>
      <c r="H233" s="29"/>
      <c r="I233" s="29" t="s">
        <v>46</v>
      </c>
      <c r="J233" s="30">
        <v>10</v>
      </c>
      <c r="K233" s="31">
        <f>924</f>
        <v>924</v>
      </c>
      <c r="L233" s="32" t="s">
        <v>999</v>
      </c>
      <c r="M233" s="31">
        <f>926</f>
        <v>926</v>
      </c>
      <c r="N233" s="32" t="s">
        <v>56</v>
      </c>
      <c r="O233" s="31">
        <f>910.2</f>
        <v>910.2</v>
      </c>
      <c r="P233" s="32" t="s">
        <v>791</v>
      </c>
      <c r="Q233" s="31">
        <f>912.9</f>
        <v>912.9</v>
      </c>
      <c r="R233" s="32" t="s">
        <v>791</v>
      </c>
      <c r="S233" s="33">
        <f>919.82</f>
        <v>919.82</v>
      </c>
      <c r="T233" s="30">
        <f>2603370</f>
        <v>2603370</v>
      </c>
      <c r="U233" s="30">
        <f>925960</f>
        <v>925960</v>
      </c>
      <c r="V233" s="30">
        <f>2391227262</f>
        <v>2391227262</v>
      </c>
      <c r="W233" s="30">
        <f>849282743</f>
        <v>849282743</v>
      </c>
      <c r="X233" s="34">
        <f>21</f>
        <v>21</v>
      </c>
    </row>
    <row r="234" spans="1:24" ht="13.5" customHeight="1" x14ac:dyDescent="0.15">
      <c r="A234" s="25" t="s">
        <v>1182</v>
      </c>
      <c r="B234" s="25" t="s">
        <v>646</v>
      </c>
      <c r="C234" s="25" t="s">
        <v>647</v>
      </c>
      <c r="D234" s="25" t="s">
        <v>648</v>
      </c>
      <c r="E234" s="26" t="s">
        <v>45</v>
      </c>
      <c r="F234" s="27" t="s">
        <v>45</v>
      </c>
      <c r="G234" s="28" t="s">
        <v>45</v>
      </c>
      <c r="H234" s="29"/>
      <c r="I234" s="29" t="s">
        <v>46</v>
      </c>
      <c r="J234" s="30">
        <v>10</v>
      </c>
      <c r="K234" s="31">
        <f>1025</f>
        <v>1025</v>
      </c>
      <c r="L234" s="32" t="s">
        <v>999</v>
      </c>
      <c r="M234" s="31">
        <f>1025</f>
        <v>1025</v>
      </c>
      <c r="N234" s="32" t="s">
        <v>999</v>
      </c>
      <c r="O234" s="31">
        <f>1002.5</f>
        <v>1002.5</v>
      </c>
      <c r="P234" s="32" t="s">
        <v>785</v>
      </c>
      <c r="Q234" s="31">
        <f>1020</f>
        <v>1020</v>
      </c>
      <c r="R234" s="32" t="s">
        <v>791</v>
      </c>
      <c r="S234" s="33">
        <f>1016.02</f>
        <v>1016.02</v>
      </c>
      <c r="T234" s="30">
        <f>2052810</f>
        <v>2052810</v>
      </c>
      <c r="U234" s="30">
        <f>1535010</f>
        <v>1535010</v>
      </c>
      <c r="V234" s="30">
        <f>2081790452</f>
        <v>2081790452</v>
      </c>
      <c r="W234" s="30">
        <f>1556199172</f>
        <v>1556199172</v>
      </c>
      <c r="X234" s="34">
        <f>21</f>
        <v>21</v>
      </c>
    </row>
    <row r="235" spans="1:24" ht="13.5" customHeight="1" x14ac:dyDescent="0.15">
      <c r="A235" s="25" t="s">
        <v>1182</v>
      </c>
      <c r="B235" s="25" t="s">
        <v>649</v>
      </c>
      <c r="C235" s="25" t="s">
        <v>650</v>
      </c>
      <c r="D235" s="25" t="s">
        <v>651</v>
      </c>
      <c r="E235" s="26" t="s">
        <v>45</v>
      </c>
      <c r="F235" s="27" t="s">
        <v>45</v>
      </c>
      <c r="G235" s="28" t="s">
        <v>45</v>
      </c>
      <c r="H235" s="29"/>
      <c r="I235" s="29" t="s">
        <v>46</v>
      </c>
      <c r="J235" s="30">
        <v>10</v>
      </c>
      <c r="K235" s="31">
        <f>776</f>
        <v>776</v>
      </c>
      <c r="L235" s="32" t="s">
        <v>999</v>
      </c>
      <c r="M235" s="31">
        <f>784</f>
        <v>784</v>
      </c>
      <c r="N235" s="32" t="s">
        <v>894</v>
      </c>
      <c r="O235" s="31">
        <f>765.4</f>
        <v>765.4</v>
      </c>
      <c r="P235" s="32" t="s">
        <v>80</v>
      </c>
      <c r="Q235" s="31">
        <f>771.4</f>
        <v>771.4</v>
      </c>
      <c r="R235" s="32" t="s">
        <v>791</v>
      </c>
      <c r="S235" s="33">
        <f>773.24</f>
        <v>773.24</v>
      </c>
      <c r="T235" s="30">
        <f>821460</f>
        <v>821460</v>
      </c>
      <c r="U235" s="30">
        <f>282790</f>
        <v>282790</v>
      </c>
      <c r="V235" s="30">
        <f>634650468</f>
        <v>634650468</v>
      </c>
      <c r="W235" s="30">
        <f>218055090</f>
        <v>218055090</v>
      </c>
      <c r="X235" s="34">
        <f>21</f>
        <v>21</v>
      </c>
    </row>
    <row r="236" spans="1:24" ht="13.5" customHeight="1" x14ac:dyDescent="0.15">
      <c r="A236" s="25" t="s">
        <v>1182</v>
      </c>
      <c r="B236" s="25" t="s">
        <v>652</v>
      </c>
      <c r="C236" s="25" t="s">
        <v>653</v>
      </c>
      <c r="D236" s="25" t="s">
        <v>654</v>
      </c>
      <c r="E236" s="26" t="s">
        <v>45</v>
      </c>
      <c r="F236" s="27" t="s">
        <v>45</v>
      </c>
      <c r="G236" s="28" t="s">
        <v>45</v>
      </c>
      <c r="H236" s="29"/>
      <c r="I236" s="29" t="s">
        <v>46</v>
      </c>
      <c r="J236" s="30">
        <v>10</v>
      </c>
      <c r="K236" s="31">
        <f>1949.5</f>
        <v>1949.5</v>
      </c>
      <c r="L236" s="32" t="s">
        <v>999</v>
      </c>
      <c r="M236" s="31">
        <f>1995</f>
        <v>1995</v>
      </c>
      <c r="N236" s="32" t="s">
        <v>792</v>
      </c>
      <c r="O236" s="31">
        <f>1863.5</f>
        <v>1863.5</v>
      </c>
      <c r="P236" s="32" t="s">
        <v>893</v>
      </c>
      <c r="Q236" s="31">
        <f>1880.5</f>
        <v>1880.5</v>
      </c>
      <c r="R236" s="32" t="s">
        <v>791</v>
      </c>
      <c r="S236" s="33">
        <f>1926.29</f>
        <v>1926.29</v>
      </c>
      <c r="T236" s="30">
        <f>1363960</f>
        <v>1363960</v>
      </c>
      <c r="U236" s="30">
        <f>975450</f>
        <v>975450</v>
      </c>
      <c r="V236" s="30">
        <f>2626436939</f>
        <v>2626436939</v>
      </c>
      <c r="W236" s="30">
        <f>1881092019</f>
        <v>1881092019</v>
      </c>
      <c r="X236" s="34">
        <f>21</f>
        <v>21</v>
      </c>
    </row>
    <row r="237" spans="1:24" ht="13.5" customHeight="1" x14ac:dyDescent="0.15">
      <c r="A237" s="25" t="s">
        <v>1182</v>
      </c>
      <c r="B237" s="25" t="s">
        <v>655</v>
      </c>
      <c r="C237" s="25" t="s">
        <v>656</v>
      </c>
      <c r="D237" s="25" t="s">
        <v>657</v>
      </c>
      <c r="E237" s="26" t="s">
        <v>45</v>
      </c>
      <c r="F237" s="27" t="s">
        <v>45</v>
      </c>
      <c r="G237" s="28" t="s">
        <v>45</v>
      </c>
      <c r="H237" s="29"/>
      <c r="I237" s="29" t="s">
        <v>46</v>
      </c>
      <c r="J237" s="30">
        <v>10</v>
      </c>
      <c r="K237" s="31">
        <f>1348.5</f>
        <v>1348.5</v>
      </c>
      <c r="L237" s="32" t="s">
        <v>999</v>
      </c>
      <c r="M237" s="31">
        <f>1372.5</f>
        <v>1372.5</v>
      </c>
      <c r="N237" s="32" t="s">
        <v>787</v>
      </c>
      <c r="O237" s="31">
        <f>1285.5</f>
        <v>1285.5</v>
      </c>
      <c r="P237" s="32" t="s">
        <v>893</v>
      </c>
      <c r="Q237" s="31">
        <f>1291</f>
        <v>1291</v>
      </c>
      <c r="R237" s="32" t="s">
        <v>791</v>
      </c>
      <c r="S237" s="33">
        <f>1330.52</f>
        <v>1330.52</v>
      </c>
      <c r="T237" s="30">
        <f>693010</f>
        <v>693010</v>
      </c>
      <c r="U237" s="30">
        <f>544310</f>
        <v>544310</v>
      </c>
      <c r="V237" s="30">
        <f>924464710</f>
        <v>924464710</v>
      </c>
      <c r="W237" s="30">
        <f>725676860</f>
        <v>725676860</v>
      </c>
      <c r="X237" s="34">
        <f>21</f>
        <v>21</v>
      </c>
    </row>
    <row r="238" spans="1:24" ht="13.5" customHeight="1" x14ac:dyDescent="0.15">
      <c r="A238" s="25" t="s">
        <v>1182</v>
      </c>
      <c r="B238" s="25" t="s">
        <v>658</v>
      </c>
      <c r="C238" s="25" t="s">
        <v>659</v>
      </c>
      <c r="D238" s="25" t="s">
        <v>660</v>
      </c>
      <c r="E238" s="26" t="s">
        <v>45</v>
      </c>
      <c r="F238" s="27" t="s">
        <v>45</v>
      </c>
      <c r="G238" s="28" t="s">
        <v>45</v>
      </c>
      <c r="H238" s="29"/>
      <c r="I238" s="29" t="s">
        <v>46</v>
      </c>
      <c r="J238" s="30">
        <v>10</v>
      </c>
      <c r="K238" s="31">
        <f>1187.5</f>
        <v>1187.5</v>
      </c>
      <c r="L238" s="32" t="s">
        <v>999</v>
      </c>
      <c r="M238" s="31">
        <f>1199.5</f>
        <v>1199.5</v>
      </c>
      <c r="N238" s="32" t="s">
        <v>787</v>
      </c>
      <c r="O238" s="31">
        <f>1100</f>
        <v>1100</v>
      </c>
      <c r="P238" s="32" t="s">
        <v>791</v>
      </c>
      <c r="Q238" s="31">
        <f>1111.5</f>
        <v>1111.5</v>
      </c>
      <c r="R238" s="32" t="s">
        <v>791</v>
      </c>
      <c r="S238" s="33">
        <f>1149.67</f>
        <v>1149.67</v>
      </c>
      <c r="T238" s="30">
        <f>614060</f>
        <v>614060</v>
      </c>
      <c r="U238" s="30">
        <f>28370</f>
        <v>28370</v>
      </c>
      <c r="V238" s="30">
        <f>697980952</f>
        <v>697980952</v>
      </c>
      <c r="W238" s="30">
        <f>31353162</f>
        <v>31353162</v>
      </c>
      <c r="X238" s="34">
        <f>21</f>
        <v>21</v>
      </c>
    </row>
    <row r="239" spans="1:24" ht="13.5" customHeight="1" x14ac:dyDescent="0.15">
      <c r="A239" s="25" t="s">
        <v>1182</v>
      </c>
      <c r="B239" s="25" t="s">
        <v>661</v>
      </c>
      <c r="C239" s="25" t="s">
        <v>662</v>
      </c>
      <c r="D239" s="25" t="s">
        <v>663</v>
      </c>
      <c r="E239" s="26" t="s">
        <v>45</v>
      </c>
      <c r="F239" s="27" t="s">
        <v>45</v>
      </c>
      <c r="G239" s="28" t="s">
        <v>45</v>
      </c>
      <c r="H239" s="29"/>
      <c r="I239" s="29" t="s">
        <v>46</v>
      </c>
      <c r="J239" s="30">
        <v>10</v>
      </c>
      <c r="K239" s="31">
        <f>572.5</f>
        <v>572.5</v>
      </c>
      <c r="L239" s="32" t="s">
        <v>999</v>
      </c>
      <c r="M239" s="31">
        <f>574</f>
        <v>574</v>
      </c>
      <c r="N239" s="32" t="s">
        <v>999</v>
      </c>
      <c r="O239" s="31">
        <f>481</f>
        <v>481</v>
      </c>
      <c r="P239" s="32" t="s">
        <v>793</v>
      </c>
      <c r="Q239" s="31">
        <f>504.2</f>
        <v>504.2</v>
      </c>
      <c r="R239" s="32" t="s">
        <v>791</v>
      </c>
      <c r="S239" s="33">
        <f>522.46</f>
        <v>522.46</v>
      </c>
      <c r="T239" s="30">
        <f>43887680</f>
        <v>43887680</v>
      </c>
      <c r="U239" s="30">
        <f>1582440</f>
        <v>1582440</v>
      </c>
      <c r="V239" s="30">
        <f>22574589118</f>
        <v>22574589118</v>
      </c>
      <c r="W239" s="30">
        <f>821590424</f>
        <v>821590424</v>
      </c>
      <c r="X239" s="34">
        <f>21</f>
        <v>21</v>
      </c>
    </row>
    <row r="240" spans="1:24" ht="13.5" customHeight="1" x14ac:dyDescent="0.15">
      <c r="A240" s="25" t="s">
        <v>1182</v>
      </c>
      <c r="B240" s="25" t="s">
        <v>664</v>
      </c>
      <c r="C240" s="25" t="s">
        <v>665</v>
      </c>
      <c r="D240" s="25" t="s">
        <v>666</v>
      </c>
      <c r="E240" s="26" t="s">
        <v>45</v>
      </c>
      <c r="F240" s="27" t="s">
        <v>45</v>
      </c>
      <c r="G240" s="28" t="s">
        <v>45</v>
      </c>
      <c r="H240" s="29"/>
      <c r="I240" s="29" t="s">
        <v>46</v>
      </c>
      <c r="J240" s="30">
        <v>10</v>
      </c>
      <c r="K240" s="31">
        <f>1123</f>
        <v>1123</v>
      </c>
      <c r="L240" s="32" t="s">
        <v>999</v>
      </c>
      <c r="M240" s="31">
        <f>1126</f>
        <v>1126</v>
      </c>
      <c r="N240" s="32" t="s">
        <v>999</v>
      </c>
      <c r="O240" s="31">
        <f>1084.5</f>
        <v>1084.5</v>
      </c>
      <c r="P240" s="32" t="s">
        <v>793</v>
      </c>
      <c r="Q240" s="31">
        <f>1097.5</f>
        <v>1097.5</v>
      </c>
      <c r="R240" s="32" t="s">
        <v>791</v>
      </c>
      <c r="S240" s="33">
        <f>1105.26</f>
        <v>1105.26</v>
      </c>
      <c r="T240" s="30">
        <f>939800</f>
        <v>939800</v>
      </c>
      <c r="U240" s="30">
        <f>500020</f>
        <v>500020</v>
      </c>
      <c r="V240" s="30">
        <f>1034824615</f>
        <v>1034824615</v>
      </c>
      <c r="W240" s="30">
        <f>550198665</f>
        <v>550198665</v>
      </c>
      <c r="X240" s="34">
        <f>21</f>
        <v>21</v>
      </c>
    </row>
    <row r="241" spans="1:24" ht="13.5" customHeight="1" x14ac:dyDescent="0.15">
      <c r="A241" s="25" t="s">
        <v>1182</v>
      </c>
      <c r="B241" s="25" t="s">
        <v>667</v>
      </c>
      <c r="C241" s="25" t="s">
        <v>668</v>
      </c>
      <c r="D241" s="25" t="s">
        <v>669</v>
      </c>
      <c r="E241" s="26" t="s">
        <v>45</v>
      </c>
      <c r="F241" s="27" t="s">
        <v>45</v>
      </c>
      <c r="G241" s="28" t="s">
        <v>45</v>
      </c>
      <c r="H241" s="29"/>
      <c r="I241" s="29" t="s">
        <v>46</v>
      </c>
      <c r="J241" s="30">
        <v>1</v>
      </c>
      <c r="K241" s="31">
        <f>1278</f>
        <v>1278</v>
      </c>
      <c r="L241" s="32" t="s">
        <v>999</v>
      </c>
      <c r="M241" s="31">
        <f>1286</f>
        <v>1286</v>
      </c>
      <c r="N241" s="32" t="s">
        <v>999</v>
      </c>
      <c r="O241" s="31">
        <f>1195</f>
        <v>1195</v>
      </c>
      <c r="P241" s="32" t="s">
        <v>793</v>
      </c>
      <c r="Q241" s="31">
        <f>1220</f>
        <v>1220</v>
      </c>
      <c r="R241" s="32" t="s">
        <v>791</v>
      </c>
      <c r="S241" s="33">
        <f>1238.9</f>
        <v>1238.9000000000001</v>
      </c>
      <c r="T241" s="30">
        <f>32446</f>
        <v>32446</v>
      </c>
      <c r="U241" s="30" t="str">
        <f>"－"</f>
        <v>－</v>
      </c>
      <c r="V241" s="30">
        <f>39957943</f>
        <v>39957943</v>
      </c>
      <c r="W241" s="30" t="str">
        <f>"－"</f>
        <v>－</v>
      </c>
      <c r="X241" s="34">
        <f>21</f>
        <v>21</v>
      </c>
    </row>
    <row r="242" spans="1:24" ht="13.5" customHeight="1" x14ac:dyDescent="0.15">
      <c r="A242" s="25" t="s">
        <v>1182</v>
      </c>
      <c r="B242" s="25" t="s">
        <v>670</v>
      </c>
      <c r="C242" s="25" t="s">
        <v>671</v>
      </c>
      <c r="D242" s="25" t="s">
        <v>672</v>
      </c>
      <c r="E242" s="26" t="s">
        <v>45</v>
      </c>
      <c r="F242" s="27" t="s">
        <v>45</v>
      </c>
      <c r="G242" s="28" t="s">
        <v>45</v>
      </c>
      <c r="H242" s="29"/>
      <c r="I242" s="29" t="s">
        <v>46</v>
      </c>
      <c r="J242" s="30">
        <v>10</v>
      </c>
      <c r="K242" s="31">
        <f>945.4</f>
        <v>945.4</v>
      </c>
      <c r="L242" s="32" t="s">
        <v>999</v>
      </c>
      <c r="M242" s="31">
        <f>946.1</f>
        <v>946.1</v>
      </c>
      <c r="N242" s="32" t="s">
        <v>999</v>
      </c>
      <c r="O242" s="31">
        <f>911</f>
        <v>911</v>
      </c>
      <c r="P242" s="32" t="s">
        <v>875</v>
      </c>
      <c r="Q242" s="31">
        <f>931.3</f>
        <v>931.3</v>
      </c>
      <c r="R242" s="32" t="s">
        <v>791</v>
      </c>
      <c r="S242" s="33">
        <f>928.93</f>
        <v>928.93</v>
      </c>
      <c r="T242" s="30">
        <f>68400</f>
        <v>68400</v>
      </c>
      <c r="U242" s="30">
        <f>10</f>
        <v>10</v>
      </c>
      <c r="V242" s="30">
        <f>63280025</f>
        <v>63280025</v>
      </c>
      <c r="W242" s="30">
        <f>9280</f>
        <v>9280</v>
      </c>
      <c r="X242" s="34">
        <f>21</f>
        <v>21</v>
      </c>
    </row>
    <row r="243" spans="1:24" ht="13.5" customHeight="1" x14ac:dyDescent="0.15">
      <c r="A243" s="25" t="s">
        <v>1182</v>
      </c>
      <c r="B243" s="25" t="s">
        <v>673</v>
      </c>
      <c r="C243" s="25" t="s">
        <v>674</v>
      </c>
      <c r="D243" s="25" t="s">
        <v>675</v>
      </c>
      <c r="E243" s="26" t="s">
        <v>45</v>
      </c>
      <c r="F243" s="27" t="s">
        <v>45</v>
      </c>
      <c r="G243" s="28" t="s">
        <v>45</v>
      </c>
      <c r="H243" s="29"/>
      <c r="I243" s="29" t="s">
        <v>46</v>
      </c>
      <c r="J243" s="30">
        <v>10</v>
      </c>
      <c r="K243" s="31">
        <f>1247</f>
        <v>1247</v>
      </c>
      <c r="L243" s="32" t="s">
        <v>999</v>
      </c>
      <c r="M243" s="31">
        <f>1254.5</f>
        <v>1254.5</v>
      </c>
      <c r="N243" s="32" t="s">
        <v>787</v>
      </c>
      <c r="O243" s="31">
        <f>1175</f>
        <v>1175</v>
      </c>
      <c r="P243" s="32" t="s">
        <v>793</v>
      </c>
      <c r="Q243" s="31">
        <f>1194</f>
        <v>1194</v>
      </c>
      <c r="R243" s="32" t="s">
        <v>791</v>
      </c>
      <c r="S243" s="33">
        <f>1215.19</f>
        <v>1215.19</v>
      </c>
      <c r="T243" s="30">
        <f>60800</f>
        <v>60800</v>
      </c>
      <c r="U243" s="30">
        <f>80</f>
        <v>80</v>
      </c>
      <c r="V243" s="30">
        <f>73522875</f>
        <v>73522875</v>
      </c>
      <c r="W243" s="30">
        <f>95120</f>
        <v>95120</v>
      </c>
      <c r="X243" s="34">
        <f>21</f>
        <v>21</v>
      </c>
    </row>
    <row r="244" spans="1:24" ht="13.5" customHeight="1" x14ac:dyDescent="0.15">
      <c r="A244" s="25" t="s">
        <v>1182</v>
      </c>
      <c r="B244" s="25" t="s">
        <v>676</v>
      </c>
      <c r="C244" s="25" t="s">
        <v>677</v>
      </c>
      <c r="D244" s="25" t="s">
        <v>678</v>
      </c>
      <c r="E244" s="26" t="s">
        <v>45</v>
      </c>
      <c r="F244" s="27" t="s">
        <v>45</v>
      </c>
      <c r="G244" s="28" t="s">
        <v>45</v>
      </c>
      <c r="H244" s="29"/>
      <c r="I244" s="29" t="s">
        <v>46</v>
      </c>
      <c r="J244" s="30">
        <v>10</v>
      </c>
      <c r="K244" s="31">
        <f>1398.5</f>
        <v>1398.5</v>
      </c>
      <c r="L244" s="32" t="s">
        <v>999</v>
      </c>
      <c r="M244" s="31">
        <f>1423.5</f>
        <v>1423.5</v>
      </c>
      <c r="N244" s="32" t="s">
        <v>787</v>
      </c>
      <c r="O244" s="31">
        <f>1335</f>
        <v>1335</v>
      </c>
      <c r="P244" s="32" t="s">
        <v>893</v>
      </c>
      <c r="Q244" s="31">
        <f>1340.5</f>
        <v>1340.5</v>
      </c>
      <c r="R244" s="32" t="s">
        <v>791</v>
      </c>
      <c r="S244" s="33">
        <f>1383.6</f>
        <v>1383.6</v>
      </c>
      <c r="T244" s="30">
        <f>7657730</f>
        <v>7657730</v>
      </c>
      <c r="U244" s="30">
        <f>5079500</f>
        <v>5079500</v>
      </c>
      <c r="V244" s="30">
        <f>10598940702</f>
        <v>10598940702</v>
      </c>
      <c r="W244" s="30">
        <f>7044966607</f>
        <v>7044966607</v>
      </c>
      <c r="X244" s="34">
        <f>21</f>
        <v>21</v>
      </c>
    </row>
    <row r="245" spans="1:24" ht="13.5" customHeight="1" x14ac:dyDescent="0.15">
      <c r="A245" s="25" t="s">
        <v>1182</v>
      </c>
      <c r="B245" s="25" t="s">
        <v>679</v>
      </c>
      <c r="C245" s="25" t="s">
        <v>680</v>
      </c>
      <c r="D245" s="25" t="s">
        <v>681</v>
      </c>
      <c r="E245" s="26" t="s">
        <v>45</v>
      </c>
      <c r="F245" s="27" t="s">
        <v>45</v>
      </c>
      <c r="G245" s="28" t="s">
        <v>45</v>
      </c>
      <c r="H245" s="29"/>
      <c r="I245" s="29" t="s">
        <v>46</v>
      </c>
      <c r="J245" s="30">
        <v>1</v>
      </c>
      <c r="K245" s="31">
        <f>4375</f>
        <v>4375</v>
      </c>
      <c r="L245" s="32" t="s">
        <v>999</v>
      </c>
      <c r="M245" s="31">
        <f>4430</f>
        <v>4430</v>
      </c>
      <c r="N245" s="32" t="s">
        <v>787</v>
      </c>
      <c r="O245" s="31">
        <f>4015</f>
        <v>4015</v>
      </c>
      <c r="P245" s="32" t="s">
        <v>786</v>
      </c>
      <c r="Q245" s="31">
        <f>4025</f>
        <v>4025</v>
      </c>
      <c r="R245" s="32" t="s">
        <v>791</v>
      </c>
      <c r="S245" s="33">
        <f>4233.33</f>
        <v>4233.33</v>
      </c>
      <c r="T245" s="30">
        <f>245693</f>
        <v>245693</v>
      </c>
      <c r="U245" s="30">
        <f>180000</f>
        <v>180000</v>
      </c>
      <c r="V245" s="30">
        <f>994691010</f>
        <v>994691010</v>
      </c>
      <c r="W245" s="30">
        <f>725010750</f>
        <v>725010750</v>
      </c>
      <c r="X245" s="34">
        <f>21</f>
        <v>21</v>
      </c>
    </row>
    <row r="246" spans="1:24" ht="13.5" customHeight="1" x14ac:dyDescent="0.15">
      <c r="A246" s="25" t="s">
        <v>1182</v>
      </c>
      <c r="B246" s="25" t="s">
        <v>682</v>
      </c>
      <c r="C246" s="25" t="s">
        <v>683</v>
      </c>
      <c r="D246" s="25" t="s">
        <v>684</v>
      </c>
      <c r="E246" s="26" t="s">
        <v>45</v>
      </c>
      <c r="F246" s="27" t="s">
        <v>45</v>
      </c>
      <c r="G246" s="28" t="s">
        <v>45</v>
      </c>
      <c r="H246" s="29"/>
      <c r="I246" s="29" t="s">
        <v>46</v>
      </c>
      <c r="J246" s="30">
        <v>10</v>
      </c>
      <c r="K246" s="31">
        <f>1840</f>
        <v>1840</v>
      </c>
      <c r="L246" s="32" t="s">
        <v>996</v>
      </c>
      <c r="M246" s="31">
        <f>1898</f>
        <v>1898</v>
      </c>
      <c r="N246" s="32" t="s">
        <v>794</v>
      </c>
      <c r="O246" s="31">
        <f>1805</f>
        <v>1805</v>
      </c>
      <c r="P246" s="32" t="s">
        <v>893</v>
      </c>
      <c r="Q246" s="31">
        <f>1805</f>
        <v>1805</v>
      </c>
      <c r="R246" s="32" t="s">
        <v>893</v>
      </c>
      <c r="S246" s="33">
        <f>1839.88</f>
        <v>1839.88</v>
      </c>
      <c r="T246" s="30">
        <f>360</f>
        <v>360</v>
      </c>
      <c r="U246" s="30" t="str">
        <f>"－"</f>
        <v>－</v>
      </c>
      <c r="V246" s="30">
        <f>670870</f>
        <v>670870</v>
      </c>
      <c r="W246" s="30" t="str">
        <f>"－"</f>
        <v>－</v>
      </c>
      <c r="X246" s="34">
        <f>8</f>
        <v>8</v>
      </c>
    </row>
    <row r="247" spans="1:24" ht="13.5" customHeight="1" x14ac:dyDescent="0.15">
      <c r="A247" s="25" t="s">
        <v>1182</v>
      </c>
      <c r="B247" s="25" t="s">
        <v>685</v>
      </c>
      <c r="C247" s="25" t="s">
        <v>686</v>
      </c>
      <c r="D247" s="25" t="s">
        <v>687</v>
      </c>
      <c r="E247" s="26" t="s">
        <v>45</v>
      </c>
      <c r="F247" s="27" t="s">
        <v>45</v>
      </c>
      <c r="G247" s="28" t="s">
        <v>45</v>
      </c>
      <c r="H247" s="29"/>
      <c r="I247" s="29" t="s">
        <v>46</v>
      </c>
      <c r="J247" s="30">
        <v>10</v>
      </c>
      <c r="K247" s="31">
        <f>2399</f>
        <v>2399</v>
      </c>
      <c r="L247" s="32" t="s">
        <v>999</v>
      </c>
      <c r="M247" s="31">
        <f>2418.5</f>
        <v>2418.5</v>
      </c>
      <c r="N247" s="32" t="s">
        <v>999</v>
      </c>
      <c r="O247" s="31">
        <f>2265</f>
        <v>2265</v>
      </c>
      <c r="P247" s="32" t="s">
        <v>793</v>
      </c>
      <c r="Q247" s="31">
        <f>2304</f>
        <v>2304</v>
      </c>
      <c r="R247" s="32" t="s">
        <v>791</v>
      </c>
      <c r="S247" s="33">
        <f>2336.08</f>
        <v>2336.08</v>
      </c>
      <c r="T247" s="30">
        <f>874740</f>
        <v>874740</v>
      </c>
      <c r="U247" s="30" t="str">
        <f>"－"</f>
        <v>－</v>
      </c>
      <c r="V247" s="30">
        <f>2055215260</f>
        <v>2055215260</v>
      </c>
      <c r="W247" s="30" t="str">
        <f>"－"</f>
        <v>－</v>
      </c>
      <c r="X247" s="34">
        <f>20</f>
        <v>20</v>
      </c>
    </row>
    <row r="248" spans="1:24" ht="13.5" customHeight="1" x14ac:dyDescent="0.15">
      <c r="A248" s="25" t="s">
        <v>1182</v>
      </c>
      <c r="B248" s="25" t="s">
        <v>688</v>
      </c>
      <c r="C248" s="25" t="s">
        <v>689</v>
      </c>
      <c r="D248" s="25" t="s">
        <v>690</v>
      </c>
      <c r="E248" s="26" t="s">
        <v>45</v>
      </c>
      <c r="F248" s="27" t="s">
        <v>45</v>
      </c>
      <c r="G248" s="28" t="s">
        <v>45</v>
      </c>
      <c r="H248" s="29"/>
      <c r="I248" s="29" t="s">
        <v>46</v>
      </c>
      <c r="J248" s="30">
        <v>1</v>
      </c>
      <c r="K248" s="31">
        <f>32660</f>
        <v>32660</v>
      </c>
      <c r="L248" s="32" t="s">
        <v>999</v>
      </c>
      <c r="M248" s="31">
        <f>33060</f>
        <v>33060</v>
      </c>
      <c r="N248" s="32" t="s">
        <v>56</v>
      </c>
      <c r="O248" s="31">
        <f>31020</f>
        <v>31020</v>
      </c>
      <c r="P248" s="32" t="s">
        <v>785</v>
      </c>
      <c r="Q248" s="31">
        <f>32550</f>
        <v>32550</v>
      </c>
      <c r="R248" s="32" t="s">
        <v>791</v>
      </c>
      <c r="S248" s="33">
        <f>31980.48</f>
        <v>31980.48</v>
      </c>
      <c r="T248" s="30">
        <f>327637</f>
        <v>327637</v>
      </c>
      <c r="U248" s="30">
        <f>181222</f>
        <v>181222</v>
      </c>
      <c r="V248" s="30">
        <f>10374438607</f>
        <v>10374438607</v>
      </c>
      <c r="W248" s="30">
        <f>5712191857</f>
        <v>5712191857</v>
      </c>
      <c r="X248" s="34">
        <f>21</f>
        <v>21</v>
      </c>
    </row>
    <row r="249" spans="1:24" ht="13.5" customHeight="1" x14ac:dyDescent="0.15">
      <c r="A249" s="25" t="s">
        <v>1182</v>
      </c>
      <c r="B249" s="25" t="s">
        <v>691</v>
      </c>
      <c r="C249" s="25" t="s">
        <v>692</v>
      </c>
      <c r="D249" s="25" t="s">
        <v>693</v>
      </c>
      <c r="E249" s="26" t="s">
        <v>45</v>
      </c>
      <c r="F249" s="27" t="s">
        <v>45</v>
      </c>
      <c r="G249" s="28" t="s">
        <v>45</v>
      </c>
      <c r="H249" s="29"/>
      <c r="I249" s="29" t="s">
        <v>46</v>
      </c>
      <c r="J249" s="30">
        <v>1</v>
      </c>
      <c r="K249" s="31">
        <f>21520</f>
        <v>21520</v>
      </c>
      <c r="L249" s="32" t="s">
        <v>999</v>
      </c>
      <c r="M249" s="31">
        <f>21575</f>
        <v>21575</v>
      </c>
      <c r="N249" s="32" t="s">
        <v>787</v>
      </c>
      <c r="O249" s="31">
        <f>20485</f>
        <v>20485</v>
      </c>
      <c r="P249" s="32" t="s">
        <v>893</v>
      </c>
      <c r="Q249" s="31">
        <f>20635</f>
        <v>20635</v>
      </c>
      <c r="R249" s="32" t="s">
        <v>791</v>
      </c>
      <c r="S249" s="33">
        <f>20996.82</f>
        <v>20996.82</v>
      </c>
      <c r="T249" s="30">
        <f>4911</f>
        <v>4911</v>
      </c>
      <c r="U249" s="30" t="str">
        <f>"－"</f>
        <v>－</v>
      </c>
      <c r="V249" s="30">
        <f>100687385</f>
        <v>100687385</v>
      </c>
      <c r="W249" s="30" t="str">
        <f>"－"</f>
        <v>－</v>
      </c>
      <c r="X249" s="34">
        <f>11</f>
        <v>11</v>
      </c>
    </row>
    <row r="250" spans="1:24" ht="13.5" customHeight="1" x14ac:dyDescent="0.15">
      <c r="A250" s="25" t="s">
        <v>1182</v>
      </c>
      <c r="B250" s="25" t="s">
        <v>694</v>
      </c>
      <c r="C250" s="25" t="s">
        <v>695</v>
      </c>
      <c r="D250" s="25" t="s">
        <v>696</v>
      </c>
      <c r="E250" s="26" t="s">
        <v>45</v>
      </c>
      <c r="F250" s="27" t="s">
        <v>45</v>
      </c>
      <c r="G250" s="28" t="s">
        <v>45</v>
      </c>
      <c r="H250" s="29"/>
      <c r="I250" s="29" t="s">
        <v>46</v>
      </c>
      <c r="J250" s="30">
        <v>10</v>
      </c>
      <c r="K250" s="31">
        <f>1126</f>
        <v>1126</v>
      </c>
      <c r="L250" s="32" t="s">
        <v>999</v>
      </c>
      <c r="M250" s="31">
        <f>1131.5</f>
        <v>1131.5</v>
      </c>
      <c r="N250" s="32" t="s">
        <v>787</v>
      </c>
      <c r="O250" s="31">
        <f>1099</f>
        <v>1099</v>
      </c>
      <c r="P250" s="32" t="s">
        <v>785</v>
      </c>
      <c r="Q250" s="31">
        <f>1105</f>
        <v>1105</v>
      </c>
      <c r="R250" s="32" t="s">
        <v>791</v>
      </c>
      <c r="S250" s="33">
        <f>1112.42</f>
        <v>1112.42</v>
      </c>
      <c r="T250" s="30">
        <f>565810</f>
        <v>565810</v>
      </c>
      <c r="U250" s="30">
        <f>278000</f>
        <v>278000</v>
      </c>
      <c r="V250" s="30">
        <f>629938185</f>
        <v>629938185</v>
      </c>
      <c r="W250" s="30">
        <f>308097200</f>
        <v>308097200</v>
      </c>
      <c r="X250" s="34">
        <f>18</f>
        <v>18</v>
      </c>
    </row>
    <row r="251" spans="1:24" ht="13.5" customHeight="1" x14ac:dyDescent="0.15">
      <c r="A251" s="25" t="s">
        <v>1182</v>
      </c>
      <c r="B251" s="25" t="s">
        <v>697</v>
      </c>
      <c r="C251" s="25" t="s">
        <v>1085</v>
      </c>
      <c r="D251" s="25" t="s">
        <v>1086</v>
      </c>
      <c r="E251" s="26" t="s">
        <v>45</v>
      </c>
      <c r="F251" s="27" t="s">
        <v>45</v>
      </c>
      <c r="G251" s="28" t="s">
        <v>45</v>
      </c>
      <c r="H251" s="29"/>
      <c r="I251" s="29" t="s">
        <v>46</v>
      </c>
      <c r="J251" s="30">
        <v>10</v>
      </c>
      <c r="K251" s="31">
        <f>1119</f>
        <v>1119</v>
      </c>
      <c r="L251" s="32" t="s">
        <v>999</v>
      </c>
      <c r="M251" s="31">
        <f>1119</f>
        <v>1119</v>
      </c>
      <c r="N251" s="32" t="s">
        <v>999</v>
      </c>
      <c r="O251" s="31">
        <f>1078</f>
        <v>1078</v>
      </c>
      <c r="P251" s="32" t="s">
        <v>793</v>
      </c>
      <c r="Q251" s="31">
        <f>1090.5</f>
        <v>1090.5</v>
      </c>
      <c r="R251" s="32" t="s">
        <v>791</v>
      </c>
      <c r="S251" s="33">
        <f>1098.76</f>
        <v>1098.76</v>
      </c>
      <c r="T251" s="30">
        <f>215960</f>
        <v>215960</v>
      </c>
      <c r="U251" s="30">
        <f>10</f>
        <v>10</v>
      </c>
      <c r="V251" s="30">
        <f>237415140</f>
        <v>237415140</v>
      </c>
      <c r="W251" s="30">
        <f>10850</f>
        <v>10850</v>
      </c>
      <c r="X251" s="34">
        <f>19</f>
        <v>19</v>
      </c>
    </row>
    <row r="252" spans="1:24" ht="13.5" customHeight="1" x14ac:dyDescent="0.15">
      <c r="A252" s="25" t="s">
        <v>1182</v>
      </c>
      <c r="B252" s="25" t="s">
        <v>700</v>
      </c>
      <c r="C252" s="25" t="s">
        <v>701</v>
      </c>
      <c r="D252" s="25" t="s">
        <v>702</v>
      </c>
      <c r="E252" s="26" t="s">
        <v>45</v>
      </c>
      <c r="F252" s="27" t="s">
        <v>45</v>
      </c>
      <c r="G252" s="28" t="s">
        <v>45</v>
      </c>
      <c r="H252" s="29"/>
      <c r="I252" s="29" t="s">
        <v>46</v>
      </c>
      <c r="J252" s="30">
        <v>1</v>
      </c>
      <c r="K252" s="31">
        <f>1533</f>
        <v>1533</v>
      </c>
      <c r="L252" s="32" t="s">
        <v>999</v>
      </c>
      <c r="M252" s="31">
        <f>1540</f>
        <v>1540</v>
      </c>
      <c r="N252" s="32" t="s">
        <v>999</v>
      </c>
      <c r="O252" s="31">
        <f>1423</f>
        <v>1423</v>
      </c>
      <c r="P252" s="32" t="s">
        <v>793</v>
      </c>
      <c r="Q252" s="31">
        <f>1458</f>
        <v>1458</v>
      </c>
      <c r="R252" s="32" t="s">
        <v>791</v>
      </c>
      <c r="S252" s="33">
        <f>1470.71</f>
        <v>1470.71</v>
      </c>
      <c r="T252" s="30">
        <f>474804</f>
        <v>474804</v>
      </c>
      <c r="U252" s="30">
        <f>109683</f>
        <v>109683</v>
      </c>
      <c r="V252" s="30">
        <f>699261886</f>
        <v>699261886</v>
      </c>
      <c r="W252" s="30">
        <f>163616662</f>
        <v>163616662</v>
      </c>
      <c r="X252" s="34">
        <f>21</f>
        <v>21</v>
      </c>
    </row>
    <row r="253" spans="1:24" ht="13.5" customHeight="1" x14ac:dyDescent="0.15">
      <c r="A253" s="25" t="s">
        <v>1182</v>
      </c>
      <c r="B253" s="25" t="s">
        <v>703</v>
      </c>
      <c r="C253" s="25" t="s">
        <v>704</v>
      </c>
      <c r="D253" s="25" t="s">
        <v>705</v>
      </c>
      <c r="E253" s="26" t="s">
        <v>45</v>
      </c>
      <c r="F253" s="27" t="s">
        <v>45</v>
      </c>
      <c r="G253" s="28" t="s">
        <v>45</v>
      </c>
      <c r="H253" s="29"/>
      <c r="I253" s="29" t="s">
        <v>46</v>
      </c>
      <c r="J253" s="30">
        <v>1</v>
      </c>
      <c r="K253" s="31">
        <f>13490</f>
        <v>13490</v>
      </c>
      <c r="L253" s="32" t="s">
        <v>999</v>
      </c>
      <c r="M253" s="31">
        <f>13600</f>
        <v>13600</v>
      </c>
      <c r="N253" s="32" t="s">
        <v>996</v>
      </c>
      <c r="O253" s="31">
        <f>12695</f>
        <v>12695</v>
      </c>
      <c r="P253" s="32" t="s">
        <v>789</v>
      </c>
      <c r="Q253" s="31">
        <f>12905</f>
        <v>12905</v>
      </c>
      <c r="R253" s="32" t="s">
        <v>791</v>
      </c>
      <c r="S253" s="33">
        <f>13052.62</f>
        <v>13052.62</v>
      </c>
      <c r="T253" s="30">
        <f>955</f>
        <v>955</v>
      </c>
      <c r="U253" s="30" t="str">
        <f>"－"</f>
        <v>－</v>
      </c>
      <c r="V253" s="30">
        <f>12368930</f>
        <v>12368930</v>
      </c>
      <c r="W253" s="30" t="str">
        <f>"－"</f>
        <v>－</v>
      </c>
      <c r="X253" s="34">
        <f>21</f>
        <v>21</v>
      </c>
    </row>
    <row r="254" spans="1:24" ht="13.5" customHeight="1" x14ac:dyDescent="0.15">
      <c r="A254" s="25" t="s">
        <v>1182</v>
      </c>
      <c r="B254" s="25" t="s">
        <v>706</v>
      </c>
      <c r="C254" s="25" t="s">
        <v>707</v>
      </c>
      <c r="D254" s="25" t="s">
        <v>708</v>
      </c>
      <c r="E254" s="26" t="s">
        <v>45</v>
      </c>
      <c r="F254" s="27" t="s">
        <v>45</v>
      </c>
      <c r="G254" s="28" t="s">
        <v>45</v>
      </c>
      <c r="H254" s="29"/>
      <c r="I254" s="29" t="s">
        <v>46</v>
      </c>
      <c r="J254" s="30">
        <v>1</v>
      </c>
      <c r="K254" s="31">
        <f>2007</f>
        <v>2007</v>
      </c>
      <c r="L254" s="32" t="s">
        <v>999</v>
      </c>
      <c r="M254" s="31">
        <f>2010</f>
        <v>2010</v>
      </c>
      <c r="N254" s="32" t="s">
        <v>999</v>
      </c>
      <c r="O254" s="31">
        <f>1928</f>
        <v>1928</v>
      </c>
      <c r="P254" s="32" t="s">
        <v>793</v>
      </c>
      <c r="Q254" s="31">
        <f>1949</f>
        <v>1949</v>
      </c>
      <c r="R254" s="32" t="s">
        <v>791</v>
      </c>
      <c r="S254" s="33">
        <f>1962.29</f>
        <v>1962.29</v>
      </c>
      <c r="T254" s="30">
        <f>120301</f>
        <v>120301</v>
      </c>
      <c r="U254" s="30">
        <f>76</f>
        <v>76</v>
      </c>
      <c r="V254" s="30">
        <f>234737961</f>
        <v>234737961</v>
      </c>
      <c r="W254" s="30">
        <f>137346</f>
        <v>137346</v>
      </c>
      <c r="X254" s="34">
        <f>21</f>
        <v>21</v>
      </c>
    </row>
    <row r="255" spans="1:24" ht="13.5" customHeight="1" x14ac:dyDescent="0.15">
      <c r="A255" s="25" t="s">
        <v>1182</v>
      </c>
      <c r="B255" s="25" t="s">
        <v>709</v>
      </c>
      <c r="C255" s="25" t="s">
        <v>710</v>
      </c>
      <c r="D255" s="25" t="s">
        <v>711</v>
      </c>
      <c r="E255" s="26" t="s">
        <v>45</v>
      </c>
      <c r="F255" s="27" t="s">
        <v>45</v>
      </c>
      <c r="G255" s="28" t="s">
        <v>45</v>
      </c>
      <c r="H255" s="29"/>
      <c r="I255" s="29" t="s">
        <v>46</v>
      </c>
      <c r="J255" s="30">
        <v>10</v>
      </c>
      <c r="K255" s="31">
        <f>1500</f>
        <v>1500</v>
      </c>
      <c r="L255" s="32" t="s">
        <v>996</v>
      </c>
      <c r="M255" s="31">
        <f>1581.5</f>
        <v>1581.5</v>
      </c>
      <c r="N255" s="32" t="s">
        <v>792</v>
      </c>
      <c r="O255" s="31">
        <f>1462</f>
        <v>1462</v>
      </c>
      <c r="P255" s="32" t="s">
        <v>793</v>
      </c>
      <c r="Q255" s="31">
        <f>1511</f>
        <v>1511</v>
      </c>
      <c r="R255" s="32" t="s">
        <v>893</v>
      </c>
      <c r="S255" s="33">
        <f>1508.11</f>
        <v>1508.11</v>
      </c>
      <c r="T255" s="30">
        <f>720</f>
        <v>720</v>
      </c>
      <c r="U255" s="30" t="str">
        <f>"－"</f>
        <v>－</v>
      </c>
      <c r="V255" s="30">
        <f>1086350</f>
        <v>1086350</v>
      </c>
      <c r="W255" s="30" t="str">
        <f>"－"</f>
        <v>－</v>
      </c>
      <c r="X255" s="34">
        <f>9</f>
        <v>9</v>
      </c>
    </row>
    <row r="256" spans="1:24" ht="13.5" customHeight="1" x14ac:dyDescent="0.15">
      <c r="A256" s="25" t="s">
        <v>1182</v>
      </c>
      <c r="B256" s="25" t="s">
        <v>712</v>
      </c>
      <c r="C256" s="25" t="s">
        <v>795</v>
      </c>
      <c r="D256" s="25" t="s">
        <v>796</v>
      </c>
      <c r="E256" s="26" t="s">
        <v>45</v>
      </c>
      <c r="F256" s="27" t="s">
        <v>45</v>
      </c>
      <c r="G256" s="28" t="s">
        <v>45</v>
      </c>
      <c r="H256" s="29"/>
      <c r="I256" s="29" t="s">
        <v>46</v>
      </c>
      <c r="J256" s="30">
        <v>10</v>
      </c>
      <c r="K256" s="31">
        <f>800.8</f>
        <v>800.8</v>
      </c>
      <c r="L256" s="32" t="s">
        <v>999</v>
      </c>
      <c r="M256" s="31">
        <f>802.4</f>
        <v>802.4</v>
      </c>
      <c r="N256" s="32" t="s">
        <v>787</v>
      </c>
      <c r="O256" s="31">
        <f>785</f>
        <v>785</v>
      </c>
      <c r="P256" s="32" t="s">
        <v>80</v>
      </c>
      <c r="Q256" s="31">
        <f>791.7</f>
        <v>791.7</v>
      </c>
      <c r="R256" s="32" t="s">
        <v>791</v>
      </c>
      <c r="S256" s="33">
        <f>793.61</f>
        <v>793.61</v>
      </c>
      <c r="T256" s="30">
        <f>296800</f>
        <v>296800</v>
      </c>
      <c r="U256" s="30" t="str">
        <f>"－"</f>
        <v>－</v>
      </c>
      <c r="V256" s="30">
        <f>235635413</f>
        <v>235635413</v>
      </c>
      <c r="W256" s="30" t="str">
        <f>"－"</f>
        <v>－</v>
      </c>
      <c r="X256" s="34">
        <f>21</f>
        <v>21</v>
      </c>
    </row>
    <row r="257" spans="1:24" ht="13.5" customHeight="1" x14ac:dyDescent="0.15">
      <c r="A257" s="25" t="s">
        <v>1182</v>
      </c>
      <c r="B257" s="25" t="s">
        <v>713</v>
      </c>
      <c r="C257" s="25" t="s">
        <v>714</v>
      </c>
      <c r="D257" s="25" t="s">
        <v>715</v>
      </c>
      <c r="E257" s="26" t="s">
        <v>45</v>
      </c>
      <c r="F257" s="27" t="s">
        <v>45</v>
      </c>
      <c r="G257" s="28" t="s">
        <v>45</v>
      </c>
      <c r="H257" s="29"/>
      <c r="I257" s="29" t="s">
        <v>46</v>
      </c>
      <c r="J257" s="30">
        <v>10</v>
      </c>
      <c r="K257" s="31">
        <f>1921</f>
        <v>1921</v>
      </c>
      <c r="L257" s="32" t="s">
        <v>999</v>
      </c>
      <c r="M257" s="31">
        <f>1921.5</f>
        <v>1921.5</v>
      </c>
      <c r="N257" s="32" t="s">
        <v>999</v>
      </c>
      <c r="O257" s="31">
        <f>1844.5</f>
        <v>1844.5</v>
      </c>
      <c r="P257" s="32" t="s">
        <v>793</v>
      </c>
      <c r="Q257" s="31">
        <f>1862</f>
        <v>1862</v>
      </c>
      <c r="R257" s="32" t="s">
        <v>791</v>
      </c>
      <c r="S257" s="33">
        <f>1876.93</f>
        <v>1876.93</v>
      </c>
      <c r="T257" s="30">
        <f>1756020</f>
        <v>1756020</v>
      </c>
      <c r="U257" s="30">
        <f>846640</f>
        <v>846640</v>
      </c>
      <c r="V257" s="30">
        <f>3295006837</f>
        <v>3295006837</v>
      </c>
      <c r="W257" s="30">
        <f>1588995002</f>
        <v>1588995002</v>
      </c>
      <c r="X257" s="34">
        <f>21</f>
        <v>21</v>
      </c>
    </row>
    <row r="258" spans="1:24" ht="13.5" customHeight="1" x14ac:dyDescent="0.15">
      <c r="A258" s="25" t="s">
        <v>1182</v>
      </c>
      <c r="B258" s="25" t="s">
        <v>716</v>
      </c>
      <c r="C258" s="25" t="s">
        <v>717</v>
      </c>
      <c r="D258" s="25" t="s">
        <v>718</v>
      </c>
      <c r="E258" s="26" t="s">
        <v>45</v>
      </c>
      <c r="F258" s="27" t="s">
        <v>45</v>
      </c>
      <c r="G258" s="28" t="s">
        <v>45</v>
      </c>
      <c r="H258" s="29"/>
      <c r="I258" s="29" t="s">
        <v>46</v>
      </c>
      <c r="J258" s="30">
        <v>10</v>
      </c>
      <c r="K258" s="31">
        <f>1920</f>
        <v>1920</v>
      </c>
      <c r="L258" s="32" t="s">
        <v>999</v>
      </c>
      <c r="M258" s="31">
        <f>1924</f>
        <v>1924</v>
      </c>
      <c r="N258" s="32" t="s">
        <v>999</v>
      </c>
      <c r="O258" s="31">
        <f>1835.5</f>
        <v>1835.5</v>
      </c>
      <c r="P258" s="32" t="s">
        <v>793</v>
      </c>
      <c r="Q258" s="31">
        <f>1855</f>
        <v>1855</v>
      </c>
      <c r="R258" s="32" t="s">
        <v>791</v>
      </c>
      <c r="S258" s="33">
        <f>1870.17</f>
        <v>1870.17</v>
      </c>
      <c r="T258" s="30">
        <f>1474070</f>
        <v>1474070</v>
      </c>
      <c r="U258" s="30">
        <f>757200</f>
        <v>757200</v>
      </c>
      <c r="V258" s="30">
        <f>2759237135</f>
        <v>2759237135</v>
      </c>
      <c r="W258" s="30">
        <f>1422547640</f>
        <v>1422547640</v>
      </c>
      <c r="X258" s="34">
        <f>21</f>
        <v>21</v>
      </c>
    </row>
    <row r="259" spans="1:24" ht="13.5" customHeight="1" x14ac:dyDescent="0.15">
      <c r="A259" s="25" t="s">
        <v>1182</v>
      </c>
      <c r="B259" s="25" t="s">
        <v>719</v>
      </c>
      <c r="C259" s="25" t="s">
        <v>720</v>
      </c>
      <c r="D259" s="25" t="s">
        <v>721</v>
      </c>
      <c r="E259" s="26" t="s">
        <v>45</v>
      </c>
      <c r="F259" s="27" t="s">
        <v>45</v>
      </c>
      <c r="G259" s="28" t="s">
        <v>45</v>
      </c>
      <c r="H259" s="29"/>
      <c r="I259" s="29" t="s">
        <v>46</v>
      </c>
      <c r="J259" s="30">
        <v>10</v>
      </c>
      <c r="K259" s="31">
        <f>2377</f>
        <v>2377</v>
      </c>
      <c r="L259" s="32" t="s">
        <v>999</v>
      </c>
      <c r="M259" s="31">
        <f>2395</f>
        <v>2395</v>
      </c>
      <c r="N259" s="32" t="s">
        <v>999</v>
      </c>
      <c r="O259" s="31">
        <f>2220</f>
        <v>2220</v>
      </c>
      <c r="P259" s="32" t="s">
        <v>793</v>
      </c>
      <c r="Q259" s="31">
        <f>2272</f>
        <v>2272</v>
      </c>
      <c r="R259" s="32" t="s">
        <v>791</v>
      </c>
      <c r="S259" s="33">
        <f>2293.62</f>
        <v>2293.62</v>
      </c>
      <c r="T259" s="30">
        <f>3900080</f>
        <v>3900080</v>
      </c>
      <c r="U259" s="30">
        <f>1320850</f>
        <v>1320850</v>
      </c>
      <c r="V259" s="30">
        <f>8903732030</f>
        <v>8903732030</v>
      </c>
      <c r="W259" s="30">
        <f>3016625980</f>
        <v>3016625980</v>
      </c>
      <c r="X259" s="34">
        <f>21</f>
        <v>21</v>
      </c>
    </row>
    <row r="260" spans="1:24" ht="13.5" customHeight="1" x14ac:dyDescent="0.15">
      <c r="A260" s="25" t="s">
        <v>1182</v>
      </c>
      <c r="B260" s="25" t="s">
        <v>722</v>
      </c>
      <c r="C260" s="25" t="s">
        <v>723</v>
      </c>
      <c r="D260" s="25" t="s">
        <v>724</v>
      </c>
      <c r="E260" s="26" t="s">
        <v>45</v>
      </c>
      <c r="F260" s="27" t="s">
        <v>45</v>
      </c>
      <c r="G260" s="28" t="s">
        <v>45</v>
      </c>
      <c r="H260" s="29"/>
      <c r="I260" s="29" t="s">
        <v>46</v>
      </c>
      <c r="J260" s="30">
        <v>1</v>
      </c>
      <c r="K260" s="31">
        <f>18540</f>
        <v>18540</v>
      </c>
      <c r="L260" s="32" t="s">
        <v>999</v>
      </c>
      <c r="M260" s="31">
        <f>18870</f>
        <v>18870</v>
      </c>
      <c r="N260" s="32" t="s">
        <v>787</v>
      </c>
      <c r="O260" s="31">
        <f>17795</f>
        <v>17795</v>
      </c>
      <c r="P260" s="32" t="s">
        <v>893</v>
      </c>
      <c r="Q260" s="31">
        <f>17970</f>
        <v>17970</v>
      </c>
      <c r="R260" s="32" t="s">
        <v>791</v>
      </c>
      <c r="S260" s="33">
        <f>18404.05</f>
        <v>18404.05</v>
      </c>
      <c r="T260" s="30">
        <f>751417</f>
        <v>751417</v>
      </c>
      <c r="U260" s="30">
        <f>47397</f>
        <v>47397</v>
      </c>
      <c r="V260" s="30">
        <f>13754095401</f>
        <v>13754095401</v>
      </c>
      <c r="W260" s="30">
        <f>865613106</f>
        <v>865613106</v>
      </c>
      <c r="X260" s="34">
        <f>21</f>
        <v>21</v>
      </c>
    </row>
    <row r="261" spans="1:24" ht="13.5" customHeight="1" x14ac:dyDescent="0.15">
      <c r="A261" s="25" t="s">
        <v>1182</v>
      </c>
      <c r="B261" s="25" t="s">
        <v>725</v>
      </c>
      <c r="C261" s="25" t="s">
        <v>726</v>
      </c>
      <c r="D261" s="25" t="s">
        <v>727</v>
      </c>
      <c r="E261" s="26" t="s">
        <v>45</v>
      </c>
      <c r="F261" s="27" t="s">
        <v>45</v>
      </c>
      <c r="G261" s="28" t="s">
        <v>45</v>
      </c>
      <c r="H261" s="29"/>
      <c r="I261" s="29" t="s">
        <v>46</v>
      </c>
      <c r="J261" s="30">
        <v>1</v>
      </c>
      <c r="K261" s="31">
        <f>16390</f>
        <v>16390</v>
      </c>
      <c r="L261" s="32" t="s">
        <v>999</v>
      </c>
      <c r="M261" s="31">
        <f>16590</f>
        <v>16590</v>
      </c>
      <c r="N261" s="32" t="s">
        <v>787</v>
      </c>
      <c r="O261" s="31">
        <f>15625</f>
        <v>15625</v>
      </c>
      <c r="P261" s="32" t="s">
        <v>893</v>
      </c>
      <c r="Q261" s="31">
        <f>15735</f>
        <v>15735</v>
      </c>
      <c r="R261" s="32" t="s">
        <v>791</v>
      </c>
      <c r="S261" s="33">
        <f>16144.52</f>
        <v>16144.52</v>
      </c>
      <c r="T261" s="30">
        <f>278241</f>
        <v>278241</v>
      </c>
      <c r="U261" s="30" t="str">
        <f>"－"</f>
        <v>－</v>
      </c>
      <c r="V261" s="30">
        <f>4486008295</f>
        <v>4486008295</v>
      </c>
      <c r="W261" s="30" t="str">
        <f>"－"</f>
        <v>－</v>
      </c>
      <c r="X261" s="34">
        <f>21</f>
        <v>21</v>
      </c>
    </row>
    <row r="262" spans="1:24" ht="13.5" customHeight="1" x14ac:dyDescent="0.15">
      <c r="A262" s="25" t="s">
        <v>1182</v>
      </c>
      <c r="B262" s="25" t="s">
        <v>728</v>
      </c>
      <c r="C262" s="25" t="s">
        <v>729</v>
      </c>
      <c r="D262" s="25" t="s">
        <v>730</v>
      </c>
      <c r="E262" s="26" t="s">
        <v>45</v>
      </c>
      <c r="F262" s="27" t="s">
        <v>45</v>
      </c>
      <c r="G262" s="28" t="s">
        <v>45</v>
      </c>
      <c r="H262" s="29"/>
      <c r="I262" s="29" t="s">
        <v>46</v>
      </c>
      <c r="J262" s="30">
        <v>1</v>
      </c>
      <c r="K262" s="31">
        <f>31000</f>
        <v>31000</v>
      </c>
      <c r="L262" s="32" t="s">
        <v>996</v>
      </c>
      <c r="M262" s="31">
        <f>31000</f>
        <v>31000</v>
      </c>
      <c r="N262" s="32" t="s">
        <v>996</v>
      </c>
      <c r="O262" s="31">
        <f>29885</f>
        <v>29885</v>
      </c>
      <c r="P262" s="32" t="s">
        <v>893</v>
      </c>
      <c r="Q262" s="31">
        <f>29885</f>
        <v>29885</v>
      </c>
      <c r="R262" s="32" t="s">
        <v>893</v>
      </c>
      <c r="S262" s="33">
        <f>30371.43</f>
        <v>30371.43</v>
      </c>
      <c r="T262" s="30">
        <f>60</f>
        <v>60</v>
      </c>
      <c r="U262" s="30" t="str">
        <f>"－"</f>
        <v>－</v>
      </c>
      <c r="V262" s="30">
        <f>1815115</f>
        <v>1815115</v>
      </c>
      <c r="W262" s="30" t="str">
        <f>"－"</f>
        <v>－</v>
      </c>
      <c r="X262" s="34">
        <f>7</f>
        <v>7</v>
      </c>
    </row>
    <row r="263" spans="1:24" ht="13.5" customHeight="1" x14ac:dyDescent="0.15">
      <c r="A263" s="25" t="s">
        <v>1182</v>
      </c>
      <c r="B263" s="25" t="s">
        <v>731</v>
      </c>
      <c r="C263" s="25" t="s">
        <v>732</v>
      </c>
      <c r="D263" s="25" t="s">
        <v>733</v>
      </c>
      <c r="E263" s="26" t="s">
        <v>45</v>
      </c>
      <c r="F263" s="27" t="s">
        <v>45</v>
      </c>
      <c r="G263" s="28" t="s">
        <v>45</v>
      </c>
      <c r="H263" s="29"/>
      <c r="I263" s="29" t="s">
        <v>46</v>
      </c>
      <c r="J263" s="30">
        <v>1</v>
      </c>
      <c r="K263" s="31">
        <f>2451</f>
        <v>2451</v>
      </c>
      <c r="L263" s="32" t="s">
        <v>999</v>
      </c>
      <c r="M263" s="31">
        <f>2458</f>
        <v>2458</v>
      </c>
      <c r="N263" s="32" t="s">
        <v>78</v>
      </c>
      <c r="O263" s="31">
        <f>2380</f>
        <v>2380</v>
      </c>
      <c r="P263" s="32" t="s">
        <v>791</v>
      </c>
      <c r="Q263" s="31">
        <f>2384</f>
        <v>2384</v>
      </c>
      <c r="R263" s="32" t="s">
        <v>791</v>
      </c>
      <c r="S263" s="33">
        <f>2418.52</f>
        <v>2418.52</v>
      </c>
      <c r="T263" s="30">
        <f>638692</f>
        <v>638692</v>
      </c>
      <c r="U263" s="30">
        <f>558257</f>
        <v>558257</v>
      </c>
      <c r="V263" s="30">
        <f>1548784487</f>
        <v>1548784487</v>
      </c>
      <c r="W263" s="30">
        <f>1353731316</f>
        <v>1353731316</v>
      </c>
      <c r="X263" s="34">
        <f>21</f>
        <v>21</v>
      </c>
    </row>
    <row r="264" spans="1:24" ht="13.5" customHeight="1" x14ac:dyDescent="0.15">
      <c r="A264" s="25" t="s">
        <v>1182</v>
      </c>
      <c r="B264" s="25" t="s">
        <v>734</v>
      </c>
      <c r="C264" s="25" t="s">
        <v>735</v>
      </c>
      <c r="D264" s="25" t="s">
        <v>736</v>
      </c>
      <c r="E264" s="26" t="s">
        <v>45</v>
      </c>
      <c r="F264" s="27" t="s">
        <v>45</v>
      </c>
      <c r="G264" s="28" t="s">
        <v>45</v>
      </c>
      <c r="H264" s="29"/>
      <c r="I264" s="29" t="s">
        <v>46</v>
      </c>
      <c r="J264" s="30">
        <v>10</v>
      </c>
      <c r="K264" s="31">
        <f>2702.5</f>
        <v>2702.5</v>
      </c>
      <c r="L264" s="32" t="s">
        <v>999</v>
      </c>
      <c r="M264" s="31">
        <f>2775</f>
        <v>2775</v>
      </c>
      <c r="N264" s="32" t="s">
        <v>56</v>
      </c>
      <c r="O264" s="31">
        <f>2595.5</f>
        <v>2595.5</v>
      </c>
      <c r="P264" s="32" t="s">
        <v>893</v>
      </c>
      <c r="Q264" s="31">
        <f>2622.5</f>
        <v>2622.5</v>
      </c>
      <c r="R264" s="32" t="s">
        <v>791</v>
      </c>
      <c r="S264" s="33">
        <f>2675.02</f>
        <v>2675.02</v>
      </c>
      <c r="T264" s="30">
        <f>1569270</f>
        <v>1569270</v>
      </c>
      <c r="U264" s="30">
        <f>1344970</f>
        <v>1344970</v>
      </c>
      <c r="V264" s="30">
        <f>4201281376</f>
        <v>4201281376</v>
      </c>
      <c r="W264" s="30">
        <f>3601653436</f>
        <v>3601653436</v>
      </c>
      <c r="X264" s="34">
        <f>21</f>
        <v>21</v>
      </c>
    </row>
    <row r="265" spans="1:24" ht="13.5" customHeight="1" x14ac:dyDescent="0.15">
      <c r="A265" s="25" t="s">
        <v>1182</v>
      </c>
      <c r="B265" s="25" t="s">
        <v>737</v>
      </c>
      <c r="C265" s="25" t="s">
        <v>738</v>
      </c>
      <c r="D265" s="25" t="s">
        <v>739</v>
      </c>
      <c r="E265" s="26" t="s">
        <v>45</v>
      </c>
      <c r="F265" s="27" t="s">
        <v>45</v>
      </c>
      <c r="G265" s="28" t="s">
        <v>45</v>
      </c>
      <c r="H265" s="29"/>
      <c r="I265" s="29" t="s">
        <v>46</v>
      </c>
      <c r="J265" s="30">
        <v>10</v>
      </c>
      <c r="K265" s="31">
        <f>259.9</f>
        <v>259.89999999999998</v>
      </c>
      <c r="L265" s="32" t="s">
        <v>999</v>
      </c>
      <c r="M265" s="31">
        <f>264.8</f>
        <v>264.8</v>
      </c>
      <c r="N265" s="32" t="s">
        <v>787</v>
      </c>
      <c r="O265" s="31">
        <f>248.2</f>
        <v>248.2</v>
      </c>
      <c r="P265" s="32" t="s">
        <v>893</v>
      </c>
      <c r="Q265" s="31">
        <f>249.5</f>
        <v>249.5</v>
      </c>
      <c r="R265" s="32" t="s">
        <v>791</v>
      </c>
      <c r="S265" s="33">
        <f>257.33</f>
        <v>257.33</v>
      </c>
      <c r="T265" s="30">
        <f>59603530</f>
        <v>59603530</v>
      </c>
      <c r="U265" s="30">
        <f>12216190</f>
        <v>12216190</v>
      </c>
      <c r="V265" s="30">
        <f>15290217593</f>
        <v>15290217593</v>
      </c>
      <c r="W265" s="30">
        <f>3140244006</f>
        <v>3140244006</v>
      </c>
      <c r="X265" s="34">
        <f>21</f>
        <v>21</v>
      </c>
    </row>
    <row r="266" spans="1:24" ht="13.5" customHeight="1" x14ac:dyDescent="0.15">
      <c r="A266" s="25" t="s">
        <v>1182</v>
      </c>
      <c r="B266" s="25" t="s">
        <v>740</v>
      </c>
      <c r="C266" s="25" t="s">
        <v>741</v>
      </c>
      <c r="D266" s="25" t="s">
        <v>742</v>
      </c>
      <c r="E266" s="26" t="s">
        <v>45</v>
      </c>
      <c r="F266" s="27" t="s">
        <v>45</v>
      </c>
      <c r="G266" s="28" t="s">
        <v>45</v>
      </c>
      <c r="H266" s="29"/>
      <c r="I266" s="29" t="s">
        <v>46</v>
      </c>
      <c r="J266" s="30">
        <v>1</v>
      </c>
      <c r="K266" s="31">
        <f>2573</f>
        <v>2573</v>
      </c>
      <c r="L266" s="32" t="s">
        <v>999</v>
      </c>
      <c r="M266" s="31">
        <f>2573</f>
        <v>2573</v>
      </c>
      <c r="N266" s="32" t="s">
        <v>999</v>
      </c>
      <c r="O266" s="31">
        <f>2374</f>
        <v>2374</v>
      </c>
      <c r="P266" s="32" t="s">
        <v>793</v>
      </c>
      <c r="Q266" s="31">
        <f>2463</f>
        <v>2463</v>
      </c>
      <c r="R266" s="32" t="s">
        <v>791</v>
      </c>
      <c r="S266" s="33">
        <f>2480.9</f>
        <v>2480.9</v>
      </c>
      <c r="T266" s="30">
        <f>1908371</f>
        <v>1908371</v>
      </c>
      <c r="U266" s="30">
        <f>104408</f>
        <v>104408</v>
      </c>
      <c r="V266" s="30">
        <f>4745373336</f>
        <v>4745373336</v>
      </c>
      <c r="W266" s="30">
        <f>255405516</f>
        <v>255405516</v>
      </c>
      <c r="X266" s="34">
        <f>21</f>
        <v>21</v>
      </c>
    </row>
    <row r="267" spans="1:24" ht="13.5" customHeight="1" x14ac:dyDescent="0.15">
      <c r="A267" s="25" t="s">
        <v>1182</v>
      </c>
      <c r="B267" s="25" t="s">
        <v>743</v>
      </c>
      <c r="C267" s="25" t="s">
        <v>744</v>
      </c>
      <c r="D267" s="25" t="s">
        <v>745</v>
      </c>
      <c r="E267" s="26" t="s">
        <v>45</v>
      </c>
      <c r="F267" s="27" t="s">
        <v>45</v>
      </c>
      <c r="G267" s="28" t="s">
        <v>45</v>
      </c>
      <c r="H267" s="29"/>
      <c r="I267" s="29" t="s">
        <v>46</v>
      </c>
      <c r="J267" s="30">
        <v>1</v>
      </c>
      <c r="K267" s="31">
        <f>939</f>
        <v>939</v>
      </c>
      <c r="L267" s="32" t="s">
        <v>999</v>
      </c>
      <c r="M267" s="31">
        <f>953</f>
        <v>953</v>
      </c>
      <c r="N267" s="32" t="s">
        <v>787</v>
      </c>
      <c r="O267" s="31">
        <f>907</f>
        <v>907</v>
      </c>
      <c r="P267" s="32" t="s">
        <v>785</v>
      </c>
      <c r="Q267" s="31">
        <f>920</f>
        <v>920</v>
      </c>
      <c r="R267" s="32" t="s">
        <v>791</v>
      </c>
      <c r="S267" s="33">
        <f>930.33</f>
        <v>930.33</v>
      </c>
      <c r="T267" s="30">
        <f>1360057</f>
        <v>1360057</v>
      </c>
      <c r="U267" s="30">
        <f>210004</f>
        <v>210004</v>
      </c>
      <c r="V267" s="30">
        <f>1262471621</f>
        <v>1262471621</v>
      </c>
      <c r="W267" s="30">
        <f>198306789</f>
        <v>198306789</v>
      </c>
      <c r="X267" s="34">
        <f>21</f>
        <v>21</v>
      </c>
    </row>
    <row r="268" spans="1:24" ht="13.5" customHeight="1" x14ac:dyDescent="0.15">
      <c r="A268" s="25" t="s">
        <v>1182</v>
      </c>
      <c r="B268" s="25" t="s">
        <v>746</v>
      </c>
      <c r="C268" s="25" t="s">
        <v>747</v>
      </c>
      <c r="D268" s="25" t="s">
        <v>748</v>
      </c>
      <c r="E268" s="26" t="s">
        <v>45</v>
      </c>
      <c r="F268" s="27" t="s">
        <v>45</v>
      </c>
      <c r="G268" s="28" t="s">
        <v>45</v>
      </c>
      <c r="H268" s="29"/>
      <c r="I268" s="29" t="s">
        <v>46</v>
      </c>
      <c r="J268" s="30">
        <v>10</v>
      </c>
      <c r="K268" s="31">
        <f>1054.5</f>
        <v>1054.5</v>
      </c>
      <c r="L268" s="32" t="s">
        <v>999</v>
      </c>
      <c r="M268" s="31">
        <f>1057</f>
        <v>1057</v>
      </c>
      <c r="N268" s="32" t="s">
        <v>999</v>
      </c>
      <c r="O268" s="31">
        <f>1011</f>
        <v>1011</v>
      </c>
      <c r="P268" s="32" t="s">
        <v>793</v>
      </c>
      <c r="Q268" s="31">
        <f>1016</f>
        <v>1016</v>
      </c>
      <c r="R268" s="32" t="s">
        <v>791</v>
      </c>
      <c r="S268" s="33">
        <f>1028.6</f>
        <v>1028.5999999999999</v>
      </c>
      <c r="T268" s="30">
        <f>393560</f>
        <v>393560</v>
      </c>
      <c r="U268" s="30">
        <f>300020</f>
        <v>300020</v>
      </c>
      <c r="V268" s="30">
        <f>404192935</f>
        <v>404192935</v>
      </c>
      <c r="W268" s="30">
        <f>307840320</f>
        <v>307840320</v>
      </c>
      <c r="X268" s="34">
        <f>21</f>
        <v>21</v>
      </c>
    </row>
    <row r="269" spans="1:24" ht="13.5" customHeight="1" x14ac:dyDescent="0.15">
      <c r="A269" s="25" t="s">
        <v>1182</v>
      </c>
      <c r="B269" s="25" t="s">
        <v>749</v>
      </c>
      <c r="C269" s="25" t="s">
        <v>750</v>
      </c>
      <c r="D269" s="25" t="s">
        <v>751</v>
      </c>
      <c r="E269" s="26" t="s">
        <v>45</v>
      </c>
      <c r="F269" s="27" t="s">
        <v>45</v>
      </c>
      <c r="G269" s="28" t="s">
        <v>45</v>
      </c>
      <c r="H269" s="29"/>
      <c r="I269" s="29" t="s">
        <v>46</v>
      </c>
      <c r="J269" s="30">
        <v>10</v>
      </c>
      <c r="K269" s="31">
        <f>319</f>
        <v>319</v>
      </c>
      <c r="L269" s="32" t="s">
        <v>999</v>
      </c>
      <c r="M269" s="31">
        <f>326.7</f>
        <v>326.7</v>
      </c>
      <c r="N269" s="32" t="s">
        <v>786</v>
      </c>
      <c r="O269" s="31">
        <f>295.6</f>
        <v>295.60000000000002</v>
      </c>
      <c r="P269" s="32" t="s">
        <v>793</v>
      </c>
      <c r="Q269" s="31">
        <f>307.8</f>
        <v>307.8</v>
      </c>
      <c r="R269" s="32" t="s">
        <v>893</v>
      </c>
      <c r="S269" s="33">
        <f>309.59</f>
        <v>309.58999999999997</v>
      </c>
      <c r="T269" s="30">
        <f>63950</f>
        <v>63950</v>
      </c>
      <c r="U269" s="30">
        <f>50000</f>
        <v>50000</v>
      </c>
      <c r="V269" s="30">
        <f>19494394</f>
        <v>19494394</v>
      </c>
      <c r="W269" s="30">
        <f>15182500</f>
        <v>15182500</v>
      </c>
      <c r="X269" s="34">
        <f>17</f>
        <v>17</v>
      </c>
    </row>
    <row r="270" spans="1:24" ht="13.5" customHeight="1" x14ac:dyDescent="0.15">
      <c r="A270" s="25" t="s">
        <v>1182</v>
      </c>
      <c r="B270" s="25" t="s">
        <v>752</v>
      </c>
      <c r="C270" s="25" t="s">
        <v>753</v>
      </c>
      <c r="D270" s="25" t="s">
        <v>754</v>
      </c>
      <c r="E270" s="26" t="s">
        <v>45</v>
      </c>
      <c r="F270" s="27" t="s">
        <v>45</v>
      </c>
      <c r="G270" s="28" t="s">
        <v>45</v>
      </c>
      <c r="H270" s="29"/>
      <c r="I270" s="29" t="s">
        <v>46</v>
      </c>
      <c r="J270" s="30">
        <v>10</v>
      </c>
      <c r="K270" s="31">
        <f>3804</f>
        <v>3804</v>
      </c>
      <c r="L270" s="32" t="s">
        <v>999</v>
      </c>
      <c r="M270" s="31">
        <f>3924</f>
        <v>3924</v>
      </c>
      <c r="N270" s="32" t="s">
        <v>787</v>
      </c>
      <c r="O270" s="31">
        <f>3664</f>
        <v>3664</v>
      </c>
      <c r="P270" s="32" t="s">
        <v>893</v>
      </c>
      <c r="Q270" s="31">
        <f>3680</f>
        <v>3680</v>
      </c>
      <c r="R270" s="32" t="s">
        <v>791</v>
      </c>
      <c r="S270" s="33">
        <f>3797.86</f>
        <v>3797.86</v>
      </c>
      <c r="T270" s="30">
        <f>2359460</f>
        <v>2359460</v>
      </c>
      <c r="U270" s="30">
        <f>259500</f>
        <v>259500</v>
      </c>
      <c r="V270" s="30">
        <f>8980076925</f>
        <v>8980076925</v>
      </c>
      <c r="W270" s="30">
        <f>998379895</f>
        <v>998379895</v>
      </c>
      <c r="X270" s="34">
        <f>21</f>
        <v>21</v>
      </c>
    </row>
    <row r="271" spans="1:24" ht="13.5" customHeight="1" x14ac:dyDescent="0.15">
      <c r="A271" s="25" t="s">
        <v>1182</v>
      </c>
      <c r="B271" s="25" t="s">
        <v>755</v>
      </c>
      <c r="C271" s="25" t="s">
        <v>756</v>
      </c>
      <c r="D271" s="25" t="s">
        <v>757</v>
      </c>
      <c r="E271" s="26" t="s">
        <v>45</v>
      </c>
      <c r="F271" s="27" t="s">
        <v>45</v>
      </c>
      <c r="G271" s="28" t="s">
        <v>45</v>
      </c>
      <c r="H271" s="29"/>
      <c r="I271" s="29" t="s">
        <v>46</v>
      </c>
      <c r="J271" s="30">
        <v>10</v>
      </c>
      <c r="K271" s="31">
        <f>2454</f>
        <v>2454</v>
      </c>
      <c r="L271" s="32" t="s">
        <v>999</v>
      </c>
      <c r="M271" s="31">
        <f>2531</f>
        <v>2531</v>
      </c>
      <c r="N271" s="32" t="s">
        <v>787</v>
      </c>
      <c r="O271" s="31">
        <f>2341</f>
        <v>2341</v>
      </c>
      <c r="P271" s="32" t="s">
        <v>255</v>
      </c>
      <c r="Q271" s="31">
        <f>2360</f>
        <v>2360</v>
      </c>
      <c r="R271" s="32" t="s">
        <v>791</v>
      </c>
      <c r="S271" s="33">
        <f>2442.71</f>
        <v>2442.71</v>
      </c>
      <c r="T271" s="30">
        <f>4710320</f>
        <v>4710320</v>
      </c>
      <c r="U271" s="30">
        <f>1420000</f>
        <v>1420000</v>
      </c>
      <c r="V271" s="30">
        <f>11488647904</f>
        <v>11488647904</v>
      </c>
      <c r="W271" s="30">
        <f>3485399564</f>
        <v>3485399564</v>
      </c>
      <c r="X271" s="34">
        <f>21</f>
        <v>21</v>
      </c>
    </row>
    <row r="272" spans="1:24" ht="13.5" customHeight="1" x14ac:dyDescent="0.15">
      <c r="A272" s="25" t="s">
        <v>1182</v>
      </c>
      <c r="B272" s="25" t="s">
        <v>758</v>
      </c>
      <c r="C272" s="25" t="s">
        <v>759</v>
      </c>
      <c r="D272" s="25" t="s">
        <v>760</v>
      </c>
      <c r="E272" s="26" t="s">
        <v>45</v>
      </c>
      <c r="F272" s="27" t="s">
        <v>45</v>
      </c>
      <c r="G272" s="28" t="s">
        <v>45</v>
      </c>
      <c r="H272" s="29"/>
      <c r="I272" s="29" t="s">
        <v>46</v>
      </c>
      <c r="J272" s="30">
        <v>10</v>
      </c>
      <c r="K272" s="31">
        <f>333.1</f>
        <v>333.1</v>
      </c>
      <c r="L272" s="32" t="s">
        <v>999</v>
      </c>
      <c r="M272" s="31">
        <f>334.7</f>
        <v>334.7</v>
      </c>
      <c r="N272" s="32" t="s">
        <v>255</v>
      </c>
      <c r="O272" s="31">
        <f>328.8</f>
        <v>328.8</v>
      </c>
      <c r="P272" s="32" t="s">
        <v>875</v>
      </c>
      <c r="Q272" s="31">
        <f>334.4</f>
        <v>334.4</v>
      </c>
      <c r="R272" s="32" t="s">
        <v>791</v>
      </c>
      <c r="S272" s="33">
        <f>332.45</f>
        <v>332.45</v>
      </c>
      <c r="T272" s="30">
        <f>44866860</f>
        <v>44866860</v>
      </c>
      <c r="U272" s="30">
        <f>35303470</f>
        <v>35303470</v>
      </c>
      <c r="V272" s="30">
        <f>14881084680</f>
        <v>14881084680</v>
      </c>
      <c r="W272" s="30">
        <f>11705343900</f>
        <v>11705343900</v>
      </c>
      <c r="X272" s="34">
        <f>21</f>
        <v>21</v>
      </c>
    </row>
    <row r="273" spans="1:24" ht="13.5" customHeight="1" x14ac:dyDescent="0.15">
      <c r="A273" s="25" t="s">
        <v>1182</v>
      </c>
      <c r="B273" s="25" t="s">
        <v>761</v>
      </c>
      <c r="C273" s="25" t="s">
        <v>762</v>
      </c>
      <c r="D273" s="25" t="s">
        <v>763</v>
      </c>
      <c r="E273" s="26" t="s">
        <v>45</v>
      </c>
      <c r="F273" s="27" t="s">
        <v>45</v>
      </c>
      <c r="G273" s="28" t="s">
        <v>45</v>
      </c>
      <c r="H273" s="29"/>
      <c r="I273" s="29" t="s">
        <v>46</v>
      </c>
      <c r="J273" s="30">
        <v>1</v>
      </c>
      <c r="K273" s="31">
        <f>1232</f>
        <v>1232</v>
      </c>
      <c r="L273" s="32" t="s">
        <v>999</v>
      </c>
      <c r="M273" s="31">
        <f>1235</f>
        <v>1235</v>
      </c>
      <c r="N273" s="32" t="s">
        <v>999</v>
      </c>
      <c r="O273" s="31">
        <f>1138</f>
        <v>1138</v>
      </c>
      <c r="P273" s="32" t="s">
        <v>894</v>
      </c>
      <c r="Q273" s="31">
        <f>1161</f>
        <v>1161</v>
      </c>
      <c r="R273" s="32" t="s">
        <v>791</v>
      </c>
      <c r="S273" s="33">
        <f>1184.81</f>
        <v>1184.81</v>
      </c>
      <c r="T273" s="30">
        <f>20276969</f>
        <v>20276969</v>
      </c>
      <c r="U273" s="30">
        <f>588863</f>
        <v>588863</v>
      </c>
      <c r="V273" s="30">
        <f>23957876222</f>
        <v>23957876222</v>
      </c>
      <c r="W273" s="30">
        <f>698546519</f>
        <v>698546519</v>
      </c>
      <c r="X273" s="34">
        <f>21</f>
        <v>21</v>
      </c>
    </row>
    <row r="274" spans="1:24" ht="13.5" customHeight="1" x14ac:dyDescent="0.15">
      <c r="A274" s="25" t="s">
        <v>1182</v>
      </c>
      <c r="B274" s="25" t="s">
        <v>764</v>
      </c>
      <c r="C274" s="25" t="s">
        <v>765</v>
      </c>
      <c r="D274" s="25" t="s">
        <v>766</v>
      </c>
      <c r="E274" s="26" t="s">
        <v>45</v>
      </c>
      <c r="F274" s="27" t="s">
        <v>45</v>
      </c>
      <c r="G274" s="28" t="s">
        <v>45</v>
      </c>
      <c r="H274" s="29"/>
      <c r="I274" s="29" t="s">
        <v>46</v>
      </c>
      <c r="J274" s="30">
        <v>1</v>
      </c>
      <c r="K274" s="31">
        <f>1722</f>
        <v>1722</v>
      </c>
      <c r="L274" s="32" t="s">
        <v>999</v>
      </c>
      <c r="M274" s="31">
        <f>1730</f>
        <v>1730</v>
      </c>
      <c r="N274" s="32" t="s">
        <v>875</v>
      </c>
      <c r="O274" s="31">
        <f>1635</f>
        <v>1635</v>
      </c>
      <c r="P274" s="32" t="s">
        <v>80</v>
      </c>
      <c r="Q274" s="31">
        <f>1661</f>
        <v>1661</v>
      </c>
      <c r="R274" s="32" t="s">
        <v>791</v>
      </c>
      <c r="S274" s="33">
        <f>1667.05</f>
        <v>1667.05</v>
      </c>
      <c r="T274" s="30">
        <f>106907</f>
        <v>106907</v>
      </c>
      <c r="U274" s="30">
        <f>4</f>
        <v>4</v>
      </c>
      <c r="V274" s="30">
        <f>178227629</f>
        <v>178227629</v>
      </c>
      <c r="W274" s="30">
        <f>6662</f>
        <v>6662</v>
      </c>
      <c r="X274" s="34">
        <f>21</f>
        <v>21</v>
      </c>
    </row>
    <row r="275" spans="1:24" ht="13.5" customHeight="1" x14ac:dyDescent="0.15">
      <c r="A275" s="25" t="s">
        <v>1182</v>
      </c>
      <c r="B275" s="25" t="s">
        <v>767</v>
      </c>
      <c r="C275" s="25" t="s">
        <v>768</v>
      </c>
      <c r="D275" s="25" t="s">
        <v>769</v>
      </c>
      <c r="E275" s="26" t="s">
        <v>45</v>
      </c>
      <c r="F275" s="27" t="s">
        <v>45</v>
      </c>
      <c r="G275" s="28" t="s">
        <v>45</v>
      </c>
      <c r="H275" s="29"/>
      <c r="I275" s="29" t="s">
        <v>46</v>
      </c>
      <c r="J275" s="30">
        <v>1</v>
      </c>
      <c r="K275" s="31">
        <f>2071</f>
        <v>2071</v>
      </c>
      <c r="L275" s="32" t="s">
        <v>999</v>
      </c>
      <c r="M275" s="31">
        <f>2073</f>
        <v>2073</v>
      </c>
      <c r="N275" s="32" t="s">
        <v>784</v>
      </c>
      <c r="O275" s="31">
        <f>2028</f>
        <v>2028</v>
      </c>
      <c r="P275" s="32" t="s">
        <v>790</v>
      </c>
      <c r="Q275" s="31">
        <f>2046</f>
        <v>2046</v>
      </c>
      <c r="R275" s="32" t="s">
        <v>791</v>
      </c>
      <c r="S275" s="33">
        <f>2047.48</f>
        <v>2047.48</v>
      </c>
      <c r="T275" s="30">
        <f>626753</f>
        <v>626753</v>
      </c>
      <c r="U275" s="30">
        <f>626000</f>
        <v>626000</v>
      </c>
      <c r="V275" s="30">
        <f>1283354227</f>
        <v>1283354227</v>
      </c>
      <c r="W275" s="30">
        <f>1281813600</f>
        <v>1281813600</v>
      </c>
      <c r="X275" s="34">
        <f>21</f>
        <v>21</v>
      </c>
    </row>
    <row r="276" spans="1:24" ht="13.5" customHeight="1" x14ac:dyDescent="0.15">
      <c r="A276" s="25" t="s">
        <v>1182</v>
      </c>
      <c r="B276" s="25" t="s">
        <v>770</v>
      </c>
      <c r="C276" s="25" t="s">
        <v>771</v>
      </c>
      <c r="D276" s="25" t="s">
        <v>1087</v>
      </c>
      <c r="E276" s="26" t="s">
        <v>45</v>
      </c>
      <c r="F276" s="27" t="s">
        <v>45</v>
      </c>
      <c r="G276" s="28" t="s">
        <v>45</v>
      </c>
      <c r="H276" s="29"/>
      <c r="I276" s="29" t="s">
        <v>46</v>
      </c>
      <c r="J276" s="30">
        <v>1</v>
      </c>
      <c r="K276" s="31">
        <f>3240</f>
        <v>3240</v>
      </c>
      <c r="L276" s="32" t="s">
        <v>999</v>
      </c>
      <c r="M276" s="31">
        <f>3275</f>
        <v>3275</v>
      </c>
      <c r="N276" s="32" t="s">
        <v>999</v>
      </c>
      <c r="O276" s="31">
        <f>3065</f>
        <v>3065</v>
      </c>
      <c r="P276" s="32" t="s">
        <v>793</v>
      </c>
      <c r="Q276" s="31">
        <f>3105</f>
        <v>3105</v>
      </c>
      <c r="R276" s="32" t="s">
        <v>791</v>
      </c>
      <c r="S276" s="33">
        <f>3152.38</f>
        <v>3152.38</v>
      </c>
      <c r="T276" s="30">
        <f>687504</f>
        <v>687504</v>
      </c>
      <c r="U276" s="30">
        <f>440165</f>
        <v>440165</v>
      </c>
      <c r="V276" s="30">
        <f>2137657349</f>
        <v>2137657349</v>
      </c>
      <c r="W276" s="30">
        <f>1363743324</f>
        <v>1363743324</v>
      </c>
      <c r="X276" s="34">
        <f>21</f>
        <v>21</v>
      </c>
    </row>
    <row r="277" spans="1:24" ht="13.5" customHeight="1" x14ac:dyDescent="0.15">
      <c r="A277" s="25" t="s">
        <v>1182</v>
      </c>
      <c r="B277" s="25" t="s">
        <v>773</v>
      </c>
      <c r="C277" s="25" t="s">
        <v>774</v>
      </c>
      <c r="D277" s="25" t="s">
        <v>1088</v>
      </c>
      <c r="E277" s="26" t="s">
        <v>45</v>
      </c>
      <c r="F277" s="27" t="s">
        <v>45</v>
      </c>
      <c r="G277" s="28" t="s">
        <v>45</v>
      </c>
      <c r="H277" s="29"/>
      <c r="I277" s="29" t="s">
        <v>46</v>
      </c>
      <c r="J277" s="30">
        <v>1</v>
      </c>
      <c r="K277" s="31">
        <f>2359</f>
        <v>2359</v>
      </c>
      <c r="L277" s="32" t="s">
        <v>999</v>
      </c>
      <c r="M277" s="31">
        <f>2379</f>
        <v>2379</v>
      </c>
      <c r="N277" s="32" t="s">
        <v>999</v>
      </c>
      <c r="O277" s="31">
        <f>2200</f>
        <v>2200</v>
      </c>
      <c r="P277" s="32" t="s">
        <v>793</v>
      </c>
      <c r="Q277" s="31">
        <f>2257</f>
        <v>2257</v>
      </c>
      <c r="R277" s="32" t="s">
        <v>791</v>
      </c>
      <c r="S277" s="33">
        <f>2277.52</f>
        <v>2277.52</v>
      </c>
      <c r="T277" s="30">
        <f>1792456</f>
        <v>1792456</v>
      </c>
      <c r="U277" s="30">
        <f>136648</f>
        <v>136648</v>
      </c>
      <c r="V277" s="30">
        <f>4081269806</f>
        <v>4081269806</v>
      </c>
      <c r="W277" s="30">
        <f>313510430</f>
        <v>313510430</v>
      </c>
      <c r="X277" s="34">
        <f>21</f>
        <v>21</v>
      </c>
    </row>
    <row r="278" spans="1:24" ht="13.5" customHeight="1" x14ac:dyDescent="0.15">
      <c r="A278" s="25" t="s">
        <v>1182</v>
      </c>
      <c r="B278" s="25" t="s">
        <v>776</v>
      </c>
      <c r="C278" s="25" t="s">
        <v>777</v>
      </c>
      <c r="D278" s="25" t="s">
        <v>778</v>
      </c>
      <c r="E278" s="26" t="s">
        <v>45</v>
      </c>
      <c r="F278" s="27" t="s">
        <v>45</v>
      </c>
      <c r="G278" s="28" t="s">
        <v>45</v>
      </c>
      <c r="H278" s="29"/>
      <c r="I278" s="29" t="s">
        <v>46</v>
      </c>
      <c r="J278" s="30">
        <v>1</v>
      </c>
      <c r="K278" s="31">
        <f>2018</f>
        <v>2018</v>
      </c>
      <c r="L278" s="32" t="s">
        <v>999</v>
      </c>
      <c r="M278" s="31">
        <f>2023</f>
        <v>2023</v>
      </c>
      <c r="N278" s="32" t="s">
        <v>999</v>
      </c>
      <c r="O278" s="31">
        <f>1897</f>
        <v>1897</v>
      </c>
      <c r="P278" s="32" t="s">
        <v>893</v>
      </c>
      <c r="Q278" s="31">
        <f>1911</f>
        <v>1911</v>
      </c>
      <c r="R278" s="32" t="s">
        <v>791</v>
      </c>
      <c r="S278" s="33">
        <f>1953.19</f>
        <v>1953.19</v>
      </c>
      <c r="T278" s="30">
        <f>10733</f>
        <v>10733</v>
      </c>
      <c r="U278" s="30" t="str">
        <f>"－"</f>
        <v>－</v>
      </c>
      <c r="V278" s="30">
        <f>20881693</f>
        <v>20881693</v>
      </c>
      <c r="W278" s="30" t="str">
        <f>"－"</f>
        <v>－</v>
      </c>
      <c r="X278" s="34">
        <f>21</f>
        <v>21</v>
      </c>
    </row>
    <row r="279" spans="1:24" ht="13.5" customHeight="1" x14ac:dyDescent="0.15">
      <c r="A279" s="25" t="s">
        <v>1182</v>
      </c>
      <c r="B279" s="25" t="s">
        <v>779</v>
      </c>
      <c r="C279" s="25" t="s">
        <v>780</v>
      </c>
      <c r="D279" s="25" t="s">
        <v>781</v>
      </c>
      <c r="E279" s="26" t="s">
        <v>45</v>
      </c>
      <c r="F279" s="27" t="s">
        <v>45</v>
      </c>
      <c r="G279" s="28" t="s">
        <v>45</v>
      </c>
      <c r="H279" s="29"/>
      <c r="I279" s="29" t="s">
        <v>46</v>
      </c>
      <c r="J279" s="30">
        <v>1</v>
      </c>
      <c r="K279" s="31">
        <f>1263</f>
        <v>1263</v>
      </c>
      <c r="L279" s="32" t="s">
        <v>999</v>
      </c>
      <c r="M279" s="31">
        <f>1263</f>
        <v>1263</v>
      </c>
      <c r="N279" s="32" t="s">
        <v>999</v>
      </c>
      <c r="O279" s="31">
        <f>1105</f>
        <v>1105</v>
      </c>
      <c r="P279" s="32" t="s">
        <v>793</v>
      </c>
      <c r="Q279" s="31">
        <f>1122</f>
        <v>1122</v>
      </c>
      <c r="R279" s="32" t="s">
        <v>791</v>
      </c>
      <c r="S279" s="33">
        <f>1169.19</f>
        <v>1169.19</v>
      </c>
      <c r="T279" s="30">
        <f>10028</f>
        <v>10028</v>
      </c>
      <c r="U279" s="30" t="str">
        <f>"－"</f>
        <v>－</v>
      </c>
      <c r="V279" s="30">
        <f>11844985</f>
        <v>11844985</v>
      </c>
      <c r="W279" s="30" t="str">
        <f>"－"</f>
        <v>－</v>
      </c>
      <c r="X279" s="34">
        <f>21</f>
        <v>21</v>
      </c>
    </row>
    <row r="280" spans="1:24" ht="13.5" customHeight="1" x14ac:dyDescent="0.15">
      <c r="A280" s="25" t="s">
        <v>1182</v>
      </c>
      <c r="B280" s="25" t="s">
        <v>797</v>
      </c>
      <c r="C280" s="25" t="s">
        <v>798</v>
      </c>
      <c r="D280" s="25" t="s">
        <v>799</v>
      </c>
      <c r="E280" s="26" t="s">
        <v>45</v>
      </c>
      <c r="F280" s="27" t="s">
        <v>45</v>
      </c>
      <c r="G280" s="28" t="s">
        <v>45</v>
      </c>
      <c r="H280" s="29"/>
      <c r="I280" s="29" t="s">
        <v>46</v>
      </c>
      <c r="J280" s="30">
        <v>1</v>
      </c>
      <c r="K280" s="31">
        <f>1867</f>
        <v>1867</v>
      </c>
      <c r="L280" s="32" t="s">
        <v>999</v>
      </c>
      <c r="M280" s="31">
        <f>1900</f>
        <v>1900</v>
      </c>
      <c r="N280" s="32" t="s">
        <v>787</v>
      </c>
      <c r="O280" s="31">
        <f>1760</f>
        <v>1760</v>
      </c>
      <c r="P280" s="32" t="s">
        <v>793</v>
      </c>
      <c r="Q280" s="31">
        <f>1837</f>
        <v>1837</v>
      </c>
      <c r="R280" s="32" t="s">
        <v>791</v>
      </c>
      <c r="S280" s="33">
        <f>1826.14</f>
        <v>1826.14</v>
      </c>
      <c r="T280" s="30">
        <f>29423</f>
        <v>29423</v>
      </c>
      <c r="U280" s="30" t="str">
        <f>"－"</f>
        <v>－</v>
      </c>
      <c r="V280" s="30">
        <f>53314093</f>
        <v>53314093</v>
      </c>
      <c r="W280" s="30" t="str">
        <f>"－"</f>
        <v>－</v>
      </c>
      <c r="X280" s="34">
        <f>21</f>
        <v>21</v>
      </c>
    </row>
    <row r="281" spans="1:24" ht="13.5" customHeight="1" x14ac:dyDescent="0.15">
      <c r="A281" s="25" t="s">
        <v>1182</v>
      </c>
      <c r="B281" s="25" t="s">
        <v>800</v>
      </c>
      <c r="C281" s="25" t="s">
        <v>801</v>
      </c>
      <c r="D281" s="25" t="s">
        <v>802</v>
      </c>
      <c r="E281" s="26" t="s">
        <v>45</v>
      </c>
      <c r="F281" s="27" t="s">
        <v>45</v>
      </c>
      <c r="G281" s="28" t="s">
        <v>45</v>
      </c>
      <c r="H281" s="29"/>
      <c r="I281" s="29" t="s">
        <v>46</v>
      </c>
      <c r="J281" s="30">
        <v>1</v>
      </c>
      <c r="K281" s="31">
        <f>2468</f>
        <v>2468</v>
      </c>
      <c r="L281" s="32" t="s">
        <v>999</v>
      </c>
      <c r="M281" s="31">
        <f>2468</f>
        <v>2468</v>
      </c>
      <c r="N281" s="32" t="s">
        <v>999</v>
      </c>
      <c r="O281" s="31">
        <f>2271</f>
        <v>2271</v>
      </c>
      <c r="P281" s="32" t="s">
        <v>786</v>
      </c>
      <c r="Q281" s="31">
        <f>2310</f>
        <v>2310</v>
      </c>
      <c r="R281" s="32" t="s">
        <v>791</v>
      </c>
      <c r="S281" s="33">
        <f>2357.9</f>
        <v>2357.9</v>
      </c>
      <c r="T281" s="30">
        <f>4300</f>
        <v>4300</v>
      </c>
      <c r="U281" s="30" t="str">
        <f>"－"</f>
        <v>－</v>
      </c>
      <c r="V281" s="30">
        <f>10029073</f>
        <v>10029073</v>
      </c>
      <c r="W281" s="30" t="str">
        <f>"－"</f>
        <v>－</v>
      </c>
      <c r="X281" s="34">
        <f>20</f>
        <v>20</v>
      </c>
    </row>
    <row r="282" spans="1:24" ht="13.5" customHeight="1" x14ac:dyDescent="0.15">
      <c r="A282" s="25" t="s">
        <v>1182</v>
      </c>
      <c r="B282" s="25" t="s">
        <v>803</v>
      </c>
      <c r="C282" s="25" t="s">
        <v>804</v>
      </c>
      <c r="D282" s="25" t="s">
        <v>805</v>
      </c>
      <c r="E282" s="26" t="s">
        <v>45</v>
      </c>
      <c r="F282" s="27" t="s">
        <v>45</v>
      </c>
      <c r="G282" s="28" t="s">
        <v>45</v>
      </c>
      <c r="H282" s="29"/>
      <c r="I282" s="29" t="s">
        <v>46</v>
      </c>
      <c r="J282" s="30">
        <v>1</v>
      </c>
      <c r="K282" s="31">
        <f>10325</f>
        <v>10325</v>
      </c>
      <c r="L282" s="32" t="s">
        <v>999</v>
      </c>
      <c r="M282" s="31">
        <f>10510</f>
        <v>10510</v>
      </c>
      <c r="N282" s="32" t="s">
        <v>787</v>
      </c>
      <c r="O282" s="31">
        <f>9853</f>
        <v>9853</v>
      </c>
      <c r="P282" s="32" t="s">
        <v>893</v>
      </c>
      <c r="Q282" s="31">
        <f>9901</f>
        <v>9901</v>
      </c>
      <c r="R282" s="32" t="s">
        <v>791</v>
      </c>
      <c r="S282" s="33">
        <f>10213.48</f>
        <v>10213.48</v>
      </c>
      <c r="T282" s="30">
        <f>599417</f>
        <v>599417</v>
      </c>
      <c r="U282" s="30">
        <f>185770</f>
        <v>185770</v>
      </c>
      <c r="V282" s="30">
        <f>6093286736</f>
        <v>6093286736</v>
      </c>
      <c r="W282" s="30">
        <f>1875563349</f>
        <v>1875563349</v>
      </c>
      <c r="X282" s="34">
        <f>21</f>
        <v>21</v>
      </c>
    </row>
    <row r="283" spans="1:24" ht="13.5" customHeight="1" x14ac:dyDescent="0.15">
      <c r="A283" s="25" t="s">
        <v>1182</v>
      </c>
      <c r="B283" s="25" t="s">
        <v>806</v>
      </c>
      <c r="C283" s="25" t="s">
        <v>807</v>
      </c>
      <c r="D283" s="25" t="s">
        <v>808</v>
      </c>
      <c r="E283" s="26" t="s">
        <v>45</v>
      </c>
      <c r="F283" s="27" t="s">
        <v>45</v>
      </c>
      <c r="G283" s="28" t="s">
        <v>45</v>
      </c>
      <c r="H283" s="29"/>
      <c r="I283" s="29" t="s">
        <v>46</v>
      </c>
      <c r="J283" s="30">
        <v>1</v>
      </c>
      <c r="K283" s="31">
        <f>15910</f>
        <v>15910</v>
      </c>
      <c r="L283" s="32" t="s">
        <v>999</v>
      </c>
      <c r="M283" s="31">
        <f>16415</f>
        <v>16415</v>
      </c>
      <c r="N283" s="32" t="s">
        <v>787</v>
      </c>
      <c r="O283" s="31">
        <f>15320</f>
        <v>15320</v>
      </c>
      <c r="P283" s="32" t="s">
        <v>893</v>
      </c>
      <c r="Q283" s="31">
        <f>15395</f>
        <v>15395</v>
      </c>
      <c r="R283" s="32" t="s">
        <v>791</v>
      </c>
      <c r="S283" s="33">
        <f>15881.19</f>
        <v>15881.19</v>
      </c>
      <c r="T283" s="30">
        <f>588220</f>
        <v>588220</v>
      </c>
      <c r="U283" s="30">
        <f>10</f>
        <v>10</v>
      </c>
      <c r="V283" s="30">
        <f>9313402140</f>
        <v>9313402140</v>
      </c>
      <c r="W283" s="30">
        <f>142700</f>
        <v>142700</v>
      </c>
      <c r="X283" s="34">
        <f>21</f>
        <v>21</v>
      </c>
    </row>
    <row r="284" spans="1:24" ht="13.5" customHeight="1" x14ac:dyDescent="0.15">
      <c r="A284" s="25" t="s">
        <v>1182</v>
      </c>
      <c r="B284" s="25" t="s">
        <v>809</v>
      </c>
      <c r="C284" s="25" t="s">
        <v>810</v>
      </c>
      <c r="D284" s="25" t="s">
        <v>811</v>
      </c>
      <c r="E284" s="26" t="s">
        <v>45</v>
      </c>
      <c r="F284" s="27" t="s">
        <v>45</v>
      </c>
      <c r="G284" s="28" t="s">
        <v>45</v>
      </c>
      <c r="H284" s="29"/>
      <c r="I284" s="29" t="s">
        <v>46</v>
      </c>
      <c r="J284" s="30">
        <v>1</v>
      </c>
      <c r="K284" s="31">
        <f>10300</f>
        <v>10300</v>
      </c>
      <c r="L284" s="32" t="s">
        <v>999</v>
      </c>
      <c r="M284" s="31">
        <f>10625</f>
        <v>10625</v>
      </c>
      <c r="N284" s="32" t="s">
        <v>787</v>
      </c>
      <c r="O284" s="31">
        <f>9822</f>
        <v>9822</v>
      </c>
      <c r="P284" s="32" t="s">
        <v>255</v>
      </c>
      <c r="Q284" s="31">
        <f>9864</f>
        <v>9864</v>
      </c>
      <c r="R284" s="32" t="s">
        <v>791</v>
      </c>
      <c r="S284" s="33">
        <f>10246.9</f>
        <v>10246.9</v>
      </c>
      <c r="T284" s="30">
        <f>701086</f>
        <v>701086</v>
      </c>
      <c r="U284" s="30">
        <f>229000</f>
        <v>229000</v>
      </c>
      <c r="V284" s="30">
        <f>7188722322</f>
        <v>7188722322</v>
      </c>
      <c r="W284" s="30">
        <f>2345678600</f>
        <v>2345678600</v>
      </c>
      <c r="X284" s="34">
        <f>21</f>
        <v>21</v>
      </c>
    </row>
    <row r="285" spans="1:24" ht="13.5" customHeight="1" x14ac:dyDescent="0.15">
      <c r="A285" s="25" t="s">
        <v>1182</v>
      </c>
      <c r="B285" s="25" t="s">
        <v>812</v>
      </c>
      <c r="C285" s="25" t="s">
        <v>813</v>
      </c>
      <c r="D285" s="25" t="s">
        <v>814</v>
      </c>
      <c r="E285" s="26" t="s">
        <v>45</v>
      </c>
      <c r="F285" s="27" t="s">
        <v>45</v>
      </c>
      <c r="G285" s="28" t="s">
        <v>45</v>
      </c>
      <c r="H285" s="29"/>
      <c r="I285" s="29" t="s">
        <v>46</v>
      </c>
      <c r="J285" s="30">
        <v>10</v>
      </c>
      <c r="K285" s="31">
        <f>2966.5</f>
        <v>2966.5</v>
      </c>
      <c r="L285" s="32" t="s">
        <v>999</v>
      </c>
      <c r="M285" s="31">
        <f>3017</f>
        <v>3017</v>
      </c>
      <c r="N285" s="32" t="s">
        <v>787</v>
      </c>
      <c r="O285" s="31">
        <f>2846.5</f>
        <v>2846.5</v>
      </c>
      <c r="P285" s="32" t="s">
        <v>893</v>
      </c>
      <c r="Q285" s="31">
        <f>2872</f>
        <v>2872</v>
      </c>
      <c r="R285" s="32" t="s">
        <v>791</v>
      </c>
      <c r="S285" s="33">
        <f>2943.17</f>
        <v>2943.17</v>
      </c>
      <c r="T285" s="30">
        <f>2413170</f>
        <v>2413170</v>
      </c>
      <c r="U285" s="30">
        <f>200000</f>
        <v>200000</v>
      </c>
      <c r="V285" s="30">
        <f>7080921090</f>
        <v>7080921090</v>
      </c>
      <c r="W285" s="30">
        <f>592802000</f>
        <v>592802000</v>
      </c>
      <c r="X285" s="34">
        <f>21</f>
        <v>21</v>
      </c>
    </row>
    <row r="286" spans="1:24" ht="13.5" customHeight="1" x14ac:dyDescent="0.15">
      <c r="A286" s="25" t="s">
        <v>1182</v>
      </c>
      <c r="B286" s="25" t="s">
        <v>815</v>
      </c>
      <c r="C286" s="25" t="s">
        <v>816</v>
      </c>
      <c r="D286" s="25" t="s">
        <v>817</v>
      </c>
      <c r="E286" s="26" t="s">
        <v>45</v>
      </c>
      <c r="F286" s="27" t="s">
        <v>45</v>
      </c>
      <c r="G286" s="28" t="s">
        <v>45</v>
      </c>
      <c r="H286" s="29"/>
      <c r="I286" s="29" t="s">
        <v>46</v>
      </c>
      <c r="J286" s="30">
        <v>10</v>
      </c>
      <c r="K286" s="31">
        <f>2020.5</f>
        <v>2020.5</v>
      </c>
      <c r="L286" s="32" t="s">
        <v>999</v>
      </c>
      <c r="M286" s="31">
        <f>2057</f>
        <v>2057</v>
      </c>
      <c r="N286" s="32" t="s">
        <v>787</v>
      </c>
      <c r="O286" s="31">
        <f>1929.5</f>
        <v>1929.5</v>
      </c>
      <c r="P286" s="32" t="s">
        <v>893</v>
      </c>
      <c r="Q286" s="31">
        <f>1937</f>
        <v>1937</v>
      </c>
      <c r="R286" s="32" t="s">
        <v>791</v>
      </c>
      <c r="S286" s="33">
        <f>1999.38</f>
        <v>1999.38</v>
      </c>
      <c r="T286" s="30">
        <f>2451890</f>
        <v>2451890</v>
      </c>
      <c r="U286" s="30">
        <f>776000</f>
        <v>776000</v>
      </c>
      <c r="V286" s="30">
        <f>4868225164</f>
        <v>4868225164</v>
      </c>
      <c r="W286" s="30">
        <f>1533492939</f>
        <v>1533492939</v>
      </c>
      <c r="X286" s="34">
        <f>21</f>
        <v>21</v>
      </c>
    </row>
    <row r="287" spans="1:24" ht="13.5" customHeight="1" x14ac:dyDescent="0.15">
      <c r="A287" s="25" t="s">
        <v>1182</v>
      </c>
      <c r="B287" s="25" t="s">
        <v>818</v>
      </c>
      <c r="C287" s="25" t="s">
        <v>819</v>
      </c>
      <c r="D287" s="25" t="s">
        <v>820</v>
      </c>
      <c r="E287" s="26" t="s">
        <v>45</v>
      </c>
      <c r="F287" s="27" t="s">
        <v>45</v>
      </c>
      <c r="G287" s="28" t="s">
        <v>45</v>
      </c>
      <c r="H287" s="29"/>
      <c r="I287" s="29" t="s">
        <v>46</v>
      </c>
      <c r="J287" s="30">
        <v>10</v>
      </c>
      <c r="K287" s="31">
        <f>3116</f>
        <v>3116</v>
      </c>
      <c r="L287" s="32" t="s">
        <v>999</v>
      </c>
      <c r="M287" s="31">
        <f>3164</f>
        <v>3164</v>
      </c>
      <c r="N287" s="32" t="s">
        <v>792</v>
      </c>
      <c r="O287" s="31">
        <f>2969</f>
        <v>2969</v>
      </c>
      <c r="P287" s="32" t="s">
        <v>893</v>
      </c>
      <c r="Q287" s="31">
        <f>2992.5</f>
        <v>2992.5</v>
      </c>
      <c r="R287" s="32" t="s">
        <v>791</v>
      </c>
      <c r="S287" s="33">
        <f>3072.03</f>
        <v>3072.03</v>
      </c>
      <c r="T287" s="30">
        <f>39280</f>
        <v>39280</v>
      </c>
      <c r="U287" s="30">
        <f>35020</f>
        <v>35020</v>
      </c>
      <c r="V287" s="30">
        <f>118996545</f>
        <v>118996545</v>
      </c>
      <c r="W287" s="30">
        <f>105927070</f>
        <v>105927070</v>
      </c>
      <c r="X287" s="34">
        <f>20</f>
        <v>20</v>
      </c>
    </row>
    <row r="288" spans="1:24" ht="13.5" customHeight="1" x14ac:dyDescent="0.15">
      <c r="A288" s="25" t="s">
        <v>1182</v>
      </c>
      <c r="B288" s="25" t="s">
        <v>821</v>
      </c>
      <c r="C288" s="25" t="s">
        <v>822</v>
      </c>
      <c r="D288" s="25" t="s">
        <v>823</v>
      </c>
      <c r="E288" s="26" t="s">
        <v>45</v>
      </c>
      <c r="F288" s="27" t="s">
        <v>45</v>
      </c>
      <c r="G288" s="28" t="s">
        <v>45</v>
      </c>
      <c r="H288" s="29"/>
      <c r="I288" s="29" t="s">
        <v>46</v>
      </c>
      <c r="J288" s="30">
        <v>1</v>
      </c>
      <c r="K288" s="31">
        <f>2747</f>
        <v>2747</v>
      </c>
      <c r="L288" s="32" t="s">
        <v>999</v>
      </c>
      <c r="M288" s="31">
        <f>2771</f>
        <v>2771</v>
      </c>
      <c r="N288" s="32" t="s">
        <v>787</v>
      </c>
      <c r="O288" s="31">
        <f>2595</f>
        <v>2595</v>
      </c>
      <c r="P288" s="32" t="s">
        <v>793</v>
      </c>
      <c r="Q288" s="31">
        <f>2647</f>
        <v>2647</v>
      </c>
      <c r="R288" s="32" t="s">
        <v>791</v>
      </c>
      <c r="S288" s="33">
        <f>2676.14</f>
        <v>2676.14</v>
      </c>
      <c r="T288" s="30">
        <f>14346</f>
        <v>14346</v>
      </c>
      <c r="U288" s="30" t="str">
        <f>"－"</f>
        <v>－</v>
      </c>
      <c r="V288" s="30">
        <f>38077554</f>
        <v>38077554</v>
      </c>
      <c r="W288" s="30" t="str">
        <f>"－"</f>
        <v>－</v>
      </c>
      <c r="X288" s="34">
        <f>21</f>
        <v>21</v>
      </c>
    </row>
    <row r="289" spans="1:24" ht="13.5" customHeight="1" x14ac:dyDescent="0.15">
      <c r="A289" s="25" t="s">
        <v>1182</v>
      </c>
      <c r="B289" s="25" t="s">
        <v>824</v>
      </c>
      <c r="C289" s="25" t="s">
        <v>1188</v>
      </c>
      <c r="D289" s="25" t="s">
        <v>1187</v>
      </c>
      <c r="E289" s="26" t="s">
        <v>45</v>
      </c>
      <c r="F289" s="27" t="s">
        <v>45</v>
      </c>
      <c r="G289" s="28" t="s">
        <v>45</v>
      </c>
      <c r="H289" s="29"/>
      <c r="I289" s="29" t="s">
        <v>46</v>
      </c>
      <c r="J289" s="30">
        <v>1</v>
      </c>
      <c r="K289" s="31">
        <f>1507</f>
        <v>1507</v>
      </c>
      <c r="L289" s="32" t="s">
        <v>999</v>
      </c>
      <c r="M289" s="31">
        <f>1516</f>
        <v>1516</v>
      </c>
      <c r="N289" s="32" t="s">
        <v>999</v>
      </c>
      <c r="O289" s="31">
        <f>1355</f>
        <v>1355</v>
      </c>
      <c r="P289" s="32" t="s">
        <v>793</v>
      </c>
      <c r="Q289" s="31">
        <f>1393</f>
        <v>1393</v>
      </c>
      <c r="R289" s="32" t="s">
        <v>791</v>
      </c>
      <c r="S289" s="33">
        <f>1424.81</f>
        <v>1424.81</v>
      </c>
      <c r="T289" s="30">
        <f>29428</f>
        <v>29428</v>
      </c>
      <c r="U289" s="30">
        <f>2</f>
        <v>2</v>
      </c>
      <c r="V289" s="30">
        <f>42408613</f>
        <v>42408613</v>
      </c>
      <c r="W289" s="30">
        <f>2931</f>
        <v>2931</v>
      </c>
      <c r="X289" s="34">
        <f>21</f>
        <v>21</v>
      </c>
    </row>
    <row r="290" spans="1:24" ht="13.5" customHeight="1" x14ac:dyDescent="0.15">
      <c r="A290" s="25" t="s">
        <v>1182</v>
      </c>
      <c r="B290" s="25" t="s">
        <v>827</v>
      </c>
      <c r="C290" s="25" t="s">
        <v>828</v>
      </c>
      <c r="D290" s="25" t="s">
        <v>829</v>
      </c>
      <c r="E290" s="26" t="s">
        <v>45</v>
      </c>
      <c r="F290" s="27" t="s">
        <v>45</v>
      </c>
      <c r="G290" s="28" t="s">
        <v>45</v>
      </c>
      <c r="H290" s="29"/>
      <c r="I290" s="29" t="s">
        <v>46</v>
      </c>
      <c r="J290" s="30">
        <v>1</v>
      </c>
      <c r="K290" s="31">
        <f>1948</f>
        <v>1948</v>
      </c>
      <c r="L290" s="32" t="s">
        <v>999</v>
      </c>
      <c r="M290" s="31">
        <f>1966</f>
        <v>1966</v>
      </c>
      <c r="N290" s="32" t="s">
        <v>787</v>
      </c>
      <c r="O290" s="31">
        <f>1766</f>
        <v>1766</v>
      </c>
      <c r="P290" s="32" t="s">
        <v>791</v>
      </c>
      <c r="Q290" s="31">
        <f>1785</f>
        <v>1785</v>
      </c>
      <c r="R290" s="32" t="s">
        <v>791</v>
      </c>
      <c r="S290" s="33">
        <f>1880.24</f>
        <v>1880.24</v>
      </c>
      <c r="T290" s="30">
        <f>407335</f>
        <v>407335</v>
      </c>
      <c r="U290" s="30" t="str">
        <f>"－"</f>
        <v>－</v>
      </c>
      <c r="V290" s="30">
        <f>740970849</f>
        <v>740970849</v>
      </c>
      <c r="W290" s="30" t="str">
        <f>"－"</f>
        <v>－</v>
      </c>
      <c r="X290" s="34">
        <f>21</f>
        <v>21</v>
      </c>
    </row>
    <row r="291" spans="1:24" ht="13.5" customHeight="1" x14ac:dyDescent="0.15">
      <c r="A291" s="25" t="s">
        <v>1182</v>
      </c>
      <c r="B291" s="25" t="s">
        <v>830</v>
      </c>
      <c r="C291" s="25" t="s">
        <v>831</v>
      </c>
      <c r="D291" s="25" t="s">
        <v>832</v>
      </c>
      <c r="E291" s="26" t="s">
        <v>45</v>
      </c>
      <c r="F291" s="27" t="s">
        <v>45</v>
      </c>
      <c r="G291" s="28" t="s">
        <v>45</v>
      </c>
      <c r="H291" s="29"/>
      <c r="I291" s="29" t="s">
        <v>46</v>
      </c>
      <c r="J291" s="30">
        <v>1</v>
      </c>
      <c r="K291" s="31">
        <f>1558</f>
        <v>1558</v>
      </c>
      <c r="L291" s="32" t="s">
        <v>999</v>
      </c>
      <c r="M291" s="31">
        <f>1558</f>
        <v>1558</v>
      </c>
      <c r="N291" s="32" t="s">
        <v>999</v>
      </c>
      <c r="O291" s="31">
        <f>1436</f>
        <v>1436</v>
      </c>
      <c r="P291" s="32" t="s">
        <v>255</v>
      </c>
      <c r="Q291" s="31">
        <f>1461</f>
        <v>1461</v>
      </c>
      <c r="R291" s="32" t="s">
        <v>791</v>
      </c>
      <c r="S291" s="33">
        <f>1498.19</f>
        <v>1498.19</v>
      </c>
      <c r="T291" s="30">
        <f>249364</f>
        <v>249364</v>
      </c>
      <c r="U291" s="30">
        <f>130000</f>
        <v>130000</v>
      </c>
      <c r="V291" s="30">
        <f>375200227</f>
        <v>375200227</v>
      </c>
      <c r="W291" s="30">
        <f>197314000</f>
        <v>197314000</v>
      </c>
      <c r="X291" s="34">
        <f>21</f>
        <v>21</v>
      </c>
    </row>
    <row r="292" spans="1:24" ht="13.5" customHeight="1" x14ac:dyDescent="0.15">
      <c r="A292" s="25" t="s">
        <v>1182</v>
      </c>
      <c r="B292" s="25" t="s">
        <v>833</v>
      </c>
      <c r="C292" s="25" t="s">
        <v>834</v>
      </c>
      <c r="D292" s="25" t="s">
        <v>835</v>
      </c>
      <c r="E292" s="26" t="s">
        <v>45</v>
      </c>
      <c r="F292" s="27" t="s">
        <v>45</v>
      </c>
      <c r="G292" s="28" t="s">
        <v>45</v>
      </c>
      <c r="H292" s="29"/>
      <c r="I292" s="29" t="s">
        <v>46</v>
      </c>
      <c r="J292" s="30">
        <v>1</v>
      </c>
      <c r="K292" s="31">
        <f>2725</f>
        <v>2725</v>
      </c>
      <c r="L292" s="32" t="s">
        <v>999</v>
      </c>
      <c r="M292" s="31">
        <f>2730</f>
        <v>2730</v>
      </c>
      <c r="N292" s="32" t="s">
        <v>787</v>
      </c>
      <c r="O292" s="31">
        <f>2575</f>
        <v>2575</v>
      </c>
      <c r="P292" s="32" t="s">
        <v>893</v>
      </c>
      <c r="Q292" s="31">
        <f>2625</f>
        <v>2625</v>
      </c>
      <c r="R292" s="32" t="s">
        <v>791</v>
      </c>
      <c r="S292" s="33">
        <f>2660.52</f>
        <v>2660.52</v>
      </c>
      <c r="T292" s="30">
        <f>41656</f>
        <v>41656</v>
      </c>
      <c r="U292" s="30" t="str">
        <f>"－"</f>
        <v>－</v>
      </c>
      <c r="V292" s="30">
        <f>110531908</f>
        <v>110531908</v>
      </c>
      <c r="W292" s="30" t="str">
        <f>"－"</f>
        <v>－</v>
      </c>
      <c r="X292" s="34">
        <f>21</f>
        <v>21</v>
      </c>
    </row>
    <row r="293" spans="1:24" ht="13.5" customHeight="1" x14ac:dyDescent="0.15">
      <c r="A293" s="25" t="s">
        <v>1182</v>
      </c>
      <c r="B293" s="25" t="s">
        <v>836</v>
      </c>
      <c r="C293" s="25" t="s">
        <v>1186</v>
      </c>
      <c r="D293" s="25" t="s">
        <v>1185</v>
      </c>
      <c r="E293" s="26" t="s">
        <v>45</v>
      </c>
      <c r="F293" s="27" t="s">
        <v>45</v>
      </c>
      <c r="G293" s="28" t="s">
        <v>45</v>
      </c>
      <c r="H293" s="29"/>
      <c r="I293" s="29" t="s">
        <v>46</v>
      </c>
      <c r="J293" s="30">
        <v>1</v>
      </c>
      <c r="K293" s="31">
        <f>2559</f>
        <v>2559</v>
      </c>
      <c r="L293" s="32" t="s">
        <v>999</v>
      </c>
      <c r="M293" s="31">
        <f>2586</f>
        <v>2586</v>
      </c>
      <c r="N293" s="32" t="s">
        <v>999</v>
      </c>
      <c r="O293" s="31">
        <f>2409</f>
        <v>2409</v>
      </c>
      <c r="P293" s="32" t="s">
        <v>793</v>
      </c>
      <c r="Q293" s="31">
        <f>2441</f>
        <v>2441</v>
      </c>
      <c r="R293" s="32" t="s">
        <v>791</v>
      </c>
      <c r="S293" s="33">
        <f>2484.57</f>
        <v>2484.5700000000002</v>
      </c>
      <c r="T293" s="30">
        <f>249381</f>
        <v>249381</v>
      </c>
      <c r="U293" s="30">
        <f>50012</f>
        <v>50012</v>
      </c>
      <c r="V293" s="30">
        <f>620628076</f>
        <v>620628076</v>
      </c>
      <c r="W293" s="30">
        <f>125834946</f>
        <v>125834946</v>
      </c>
      <c r="X293" s="34">
        <f>21</f>
        <v>21</v>
      </c>
    </row>
    <row r="294" spans="1:24" ht="13.5" customHeight="1" x14ac:dyDescent="0.15">
      <c r="A294" s="25" t="s">
        <v>1182</v>
      </c>
      <c r="B294" s="25" t="s">
        <v>839</v>
      </c>
      <c r="C294" s="25" t="s">
        <v>840</v>
      </c>
      <c r="D294" s="25" t="s">
        <v>841</v>
      </c>
      <c r="E294" s="26" t="s">
        <v>45</v>
      </c>
      <c r="F294" s="27" t="s">
        <v>45</v>
      </c>
      <c r="G294" s="28" t="s">
        <v>45</v>
      </c>
      <c r="H294" s="29"/>
      <c r="I294" s="29" t="s">
        <v>46</v>
      </c>
      <c r="J294" s="30">
        <v>1</v>
      </c>
      <c r="K294" s="31">
        <f>30420</f>
        <v>30420</v>
      </c>
      <c r="L294" s="32" t="s">
        <v>996</v>
      </c>
      <c r="M294" s="31">
        <f>31120</f>
        <v>31120</v>
      </c>
      <c r="N294" s="32" t="s">
        <v>787</v>
      </c>
      <c r="O294" s="31">
        <f>29640</f>
        <v>29640</v>
      </c>
      <c r="P294" s="32" t="s">
        <v>793</v>
      </c>
      <c r="Q294" s="31">
        <f>29865</f>
        <v>29865</v>
      </c>
      <c r="R294" s="32" t="s">
        <v>791</v>
      </c>
      <c r="S294" s="33">
        <f>30218.75</f>
        <v>30218.75</v>
      </c>
      <c r="T294" s="30">
        <f>64</f>
        <v>64</v>
      </c>
      <c r="U294" s="30" t="str">
        <f>"－"</f>
        <v>－</v>
      </c>
      <c r="V294" s="30">
        <f>1928515</f>
        <v>1928515</v>
      </c>
      <c r="W294" s="30" t="str">
        <f>"－"</f>
        <v>－</v>
      </c>
      <c r="X294" s="34">
        <f>16</f>
        <v>16</v>
      </c>
    </row>
    <row r="295" spans="1:24" ht="13.5" customHeight="1" x14ac:dyDescent="0.15">
      <c r="A295" s="25" t="s">
        <v>1182</v>
      </c>
      <c r="B295" s="25" t="s">
        <v>842</v>
      </c>
      <c r="C295" s="25" t="s">
        <v>843</v>
      </c>
      <c r="D295" s="25" t="s">
        <v>844</v>
      </c>
      <c r="E295" s="26" t="s">
        <v>45</v>
      </c>
      <c r="F295" s="27" t="s">
        <v>45</v>
      </c>
      <c r="G295" s="28" t="s">
        <v>45</v>
      </c>
      <c r="H295" s="29"/>
      <c r="I295" s="29" t="s">
        <v>46</v>
      </c>
      <c r="J295" s="30">
        <v>1</v>
      </c>
      <c r="K295" s="31">
        <f>2373</f>
        <v>2373</v>
      </c>
      <c r="L295" s="32" t="s">
        <v>999</v>
      </c>
      <c r="M295" s="31">
        <f>2400</f>
        <v>2400</v>
      </c>
      <c r="N295" s="32" t="s">
        <v>787</v>
      </c>
      <c r="O295" s="31">
        <f>2250</f>
        <v>2250</v>
      </c>
      <c r="P295" s="32" t="s">
        <v>793</v>
      </c>
      <c r="Q295" s="31">
        <f>2260</f>
        <v>2260</v>
      </c>
      <c r="R295" s="32" t="s">
        <v>791</v>
      </c>
      <c r="S295" s="33">
        <f>2313.39</f>
        <v>2313.39</v>
      </c>
      <c r="T295" s="30">
        <f>6071</f>
        <v>6071</v>
      </c>
      <c r="U295" s="30" t="str">
        <f>"－"</f>
        <v>－</v>
      </c>
      <c r="V295" s="30">
        <f>14023768</f>
        <v>14023768</v>
      </c>
      <c r="W295" s="30" t="str">
        <f>"－"</f>
        <v>－</v>
      </c>
      <c r="X295" s="34">
        <f>18</f>
        <v>18</v>
      </c>
    </row>
    <row r="296" spans="1:24" ht="13.5" customHeight="1" x14ac:dyDescent="0.15">
      <c r="A296" s="25" t="s">
        <v>1182</v>
      </c>
      <c r="B296" s="25" t="s">
        <v>845</v>
      </c>
      <c r="C296" s="25" t="s">
        <v>846</v>
      </c>
      <c r="D296" s="25" t="s">
        <v>847</v>
      </c>
      <c r="E296" s="26" t="s">
        <v>45</v>
      </c>
      <c r="F296" s="27" t="s">
        <v>45</v>
      </c>
      <c r="G296" s="28" t="s">
        <v>45</v>
      </c>
      <c r="H296" s="29"/>
      <c r="I296" s="29" t="s">
        <v>46</v>
      </c>
      <c r="J296" s="30">
        <v>1</v>
      </c>
      <c r="K296" s="31">
        <f>3130</f>
        <v>3130</v>
      </c>
      <c r="L296" s="32" t="s">
        <v>999</v>
      </c>
      <c r="M296" s="31">
        <f>3330</f>
        <v>3330</v>
      </c>
      <c r="N296" s="32" t="s">
        <v>787</v>
      </c>
      <c r="O296" s="31">
        <f>2900</f>
        <v>2900</v>
      </c>
      <c r="P296" s="32" t="s">
        <v>791</v>
      </c>
      <c r="Q296" s="31">
        <f>2917</f>
        <v>2917</v>
      </c>
      <c r="R296" s="32" t="s">
        <v>791</v>
      </c>
      <c r="S296" s="33">
        <f>3117.24</f>
        <v>3117.24</v>
      </c>
      <c r="T296" s="30">
        <f>2275138</f>
        <v>2275138</v>
      </c>
      <c r="U296" s="30">
        <f>5340</f>
        <v>5340</v>
      </c>
      <c r="V296" s="30">
        <f>7152772809</f>
        <v>7152772809</v>
      </c>
      <c r="W296" s="30">
        <f>16224488</f>
        <v>16224488</v>
      </c>
      <c r="X296" s="34">
        <f>21</f>
        <v>21</v>
      </c>
    </row>
    <row r="297" spans="1:24" ht="13.5" customHeight="1" x14ac:dyDescent="0.15">
      <c r="A297" s="25" t="s">
        <v>1182</v>
      </c>
      <c r="B297" s="25" t="s">
        <v>848</v>
      </c>
      <c r="C297" s="25" t="s">
        <v>849</v>
      </c>
      <c r="D297" s="25" t="s">
        <v>850</v>
      </c>
      <c r="E297" s="26" t="s">
        <v>45</v>
      </c>
      <c r="F297" s="27" t="s">
        <v>45</v>
      </c>
      <c r="G297" s="28" t="s">
        <v>45</v>
      </c>
      <c r="H297" s="29"/>
      <c r="I297" s="29" t="s">
        <v>46</v>
      </c>
      <c r="J297" s="30">
        <v>1</v>
      </c>
      <c r="K297" s="31">
        <f>1907</f>
        <v>1907</v>
      </c>
      <c r="L297" s="32" t="s">
        <v>999</v>
      </c>
      <c r="M297" s="31">
        <f>1907</f>
        <v>1907</v>
      </c>
      <c r="N297" s="32" t="s">
        <v>999</v>
      </c>
      <c r="O297" s="31">
        <f>1784</f>
        <v>1784</v>
      </c>
      <c r="P297" s="32" t="s">
        <v>786</v>
      </c>
      <c r="Q297" s="31">
        <f>1817</f>
        <v>1817</v>
      </c>
      <c r="R297" s="32" t="s">
        <v>791</v>
      </c>
      <c r="S297" s="33">
        <f>1834.67</f>
        <v>1834.67</v>
      </c>
      <c r="T297" s="30">
        <f>3534</f>
        <v>3534</v>
      </c>
      <c r="U297" s="30" t="str">
        <f>"－"</f>
        <v>－</v>
      </c>
      <c r="V297" s="30">
        <f>6473441</f>
        <v>6473441</v>
      </c>
      <c r="W297" s="30" t="str">
        <f>"－"</f>
        <v>－</v>
      </c>
      <c r="X297" s="34">
        <f>21</f>
        <v>21</v>
      </c>
    </row>
    <row r="298" spans="1:24" ht="13.5" customHeight="1" x14ac:dyDescent="0.15">
      <c r="A298" s="25" t="s">
        <v>1182</v>
      </c>
      <c r="B298" s="25" t="s">
        <v>851</v>
      </c>
      <c r="C298" s="25" t="s">
        <v>852</v>
      </c>
      <c r="D298" s="25" t="s">
        <v>853</v>
      </c>
      <c r="E298" s="26" t="s">
        <v>45</v>
      </c>
      <c r="F298" s="27" t="s">
        <v>45</v>
      </c>
      <c r="G298" s="28" t="s">
        <v>45</v>
      </c>
      <c r="H298" s="29"/>
      <c r="I298" s="29" t="s">
        <v>46</v>
      </c>
      <c r="J298" s="30">
        <v>1</v>
      </c>
      <c r="K298" s="31">
        <f>1746</f>
        <v>1746</v>
      </c>
      <c r="L298" s="32" t="s">
        <v>999</v>
      </c>
      <c r="M298" s="31">
        <f>1761</f>
        <v>1761</v>
      </c>
      <c r="N298" s="32" t="s">
        <v>999</v>
      </c>
      <c r="O298" s="31">
        <f>1563</f>
        <v>1563</v>
      </c>
      <c r="P298" s="32" t="s">
        <v>793</v>
      </c>
      <c r="Q298" s="31">
        <f>1625</f>
        <v>1625</v>
      </c>
      <c r="R298" s="32" t="s">
        <v>791</v>
      </c>
      <c r="S298" s="33">
        <f>1657.05</f>
        <v>1657.05</v>
      </c>
      <c r="T298" s="30">
        <f>23395</f>
        <v>23395</v>
      </c>
      <c r="U298" s="30" t="str">
        <f>"－"</f>
        <v>－</v>
      </c>
      <c r="V298" s="30">
        <f>39291364</f>
        <v>39291364</v>
      </c>
      <c r="W298" s="30" t="str">
        <f>"－"</f>
        <v>－</v>
      </c>
      <c r="X298" s="34">
        <f>21</f>
        <v>21</v>
      </c>
    </row>
    <row r="299" spans="1:24" ht="13.5" customHeight="1" x14ac:dyDescent="0.15">
      <c r="A299" s="25" t="s">
        <v>1182</v>
      </c>
      <c r="B299" s="25" t="s">
        <v>854</v>
      </c>
      <c r="C299" s="25" t="s">
        <v>855</v>
      </c>
      <c r="D299" s="25" t="s">
        <v>856</v>
      </c>
      <c r="E299" s="26" t="s">
        <v>45</v>
      </c>
      <c r="F299" s="27" t="s">
        <v>45</v>
      </c>
      <c r="G299" s="28" t="s">
        <v>45</v>
      </c>
      <c r="H299" s="29"/>
      <c r="I299" s="29" t="s">
        <v>46</v>
      </c>
      <c r="J299" s="30">
        <v>10</v>
      </c>
      <c r="K299" s="31">
        <f>5330</f>
        <v>5330</v>
      </c>
      <c r="L299" s="32" t="s">
        <v>999</v>
      </c>
      <c r="M299" s="31">
        <f>5352</f>
        <v>5352</v>
      </c>
      <c r="N299" s="32" t="s">
        <v>787</v>
      </c>
      <c r="O299" s="31">
        <f>5210</f>
        <v>5210</v>
      </c>
      <c r="P299" s="32" t="s">
        <v>790</v>
      </c>
      <c r="Q299" s="31">
        <f>5274</f>
        <v>5274</v>
      </c>
      <c r="R299" s="32" t="s">
        <v>791</v>
      </c>
      <c r="S299" s="33">
        <f>5272.58</f>
        <v>5272.58</v>
      </c>
      <c r="T299" s="30">
        <f>450040</f>
        <v>450040</v>
      </c>
      <c r="U299" s="30">
        <f>280000</f>
        <v>280000</v>
      </c>
      <c r="V299" s="30">
        <f>2355736937</f>
        <v>2355736937</v>
      </c>
      <c r="W299" s="30">
        <f>1465835017</f>
        <v>1465835017</v>
      </c>
      <c r="X299" s="34">
        <f>19</f>
        <v>19</v>
      </c>
    </row>
    <row r="300" spans="1:24" ht="13.5" customHeight="1" x14ac:dyDescent="0.15">
      <c r="A300" s="25" t="s">
        <v>1182</v>
      </c>
      <c r="B300" s="25" t="s">
        <v>857</v>
      </c>
      <c r="C300" s="25" t="s">
        <v>858</v>
      </c>
      <c r="D300" s="25" t="s">
        <v>859</v>
      </c>
      <c r="E300" s="26" t="s">
        <v>45</v>
      </c>
      <c r="F300" s="27" t="s">
        <v>45</v>
      </c>
      <c r="G300" s="28" t="s">
        <v>45</v>
      </c>
      <c r="H300" s="29"/>
      <c r="I300" s="29" t="s">
        <v>46</v>
      </c>
      <c r="J300" s="30">
        <v>10</v>
      </c>
      <c r="K300" s="31">
        <f>3745</f>
        <v>3745</v>
      </c>
      <c r="L300" s="32" t="s">
        <v>999</v>
      </c>
      <c r="M300" s="31">
        <f>3767</f>
        <v>3767</v>
      </c>
      <c r="N300" s="32" t="s">
        <v>787</v>
      </c>
      <c r="O300" s="31">
        <f>3637</f>
        <v>3637</v>
      </c>
      <c r="P300" s="32" t="s">
        <v>894</v>
      </c>
      <c r="Q300" s="31">
        <f>3666</f>
        <v>3666</v>
      </c>
      <c r="R300" s="32" t="s">
        <v>893</v>
      </c>
      <c r="S300" s="33">
        <f>3693</f>
        <v>3693</v>
      </c>
      <c r="T300" s="30">
        <f>1472550</f>
        <v>1472550</v>
      </c>
      <c r="U300" s="30">
        <f>1272000</f>
        <v>1272000</v>
      </c>
      <c r="V300" s="30">
        <f>5482749120</f>
        <v>5482749120</v>
      </c>
      <c r="W300" s="30">
        <f>4744420120</f>
        <v>4744420120</v>
      </c>
      <c r="X300" s="34">
        <f>20</f>
        <v>20</v>
      </c>
    </row>
    <row r="301" spans="1:24" ht="13.5" customHeight="1" x14ac:dyDescent="0.15">
      <c r="A301" s="25" t="s">
        <v>1182</v>
      </c>
      <c r="B301" s="25" t="s">
        <v>860</v>
      </c>
      <c r="C301" s="25" t="s">
        <v>861</v>
      </c>
      <c r="D301" s="25" t="s">
        <v>862</v>
      </c>
      <c r="E301" s="26" t="s">
        <v>45</v>
      </c>
      <c r="F301" s="27" t="s">
        <v>45</v>
      </c>
      <c r="G301" s="28" t="s">
        <v>45</v>
      </c>
      <c r="H301" s="29"/>
      <c r="I301" s="29" t="s">
        <v>46</v>
      </c>
      <c r="J301" s="30">
        <v>10</v>
      </c>
      <c r="K301" s="31">
        <f>633.4</f>
        <v>633.4</v>
      </c>
      <c r="L301" s="32" t="s">
        <v>999</v>
      </c>
      <c r="M301" s="31">
        <f>634.1</f>
        <v>634.1</v>
      </c>
      <c r="N301" s="32" t="s">
        <v>999</v>
      </c>
      <c r="O301" s="31">
        <f>607.5</f>
        <v>607.5</v>
      </c>
      <c r="P301" s="32" t="s">
        <v>894</v>
      </c>
      <c r="Q301" s="31">
        <f>612.4</f>
        <v>612.4</v>
      </c>
      <c r="R301" s="32" t="s">
        <v>791</v>
      </c>
      <c r="S301" s="33">
        <f>618.4</f>
        <v>618.4</v>
      </c>
      <c r="T301" s="30">
        <f>23180</f>
        <v>23180</v>
      </c>
      <c r="U301" s="30" t="str">
        <f>"－"</f>
        <v>－</v>
      </c>
      <c r="V301" s="30">
        <f>14300386</f>
        <v>14300386</v>
      </c>
      <c r="W301" s="30" t="str">
        <f>"－"</f>
        <v>－</v>
      </c>
      <c r="X301" s="34">
        <f>20</f>
        <v>20</v>
      </c>
    </row>
    <row r="302" spans="1:24" ht="13.5" customHeight="1" x14ac:dyDescent="0.15">
      <c r="A302" s="25" t="s">
        <v>1182</v>
      </c>
      <c r="B302" s="25" t="s">
        <v>863</v>
      </c>
      <c r="C302" s="25" t="s">
        <v>864</v>
      </c>
      <c r="D302" s="25" t="s">
        <v>865</v>
      </c>
      <c r="E302" s="26" t="s">
        <v>45</v>
      </c>
      <c r="F302" s="27" t="s">
        <v>45</v>
      </c>
      <c r="G302" s="28" t="s">
        <v>45</v>
      </c>
      <c r="H302" s="29"/>
      <c r="I302" s="29" t="s">
        <v>46</v>
      </c>
      <c r="J302" s="30">
        <v>1</v>
      </c>
      <c r="K302" s="31">
        <f>2173</f>
        <v>2173</v>
      </c>
      <c r="L302" s="32" t="s">
        <v>999</v>
      </c>
      <c r="M302" s="31">
        <f>2195</f>
        <v>2195</v>
      </c>
      <c r="N302" s="32" t="s">
        <v>875</v>
      </c>
      <c r="O302" s="31">
        <f>1948</f>
        <v>1948</v>
      </c>
      <c r="P302" s="32" t="s">
        <v>793</v>
      </c>
      <c r="Q302" s="31">
        <f>2007</f>
        <v>2007</v>
      </c>
      <c r="R302" s="32" t="s">
        <v>791</v>
      </c>
      <c r="S302" s="33">
        <f>2070.24</f>
        <v>2070.2399999999998</v>
      </c>
      <c r="T302" s="30">
        <f>48412</f>
        <v>48412</v>
      </c>
      <c r="U302" s="30" t="str">
        <f>"－"</f>
        <v>－</v>
      </c>
      <c r="V302" s="30">
        <f>102359690</f>
        <v>102359690</v>
      </c>
      <c r="W302" s="30" t="str">
        <f>"－"</f>
        <v>－</v>
      </c>
      <c r="X302" s="34">
        <f>21</f>
        <v>21</v>
      </c>
    </row>
    <row r="303" spans="1:24" ht="13.5" customHeight="1" x14ac:dyDescent="0.15">
      <c r="A303" s="25" t="s">
        <v>1182</v>
      </c>
      <c r="B303" s="25" t="s">
        <v>866</v>
      </c>
      <c r="C303" s="25" t="s">
        <v>1184</v>
      </c>
      <c r="D303" s="25" t="s">
        <v>1183</v>
      </c>
      <c r="E303" s="26" t="s">
        <v>45</v>
      </c>
      <c r="F303" s="27" t="s">
        <v>45</v>
      </c>
      <c r="G303" s="28" t="s">
        <v>45</v>
      </c>
      <c r="H303" s="29"/>
      <c r="I303" s="29" t="s">
        <v>46</v>
      </c>
      <c r="J303" s="30">
        <v>1</v>
      </c>
      <c r="K303" s="31">
        <f>2026</f>
        <v>2026</v>
      </c>
      <c r="L303" s="32" t="s">
        <v>999</v>
      </c>
      <c r="M303" s="31">
        <f>2088</f>
        <v>2088</v>
      </c>
      <c r="N303" s="32" t="s">
        <v>875</v>
      </c>
      <c r="O303" s="31">
        <f>1879</f>
        <v>1879</v>
      </c>
      <c r="P303" s="32" t="s">
        <v>793</v>
      </c>
      <c r="Q303" s="31">
        <f>1895</f>
        <v>1895</v>
      </c>
      <c r="R303" s="32" t="s">
        <v>791</v>
      </c>
      <c r="S303" s="33">
        <f>1957.62</f>
        <v>1957.62</v>
      </c>
      <c r="T303" s="30">
        <f>9300</f>
        <v>9300</v>
      </c>
      <c r="U303" s="30" t="str">
        <f>"－"</f>
        <v>－</v>
      </c>
      <c r="V303" s="30">
        <f>18292507</f>
        <v>18292507</v>
      </c>
      <c r="W303" s="30" t="str">
        <f>"－"</f>
        <v>－</v>
      </c>
      <c r="X303" s="34">
        <f>21</f>
        <v>21</v>
      </c>
    </row>
    <row r="304" spans="1:24" ht="13.5" customHeight="1" x14ac:dyDescent="0.15">
      <c r="A304" s="25" t="s">
        <v>1182</v>
      </c>
      <c r="B304" s="25" t="s">
        <v>869</v>
      </c>
      <c r="C304" s="25" t="s">
        <v>870</v>
      </c>
      <c r="D304" s="25" t="s">
        <v>871</v>
      </c>
      <c r="E304" s="26" t="s">
        <v>45</v>
      </c>
      <c r="F304" s="27" t="s">
        <v>45</v>
      </c>
      <c r="G304" s="28" t="s">
        <v>45</v>
      </c>
      <c r="H304" s="29"/>
      <c r="I304" s="29" t="s">
        <v>46</v>
      </c>
      <c r="J304" s="30">
        <v>1</v>
      </c>
      <c r="K304" s="31">
        <f>7971</f>
        <v>7971</v>
      </c>
      <c r="L304" s="32" t="s">
        <v>999</v>
      </c>
      <c r="M304" s="31">
        <f>8005</f>
        <v>8005</v>
      </c>
      <c r="N304" s="32" t="s">
        <v>875</v>
      </c>
      <c r="O304" s="31">
        <f>7780</f>
        <v>7780</v>
      </c>
      <c r="P304" s="32" t="s">
        <v>80</v>
      </c>
      <c r="Q304" s="31">
        <f>7875</f>
        <v>7875</v>
      </c>
      <c r="R304" s="32" t="s">
        <v>791</v>
      </c>
      <c r="S304" s="33">
        <f>7877.86</f>
        <v>7877.86</v>
      </c>
      <c r="T304" s="30">
        <f>421290</f>
        <v>421290</v>
      </c>
      <c r="U304" s="30">
        <f>371004</f>
        <v>371004</v>
      </c>
      <c r="V304" s="30">
        <f>3314658444</f>
        <v>3314658444</v>
      </c>
      <c r="W304" s="30">
        <f>2920170462</f>
        <v>2920170462</v>
      </c>
      <c r="X304" s="34">
        <f>21</f>
        <v>21</v>
      </c>
    </row>
    <row r="305" spans="1:24" ht="13.5" customHeight="1" x14ac:dyDescent="0.15">
      <c r="A305" s="25" t="s">
        <v>1182</v>
      </c>
      <c r="B305" s="25" t="s">
        <v>872</v>
      </c>
      <c r="C305" s="25" t="s">
        <v>873</v>
      </c>
      <c r="D305" s="25" t="s">
        <v>874</v>
      </c>
      <c r="E305" s="26" t="s">
        <v>45</v>
      </c>
      <c r="F305" s="27" t="s">
        <v>45</v>
      </c>
      <c r="G305" s="28" t="s">
        <v>45</v>
      </c>
      <c r="H305" s="29"/>
      <c r="I305" s="29" t="s">
        <v>46</v>
      </c>
      <c r="J305" s="30">
        <v>1</v>
      </c>
      <c r="K305" s="31">
        <f>5583</f>
        <v>5583</v>
      </c>
      <c r="L305" s="32" t="s">
        <v>999</v>
      </c>
      <c r="M305" s="31">
        <f>5600</f>
        <v>5600</v>
      </c>
      <c r="N305" s="32" t="s">
        <v>787</v>
      </c>
      <c r="O305" s="31">
        <f>5416</f>
        <v>5416</v>
      </c>
      <c r="P305" s="32" t="s">
        <v>894</v>
      </c>
      <c r="Q305" s="31">
        <f>5466</f>
        <v>5466</v>
      </c>
      <c r="R305" s="32" t="s">
        <v>791</v>
      </c>
      <c r="S305" s="33">
        <f>5501.71</f>
        <v>5501.71</v>
      </c>
      <c r="T305" s="30">
        <f>38342</f>
        <v>38342</v>
      </c>
      <c r="U305" s="30" t="str">
        <f>"－"</f>
        <v>－</v>
      </c>
      <c r="V305" s="30">
        <f>210562086</f>
        <v>210562086</v>
      </c>
      <c r="W305" s="30" t="str">
        <f>"－"</f>
        <v>－</v>
      </c>
      <c r="X305" s="34">
        <f>21</f>
        <v>21</v>
      </c>
    </row>
    <row r="306" spans="1:24" ht="13.5" customHeight="1" x14ac:dyDescent="0.15">
      <c r="A306" s="25" t="s">
        <v>1182</v>
      </c>
      <c r="B306" s="25" t="s">
        <v>878</v>
      </c>
      <c r="C306" s="25" t="s">
        <v>879</v>
      </c>
      <c r="D306" s="25" t="s">
        <v>880</v>
      </c>
      <c r="E306" s="26" t="s">
        <v>45</v>
      </c>
      <c r="F306" s="27" t="s">
        <v>45</v>
      </c>
      <c r="G306" s="28" t="s">
        <v>45</v>
      </c>
      <c r="H306" s="29"/>
      <c r="I306" s="29" t="s">
        <v>46</v>
      </c>
      <c r="J306" s="30">
        <v>1</v>
      </c>
      <c r="K306" s="31">
        <f>20610</f>
        <v>20610</v>
      </c>
      <c r="L306" s="32" t="s">
        <v>999</v>
      </c>
      <c r="M306" s="31">
        <f>21250</f>
        <v>21250</v>
      </c>
      <c r="N306" s="32" t="s">
        <v>787</v>
      </c>
      <c r="O306" s="31">
        <f>19845</f>
        <v>19845</v>
      </c>
      <c r="P306" s="32" t="s">
        <v>893</v>
      </c>
      <c r="Q306" s="31">
        <f>19930</f>
        <v>19930</v>
      </c>
      <c r="R306" s="32" t="s">
        <v>791</v>
      </c>
      <c r="S306" s="33">
        <f>20564.05</f>
        <v>20564.05</v>
      </c>
      <c r="T306" s="30">
        <f>332169</f>
        <v>332169</v>
      </c>
      <c r="U306" s="30" t="str">
        <f>"－"</f>
        <v>－</v>
      </c>
      <c r="V306" s="30">
        <f>6800245570</f>
        <v>6800245570</v>
      </c>
      <c r="W306" s="30" t="str">
        <f>"－"</f>
        <v>－</v>
      </c>
      <c r="X306" s="34">
        <f>21</f>
        <v>21</v>
      </c>
    </row>
    <row r="307" spans="1:24" ht="13.5" customHeight="1" x14ac:dyDescent="0.15">
      <c r="A307" s="25" t="s">
        <v>1182</v>
      </c>
      <c r="B307" s="25" t="s">
        <v>881</v>
      </c>
      <c r="C307" s="25" t="s">
        <v>882</v>
      </c>
      <c r="D307" s="25" t="s">
        <v>883</v>
      </c>
      <c r="E307" s="26" t="s">
        <v>45</v>
      </c>
      <c r="F307" s="27" t="s">
        <v>45</v>
      </c>
      <c r="G307" s="28" t="s">
        <v>45</v>
      </c>
      <c r="H307" s="29"/>
      <c r="I307" s="29" t="s">
        <v>46</v>
      </c>
      <c r="J307" s="30">
        <v>1</v>
      </c>
      <c r="K307" s="31">
        <f>9690</f>
        <v>9690</v>
      </c>
      <c r="L307" s="32" t="s">
        <v>999</v>
      </c>
      <c r="M307" s="31">
        <f>9998</f>
        <v>9998</v>
      </c>
      <c r="N307" s="32" t="s">
        <v>787</v>
      </c>
      <c r="O307" s="31">
        <f>9243</f>
        <v>9243</v>
      </c>
      <c r="P307" s="32" t="s">
        <v>255</v>
      </c>
      <c r="Q307" s="31">
        <f>9282</f>
        <v>9282</v>
      </c>
      <c r="R307" s="32" t="s">
        <v>791</v>
      </c>
      <c r="S307" s="33">
        <f>9643.14</f>
        <v>9643.14</v>
      </c>
      <c r="T307" s="30">
        <f>836411</f>
        <v>836411</v>
      </c>
      <c r="U307" s="30">
        <f>43102</f>
        <v>43102</v>
      </c>
      <c r="V307" s="30">
        <f>8011112907</f>
        <v>8011112907</v>
      </c>
      <c r="W307" s="30">
        <f>400289036</f>
        <v>400289036</v>
      </c>
      <c r="X307" s="34">
        <f>21</f>
        <v>21</v>
      </c>
    </row>
    <row r="308" spans="1:24" ht="13.5" customHeight="1" x14ac:dyDescent="0.15">
      <c r="A308" s="25" t="s">
        <v>1182</v>
      </c>
      <c r="B308" s="25" t="s">
        <v>884</v>
      </c>
      <c r="C308" s="25" t="s">
        <v>885</v>
      </c>
      <c r="D308" s="25" t="s">
        <v>886</v>
      </c>
      <c r="E308" s="26" t="s">
        <v>45</v>
      </c>
      <c r="F308" s="27" t="s">
        <v>45</v>
      </c>
      <c r="G308" s="28" t="s">
        <v>45</v>
      </c>
      <c r="H308" s="29"/>
      <c r="I308" s="29" t="s">
        <v>46</v>
      </c>
      <c r="J308" s="30">
        <v>1</v>
      </c>
      <c r="K308" s="31">
        <f>24660</f>
        <v>24660</v>
      </c>
      <c r="L308" s="32" t="s">
        <v>999</v>
      </c>
      <c r="M308" s="31">
        <f>25755</f>
        <v>25755</v>
      </c>
      <c r="N308" s="32" t="s">
        <v>255</v>
      </c>
      <c r="O308" s="31">
        <f>23875</f>
        <v>23875</v>
      </c>
      <c r="P308" s="32" t="s">
        <v>787</v>
      </c>
      <c r="Q308" s="31">
        <f>25625</f>
        <v>25625</v>
      </c>
      <c r="R308" s="32" t="s">
        <v>791</v>
      </c>
      <c r="S308" s="33">
        <f>24746.9</f>
        <v>24746.9</v>
      </c>
      <c r="T308" s="30">
        <f>364979</f>
        <v>364979</v>
      </c>
      <c r="U308" s="30">
        <f>117300</f>
        <v>117300</v>
      </c>
      <c r="V308" s="30">
        <f>9146084415</f>
        <v>9146084415</v>
      </c>
      <c r="W308" s="30">
        <f>2993976605</f>
        <v>2993976605</v>
      </c>
      <c r="X308" s="34">
        <f>21</f>
        <v>21</v>
      </c>
    </row>
    <row r="309" spans="1:24" ht="13.5" customHeight="1" x14ac:dyDescent="0.15">
      <c r="A309" s="25" t="s">
        <v>1182</v>
      </c>
      <c r="B309" s="25" t="s">
        <v>887</v>
      </c>
      <c r="C309" s="25" t="s">
        <v>888</v>
      </c>
      <c r="D309" s="25" t="s">
        <v>889</v>
      </c>
      <c r="E309" s="26" t="s">
        <v>45</v>
      </c>
      <c r="F309" s="27" t="s">
        <v>45</v>
      </c>
      <c r="G309" s="28" t="s">
        <v>45</v>
      </c>
      <c r="H309" s="29"/>
      <c r="I309" s="29" t="s">
        <v>46</v>
      </c>
      <c r="J309" s="30">
        <v>10</v>
      </c>
      <c r="K309" s="31">
        <f>4096</f>
        <v>4096</v>
      </c>
      <c r="L309" s="32" t="s">
        <v>999</v>
      </c>
      <c r="M309" s="31">
        <f>4147</f>
        <v>4147</v>
      </c>
      <c r="N309" s="32" t="s">
        <v>787</v>
      </c>
      <c r="O309" s="31">
        <f>3961</f>
        <v>3961</v>
      </c>
      <c r="P309" s="32" t="s">
        <v>791</v>
      </c>
      <c r="Q309" s="31">
        <f>3974</f>
        <v>3974</v>
      </c>
      <c r="R309" s="32" t="s">
        <v>791</v>
      </c>
      <c r="S309" s="33">
        <f>4052.39</f>
        <v>4052.39</v>
      </c>
      <c r="T309" s="30">
        <f>114000</f>
        <v>114000</v>
      </c>
      <c r="U309" s="30">
        <f>109000</f>
        <v>109000</v>
      </c>
      <c r="V309" s="30">
        <f>461825450</f>
        <v>461825450</v>
      </c>
      <c r="W309" s="30">
        <f>441482700</f>
        <v>441482700</v>
      </c>
      <c r="X309" s="34">
        <f>18</f>
        <v>18</v>
      </c>
    </row>
    <row r="310" spans="1:24" ht="13.5" customHeight="1" x14ac:dyDescent="0.15">
      <c r="A310" s="25" t="s">
        <v>1182</v>
      </c>
      <c r="B310" s="25" t="s">
        <v>890</v>
      </c>
      <c r="C310" s="25" t="s">
        <v>891</v>
      </c>
      <c r="D310" s="25" t="s">
        <v>892</v>
      </c>
      <c r="E310" s="26" t="s">
        <v>45</v>
      </c>
      <c r="F310" s="27" t="s">
        <v>45</v>
      </c>
      <c r="G310" s="28" t="s">
        <v>45</v>
      </c>
      <c r="H310" s="29"/>
      <c r="I310" s="29" t="s">
        <v>46</v>
      </c>
      <c r="J310" s="30">
        <v>10</v>
      </c>
      <c r="K310" s="31">
        <f>4992</f>
        <v>4992</v>
      </c>
      <c r="L310" s="32" t="s">
        <v>999</v>
      </c>
      <c r="M310" s="31">
        <f>4992</f>
        <v>4992</v>
      </c>
      <c r="N310" s="32" t="s">
        <v>999</v>
      </c>
      <c r="O310" s="31">
        <f>4736</f>
        <v>4736</v>
      </c>
      <c r="P310" s="32" t="s">
        <v>791</v>
      </c>
      <c r="Q310" s="31">
        <f>4752</f>
        <v>4752</v>
      </c>
      <c r="R310" s="32" t="s">
        <v>791</v>
      </c>
      <c r="S310" s="33">
        <f>4828</f>
        <v>4828</v>
      </c>
      <c r="T310" s="30">
        <f>29200</f>
        <v>29200</v>
      </c>
      <c r="U310" s="30">
        <f>4190</f>
        <v>4190</v>
      </c>
      <c r="V310" s="30">
        <f>140042710</f>
        <v>140042710</v>
      </c>
      <c r="W310" s="30">
        <f>20035870</f>
        <v>20035870</v>
      </c>
      <c r="X310" s="34">
        <f>19</f>
        <v>19</v>
      </c>
    </row>
    <row r="311" spans="1:24" ht="13.5" customHeight="1" x14ac:dyDescent="0.15">
      <c r="A311" s="25" t="s">
        <v>1182</v>
      </c>
      <c r="B311" s="25" t="s">
        <v>902</v>
      </c>
      <c r="C311" s="25" t="s">
        <v>903</v>
      </c>
      <c r="D311" s="25" t="s">
        <v>904</v>
      </c>
      <c r="E311" s="26" t="s">
        <v>45</v>
      </c>
      <c r="F311" s="27" t="s">
        <v>45</v>
      </c>
      <c r="G311" s="28" t="s">
        <v>45</v>
      </c>
      <c r="H311" s="29"/>
      <c r="I311" s="29" t="s">
        <v>46</v>
      </c>
      <c r="J311" s="30">
        <v>10</v>
      </c>
      <c r="K311" s="31">
        <f>2023.5</f>
        <v>2023.5</v>
      </c>
      <c r="L311" s="32" t="s">
        <v>999</v>
      </c>
      <c r="M311" s="31">
        <f>2087</f>
        <v>2087</v>
      </c>
      <c r="N311" s="32" t="s">
        <v>787</v>
      </c>
      <c r="O311" s="31">
        <f>1930</f>
        <v>1930</v>
      </c>
      <c r="P311" s="32" t="s">
        <v>255</v>
      </c>
      <c r="Q311" s="31">
        <f>1937.5</f>
        <v>1937.5</v>
      </c>
      <c r="R311" s="32" t="s">
        <v>791</v>
      </c>
      <c r="S311" s="33">
        <f>2013.4</f>
        <v>2013.4</v>
      </c>
      <c r="T311" s="30">
        <f>2066860</f>
        <v>2066860</v>
      </c>
      <c r="U311" s="30" t="str">
        <f>"－"</f>
        <v>－</v>
      </c>
      <c r="V311" s="30">
        <f>4155519240</f>
        <v>4155519240</v>
      </c>
      <c r="W311" s="30" t="str">
        <f>"－"</f>
        <v>－</v>
      </c>
      <c r="X311" s="34">
        <f>21</f>
        <v>21</v>
      </c>
    </row>
    <row r="312" spans="1:24" ht="13.5" customHeight="1" x14ac:dyDescent="0.15">
      <c r="A312" s="25" t="s">
        <v>1182</v>
      </c>
      <c r="B312" s="25" t="s">
        <v>905</v>
      </c>
      <c r="C312" s="25" t="s">
        <v>906</v>
      </c>
      <c r="D312" s="25" t="s">
        <v>907</v>
      </c>
      <c r="E312" s="26" t="s">
        <v>45</v>
      </c>
      <c r="F312" s="27" t="s">
        <v>45</v>
      </c>
      <c r="G312" s="28" t="s">
        <v>45</v>
      </c>
      <c r="H312" s="29"/>
      <c r="I312" s="29" t="s">
        <v>46</v>
      </c>
      <c r="J312" s="30">
        <v>10</v>
      </c>
      <c r="K312" s="31">
        <f>1859</f>
        <v>1859</v>
      </c>
      <c r="L312" s="32" t="s">
        <v>999</v>
      </c>
      <c r="M312" s="31">
        <f>1873</f>
        <v>1873</v>
      </c>
      <c r="N312" s="32" t="s">
        <v>792</v>
      </c>
      <c r="O312" s="31">
        <f>1784</f>
        <v>1784</v>
      </c>
      <c r="P312" s="32" t="s">
        <v>893</v>
      </c>
      <c r="Q312" s="31">
        <f>1806.5</f>
        <v>1806.5</v>
      </c>
      <c r="R312" s="32" t="s">
        <v>791</v>
      </c>
      <c r="S312" s="33">
        <f>1836.81</f>
        <v>1836.81</v>
      </c>
      <c r="T312" s="30">
        <f>2647420</f>
        <v>2647420</v>
      </c>
      <c r="U312" s="30">
        <f>1762380</f>
        <v>1762380</v>
      </c>
      <c r="V312" s="30">
        <f>4902557979</f>
        <v>4902557979</v>
      </c>
      <c r="W312" s="30">
        <f>3270890469</f>
        <v>3270890469</v>
      </c>
      <c r="X312" s="34">
        <f>21</f>
        <v>21</v>
      </c>
    </row>
    <row r="313" spans="1:24" ht="13.5" customHeight="1" x14ac:dyDescent="0.15">
      <c r="A313" s="25" t="s">
        <v>1182</v>
      </c>
      <c r="B313" s="25" t="s">
        <v>908</v>
      </c>
      <c r="C313" s="25" t="s">
        <v>909</v>
      </c>
      <c r="D313" s="25" t="s">
        <v>910</v>
      </c>
      <c r="E313" s="26" t="s">
        <v>45</v>
      </c>
      <c r="F313" s="27" t="s">
        <v>45</v>
      </c>
      <c r="G313" s="28" t="s">
        <v>45</v>
      </c>
      <c r="H313" s="29"/>
      <c r="I313" s="29" t="s">
        <v>46</v>
      </c>
      <c r="J313" s="30">
        <v>1</v>
      </c>
      <c r="K313" s="31">
        <f>1779</f>
        <v>1779</v>
      </c>
      <c r="L313" s="32" t="s">
        <v>999</v>
      </c>
      <c r="M313" s="31">
        <f>1779</f>
        <v>1779</v>
      </c>
      <c r="N313" s="32" t="s">
        <v>999</v>
      </c>
      <c r="O313" s="31">
        <f>1650</f>
        <v>1650</v>
      </c>
      <c r="P313" s="32" t="s">
        <v>793</v>
      </c>
      <c r="Q313" s="31">
        <f>1700</f>
        <v>1700</v>
      </c>
      <c r="R313" s="32" t="s">
        <v>791</v>
      </c>
      <c r="S313" s="33">
        <f>1707.38</f>
        <v>1707.38</v>
      </c>
      <c r="T313" s="30">
        <f>4632</f>
        <v>4632</v>
      </c>
      <c r="U313" s="30" t="str">
        <f>"－"</f>
        <v>－</v>
      </c>
      <c r="V313" s="30">
        <f>7898603</f>
        <v>7898603</v>
      </c>
      <c r="W313" s="30" t="str">
        <f>"－"</f>
        <v>－</v>
      </c>
      <c r="X313" s="34">
        <f>21</f>
        <v>21</v>
      </c>
    </row>
    <row r="314" spans="1:24" ht="13.5" customHeight="1" x14ac:dyDescent="0.15">
      <c r="A314" s="25" t="s">
        <v>1182</v>
      </c>
      <c r="B314" s="25" t="s">
        <v>911</v>
      </c>
      <c r="C314" s="25" t="s">
        <v>912</v>
      </c>
      <c r="D314" s="25" t="s">
        <v>913</v>
      </c>
      <c r="E314" s="26" t="s">
        <v>45</v>
      </c>
      <c r="F314" s="27" t="s">
        <v>45</v>
      </c>
      <c r="G314" s="28" t="s">
        <v>45</v>
      </c>
      <c r="H314" s="29"/>
      <c r="I314" s="29" t="s">
        <v>46</v>
      </c>
      <c r="J314" s="30">
        <v>1</v>
      </c>
      <c r="K314" s="31">
        <f>1779</f>
        <v>1779</v>
      </c>
      <c r="L314" s="32" t="s">
        <v>996</v>
      </c>
      <c r="M314" s="31">
        <f>1809</f>
        <v>1809</v>
      </c>
      <c r="N314" s="32" t="s">
        <v>787</v>
      </c>
      <c r="O314" s="31">
        <f>1699</f>
        <v>1699</v>
      </c>
      <c r="P314" s="32" t="s">
        <v>793</v>
      </c>
      <c r="Q314" s="31">
        <f>1714</f>
        <v>1714</v>
      </c>
      <c r="R314" s="32" t="s">
        <v>791</v>
      </c>
      <c r="S314" s="33">
        <f>1750.84</f>
        <v>1750.84</v>
      </c>
      <c r="T314" s="30">
        <f>3460</f>
        <v>3460</v>
      </c>
      <c r="U314" s="30" t="str">
        <f>"－"</f>
        <v>－</v>
      </c>
      <c r="V314" s="30">
        <f>6116761</f>
        <v>6116761</v>
      </c>
      <c r="W314" s="30" t="str">
        <f>"－"</f>
        <v>－</v>
      </c>
      <c r="X314" s="34">
        <f>19</f>
        <v>19</v>
      </c>
    </row>
    <row r="315" spans="1:24" ht="13.5" customHeight="1" x14ac:dyDescent="0.15">
      <c r="A315" s="25" t="s">
        <v>1182</v>
      </c>
      <c r="B315" s="25" t="s">
        <v>914</v>
      </c>
      <c r="C315" s="25" t="s">
        <v>915</v>
      </c>
      <c r="D315" s="25" t="s">
        <v>916</v>
      </c>
      <c r="E315" s="26" t="s">
        <v>45</v>
      </c>
      <c r="F315" s="27" t="s">
        <v>45</v>
      </c>
      <c r="G315" s="28" t="s">
        <v>45</v>
      </c>
      <c r="H315" s="29"/>
      <c r="I315" s="29" t="s">
        <v>46</v>
      </c>
      <c r="J315" s="30">
        <v>1</v>
      </c>
      <c r="K315" s="31">
        <f>3900</f>
        <v>3900</v>
      </c>
      <c r="L315" s="32" t="s">
        <v>999</v>
      </c>
      <c r="M315" s="31">
        <f>3925</f>
        <v>3925</v>
      </c>
      <c r="N315" s="32" t="s">
        <v>790</v>
      </c>
      <c r="O315" s="31">
        <f>3645</f>
        <v>3645</v>
      </c>
      <c r="P315" s="32" t="s">
        <v>793</v>
      </c>
      <c r="Q315" s="31">
        <f>3700</f>
        <v>3700</v>
      </c>
      <c r="R315" s="32" t="s">
        <v>791</v>
      </c>
      <c r="S315" s="33">
        <f>3778.57</f>
        <v>3778.57</v>
      </c>
      <c r="T315" s="30">
        <f>194648</f>
        <v>194648</v>
      </c>
      <c r="U315" s="30">
        <f>76304</f>
        <v>76304</v>
      </c>
      <c r="V315" s="30">
        <f>737720540</f>
        <v>737720540</v>
      </c>
      <c r="W315" s="30">
        <f>289686835</f>
        <v>289686835</v>
      </c>
      <c r="X315" s="34">
        <f>21</f>
        <v>21</v>
      </c>
    </row>
    <row r="316" spans="1:24" ht="13.5" customHeight="1" x14ac:dyDescent="0.15">
      <c r="A316" s="25" t="s">
        <v>1182</v>
      </c>
      <c r="B316" s="25" t="s">
        <v>917</v>
      </c>
      <c r="C316" s="25" t="s">
        <v>918</v>
      </c>
      <c r="D316" s="25" t="s">
        <v>919</v>
      </c>
      <c r="E316" s="26" t="s">
        <v>45</v>
      </c>
      <c r="F316" s="27" t="s">
        <v>45</v>
      </c>
      <c r="G316" s="28" t="s">
        <v>45</v>
      </c>
      <c r="H316" s="29"/>
      <c r="I316" s="29" t="s">
        <v>46</v>
      </c>
      <c r="J316" s="30">
        <v>10</v>
      </c>
      <c r="K316" s="31">
        <f>2284</f>
        <v>2284</v>
      </c>
      <c r="L316" s="32" t="s">
        <v>875</v>
      </c>
      <c r="M316" s="31">
        <f>2284</f>
        <v>2284</v>
      </c>
      <c r="N316" s="32" t="s">
        <v>875</v>
      </c>
      <c r="O316" s="31">
        <f>2197</f>
        <v>2197</v>
      </c>
      <c r="P316" s="32" t="s">
        <v>791</v>
      </c>
      <c r="Q316" s="31">
        <f>2197</f>
        <v>2197</v>
      </c>
      <c r="R316" s="32" t="s">
        <v>791</v>
      </c>
      <c r="S316" s="33">
        <f>2235.13</f>
        <v>2235.13</v>
      </c>
      <c r="T316" s="30">
        <f>100</f>
        <v>100</v>
      </c>
      <c r="U316" s="30" t="str">
        <f>"－"</f>
        <v>－</v>
      </c>
      <c r="V316" s="30">
        <f>221745</f>
        <v>221745</v>
      </c>
      <c r="W316" s="30" t="str">
        <f>"－"</f>
        <v>－</v>
      </c>
      <c r="X316" s="34">
        <f>4</f>
        <v>4</v>
      </c>
    </row>
    <row r="317" spans="1:24" ht="13.5" customHeight="1" x14ac:dyDescent="0.15">
      <c r="A317" s="25" t="s">
        <v>1182</v>
      </c>
      <c r="B317" s="25" t="s">
        <v>928</v>
      </c>
      <c r="C317" s="25" t="s">
        <v>929</v>
      </c>
      <c r="D317" s="25" t="s">
        <v>930</v>
      </c>
      <c r="E317" s="26" t="s">
        <v>45</v>
      </c>
      <c r="F317" s="27" t="s">
        <v>45</v>
      </c>
      <c r="G317" s="28" t="s">
        <v>45</v>
      </c>
      <c r="H317" s="29"/>
      <c r="I317" s="29" t="s">
        <v>46</v>
      </c>
      <c r="J317" s="30">
        <v>10</v>
      </c>
      <c r="K317" s="31">
        <f>228</f>
        <v>228</v>
      </c>
      <c r="L317" s="32" t="s">
        <v>999</v>
      </c>
      <c r="M317" s="31">
        <f>236.9</f>
        <v>236.9</v>
      </c>
      <c r="N317" s="32" t="s">
        <v>996</v>
      </c>
      <c r="O317" s="31">
        <f>212.7</f>
        <v>212.7</v>
      </c>
      <c r="P317" s="32" t="s">
        <v>893</v>
      </c>
      <c r="Q317" s="31">
        <f>220.3</f>
        <v>220.3</v>
      </c>
      <c r="R317" s="32" t="s">
        <v>791</v>
      </c>
      <c r="S317" s="33">
        <f>223.95</f>
        <v>223.95</v>
      </c>
      <c r="T317" s="30">
        <f>26160</f>
        <v>26160</v>
      </c>
      <c r="U317" s="30" t="str">
        <f>"－"</f>
        <v>－</v>
      </c>
      <c r="V317" s="30">
        <f>5773574</f>
        <v>5773574</v>
      </c>
      <c r="W317" s="30" t="str">
        <f>"－"</f>
        <v>－</v>
      </c>
      <c r="X317" s="34">
        <f>21</f>
        <v>21</v>
      </c>
    </row>
    <row r="318" spans="1:24" ht="13.5" customHeight="1" x14ac:dyDescent="0.15">
      <c r="A318" s="25" t="s">
        <v>1182</v>
      </c>
      <c r="B318" s="25" t="s">
        <v>920</v>
      </c>
      <c r="C318" s="25" t="s">
        <v>921</v>
      </c>
      <c r="D318" s="25" t="s">
        <v>922</v>
      </c>
      <c r="E318" s="26" t="s">
        <v>45</v>
      </c>
      <c r="F318" s="27" t="s">
        <v>45</v>
      </c>
      <c r="G318" s="28" t="s">
        <v>45</v>
      </c>
      <c r="H318" s="29"/>
      <c r="I318" s="29" t="s">
        <v>46</v>
      </c>
      <c r="J318" s="30">
        <v>10</v>
      </c>
      <c r="K318" s="31">
        <f>188.2</f>
        <v>188.2</v>
      </c>
      <c r="L318" s="32" t="s">
        <v>999</v>
      </c>
      <c r="M318" s="31">
        <f>189.3</f>
        <v>189.3</v>
      </c>
      <c r="N318" s="32" t="s">
        <v>787</v>
      </c>
      <c r="O318" s="31">
        <f>180.5</f>
        <v>180.5</v>
      </c>
      <c r="P318" s="32" t="s">
        <v>875</v>
      </c>
      <c r="Q318" s="31">
        <f>182</f>
        <v>182</v>
      </c>
      <c r="R318" s="32" t="s">
        <v>791</v>
      </c>
      <c r="S318" s="33">
        <f>183.79</f>
        <v>183.79</v>
      </c>
      <c r="T318" s="30">
        <f>1666260</f>
        <v>1666260</v>
      </c>
      <c r="U318" s="30">
        <f>1654000</f>
        <v>1654000</v>
      </c>
      <c r="V318" s="30">
        <f>301667206</f>
        <v>301667206</v>
      </c>
      <c r="W318" s="30">
        <f>299410934</f>
        <v>299410934</v>
      </c>
      <c r="X318" s="34">
        <f>21</f>
        <v>21</v>
      </c>
    </row>
    <row r="319" spans="1:24" ht="13.5" customHeight="1" x14ac:dyDescent="0.15">
      <c r="A319" s="25" t="s">
        <v>1182</v>
      </c>
      <c r="B319" s="25" t="s">
        <v>923</v>
      </c>
      <c r="C319" s="25" t="s">
        <v>924</v>
      </c>
      <c r="D319" s="25" t="s">
        <v>925</v>
      </c>
      <c r="E319" s="26" t="s">
        <v>45</v>
      </c>
      <c r="F319" s="27" t="s">
        <v>45</v>
      </c>
      <c r="G319" s="28" t="s">
        <v>45</v>
      </c>
      <c r="H319" s="29"/>
      <c r="I319" s="29" t="s">
        <v>46</v>
      </c>
      <c r="J319" s="30">
        <v>10</v>
      </c>
      <c r="K319" s="31">
        <f>665.8</f>
        <v>665.8</v>
      </c>
      <c r="L319" s="32" t="s">
        <v>999</v>
      </c>
      <c r="M319" s="31">
        <f>676</f>
        <v>676</v>
      </c>
      <c r="N319" s="32" t="s">
        <v>787</v>
      </c>
      <c r="O319" s="31">
        <f>659.3</f>
        <v>659.3</v>
      </c>
      <c r="P319" s="32" t="s">
        <v>793</v>
      </c>
      <c r="Q319" s="31">
        <f>659.3</f>
        <v>659.3</v>
      </c>
      <c r="R319" s="32" t="s">
        <v>255</v>
      </c>
      <c r="S319" s="33">
        <f>665.03</f>
        <v>665.03</v>
      </c>
      <c r="T319" s="30">
        <f>2590</f>
        <v>2590</v>
      </c>
      <c r="U319" s="30" t="str">
        <f>"－"</f>
        <v>－</v>
      </c>
      <c r="V319" s="30">
        <f>1720813</f>
        <v>1720813</v>
      </c>
      <c r="W319" s="30" t="str">
        <f>"－"</f>
        <v>－</v>
      </c>
      <c r="X319" s="34">
        <f>15</f>
        <v>15</v>
      </c>
    </row>
    <row r="320" spans="1:24" ht="13.5" customHeight="1" x14ac:dyDescent="0.15">
      <c r="A320" s="25" t="s">
        <v>1182</v>
      </c>
      <c r="B320" s="25" t="s">
        <v>931</v>
      </c>
      <c r="C320" s="25" t="s">
        <v>932</v>
      </c>
      <c r="D320" s="25" t="s">
        <v>933</v>
      </c>
      <c r="E320" s="26" t="s">
        <v>45</v>
      </c>
      <c r="F320" s="27" t="s">
        <v>45</v>
      </c>
      <c r="G320" s="28" t="s">
        <v>45</v>
      </c>
      <c r="H320" s="29"/>
      <c r="I320" s="29" t="s">
        <v>46</v>
      </c>
      <c r="J320" s="30">
        <v>1</v>
      </c>
      <c r="K320" s="31">
        <f>1154</f>
        <v>1154</v>
      </c>
      <c r="L320" s="32" t="s">
        <v>999</v>
      </c>
      <c r="M320" s="31">
        <f>1196</f>
        <v>1196</v>
      </c>
      <c r="N320" s="32" t="s">
        <v>56</v>
      </c>
      <c r="O320" s="31">
        <f>1076</f>
        <v>1076</v>
      </c>
      <c r="P320" s="32" t="s">
        <v>786</v>
      </c>
      <c r="Q320" s="31">
        <f>1098</f>
        <v>1098</v>
      </c>
      <c r="R320" s="32" t="s">
        <v>791</v>
      </c>
      <c r="S320" s="33">
        <f>1127.19</f>
        <v>1127.19</v>
      </c>
      <c r="T320" s="30">
        <f>78460</f>
        <v>78460</v>
      </c>
      <c r="U320" s="30">
        <f>1</f>
        <v>1</v>
      </c>
      <c r="V320" s="30">
        <f>89320468</f>
        <v>89320468</v>
      </c>
      <c r="W320" s="30">
        <f>1095</f>
        <v>1095</v>
      </c>
      <c r="X320" s="34">
        <f>21</f>
        <v>21</v>
      </c>
    </row>
    <row r="321" spans="1:24" ht="13.5" customHeight="1" x14ac:dyDescent="0.15">
      <c r="A321" s="25" t="s">
        <v>1182</v>
      </c>
      <c r="B321" s="25" t="s">
        <v>934</v>
      </c>
      <c r="C321" s="25" t="s">
        <v>935</v>
      </c>
      <c r="D321" s="25" t="s">
        <v>936</v>
      </c>
      <c r="E321" s="26" t="s">
        <v>45</v>
      </c>
      <c r="F321" s="27" t="s">
        <v>45</v>
      </c>
      <c r="G321" s="28" t="s">
        <v>45</v>
      </c>
      <c r="H321" s="29"/>
      <c r="I321" s="29" t="s">
        <v>46</v>
      </c>
      <c r="J321" s="30">
        <v>1</v>
      </c>
      <c r="K321" s="31">
        <f>959</f>
        <v>959</v>
      </c>
      <c r="L321" s="32" t="s">
        <v>999</v>
      </c>
      <c r="M321" s="31">
        <f>963</f>
        <v>963</v>
      </c>
      <c r="N321" s="32" t="s">
        <v>790</v>
      </c>
      <c r="O321" s="31">
        <f>928</f>
        <v>928</v>
      </c>
      <c r="P321" s="32" t="s">
        <v>785</v>
      </c>
      <c r="Q321" s="31">
        <f>936</f>
        <v>936</v>
      </c>
      <c r="R321" s="32" t="s">
        <v>791</v>
      </c>
      <c r="S321" s="33">
        <f>944.1</f>
        <v>944.1</v>
      </c>
      <c r="T321" s="30">
        <f>947356</f>
        <v>947356</v>
      </c>
      <c r="U321" s="30">
        <f>540000</f>
        <v>540000</v>
      </c>
      <c r="V321" s="30">
        <f>887455276</f>
        <v>887455276</v>
      </c>
      <c r="W321" s="30">
        <f>504320330</f>
        <v>504320330</v>
      </c>
      <c r="X321" s="34">
        <f>21</f>
        <v>21</v>
      </c>
    </row>
    <row r="322" spans="1:24" ht="13.5" customHeight="1" x14ac:dyDescent="0.15">
      <c r="A322" s="25" t="s">
        <v>1182</v>
      </c>
      <c r="B322" s="25" t="s">
        <v>937</v>
      </c>
      <c r="C322" s="25" t="s">
        <v>938</v>
      </c>
      <c r="D322" s="25" t="s">
        <v>939</v>
      </c>
      <c r="E322" s="26" t="s">
        <v>45</v>
      </c>
      <c r="F322" s="27" t="s">
        <v>45</v>
      </c>
      <c r="G322" s="28" t="s">
        <v>45</v>
      </c>
      <c r="H322" s="29"/>
      <c r="I322" s="29" t="s">
        <v>46</v>
      </c>
      <c r="J322" s="30">
        <v>10</v>
      </c>
      <c r="K322" s="31">
        <f>714.5</f>
        <v>714.5</v>
      </c>
      <c r="L322" s="32" t="s">
        <v>999</v>
      </c>
      <c r="M322" s="31">
        <f>714.5</f>
        <v>714.5</v>
      </c>
      <c r="N322" s="32" t="s">
        <v>999</v>
      </c>
      <c r="O322" s="31">
        <f>695.8</f>
        <v>695.8</v>
      </c>
      <c r="P322" s="32" t="s">
        <v>790</v>
      </c>
      <c r="Q322" s="31">
        <f>703.3</f>
        <v>703.3</v>
      </c>
      <c r="R322" s="32" t="s">
        <v>791</v>
      </c>
      <c r="S322" s="33">
        <f>705.39</f>
        <v>705.39</v>
      </c>
      <c r="T322" s="30">
        <f>859380</f>
        <v>859380</v>
      </c>
      <c r="U322" s="30">
        <f>211020</f>
        <v>211020</v>
      </c>
      <c r="V322" s="30">
        <f>603769608</f>
        <v>603769608</v>
      </c>
      <c r="W322" s="30">
        <f>148192288</f>
        <v>148192288</v>
      </c>
      <c r="X322" s="34">
        <f>21</f>
        <v>21</v>
      </c>
    </row>
    <row r="323" spans="1:24" ht="13.5" customHeight="1" x14ac:dyDescent="0.15">
      <c r="A323" s="25" t="s">
        <v>1182</v>
      </c>
      <c r="B323" s="25" t="s">
        <v>940</v>
      </c>
      <c r="C323" s="25" t="s">
        <v>941</v>
      </c>
      <c r="D323" s="25" t="s">
        <v>942</v>
      </c>
      <c r="E323" s="26" t="s">
        <v>45</v>
      </c>
      <c r="F323" s="27" t="s">
        <v>45</v>
      </c>
      <c r="G323" s="28" t="s">
        <v>45</v>
      </c>
      <c r="H323" s="29"/>
      <c r="I323" s="29" t="s">
        <v>46</v>
      </c>
      <c r="J323" s="30">
        <v>10</v>
      </c>
      <c r="K323" s="31">
        <f>691.7</f>
        <v>691.7</v>
      </c>
      <c r="L323" s="32" t="s">
        <v>999</v>
      </c>
      <c r="M323" s="31">
        <f>693.8</f>
        <v>693.8</v>
      </c>
      <c r="N323" s="32" t="s">
        <v>787</v>
      </c>
      <c r="O323" s="31">
        <f>673.8</f>
        <v>673.8</v>
      </c>
      <c r="P323" s="32" t="s">
        <v>793</v>
      </c>
      <c r="Q323" s="31">
        <f>682.4</f>
        <v>682.4</v>
      </c>
      <c r="R323" s="32" t="s">
        <v>791</v>
      </c>
      <c r="S323" s="33">
        <f>681.69</f>
        <v>681.69</v>
      </c>
      <c r="T323" s="30">
        <f>1656730</f>
        <v>1656730</v>
      </c>
      <c r="U323" s="30">
        <f>1433000</f>
        <v>1433000</v>
      </c>
      <c r="V323" s="30">
        <f>1127018176</f>
        <v>1127018176</v>
      </c>
      <c r="W323" s="30">
        <f>974949000</f>
        <v>974949000</v>
      </c>
      <c r="X323" s="34">
        <f>20</f>
        <v>20</v>
      </c>
    </row>
    <row r="324" spans="1:24" ht="13.5" customHeight="1" x14ac:dyDescent="0.15">
      <c r="A324" s="25" t="s">
        <v>1182</v>
      </c>
      <c r="B324" s="25" t="s">
        <v>943</v>
      </c>
      <c r="C324" s="25" t="s">
        <v>944</v>
      </c>
      <c r="D324" s="25" t="s">
        <v>945</v>
      </c>
      <c r="E324" s="26" t="s">
        <v>45</v>
      </c>
      <c r="F324" s="27" t="s">
        <v>45</v>
      </c>
      <c r="G324" s="28" t="s">
        <v>45</v>
      </c>
      <c r="H324" s="29"/>
      <c r="I324" s="29" t="s">
        <v>46</v>
      </c>
      <c r="J324" s="30">
        <v>1</v>
      </c>
      <c r="K324" s="31">
        <f>1142</f>
        <v>1142</v>
      </c>
      <c r="L324" s="32" t="s">
        <v>999</v>
      </c>
      <c r="M324" s="31">
        <f>1155</f>
        <v>1155</v>
      </c>
      <c r="N324" s="32" t="s">
        <v>787</v>
      </c>
      <c r="O324" s="31">
        <f>1051</f>
        <v>1051</v>
      </c>
      <c r="P324" s="32" t="s">
        <v>785</v>
      </c>
      <c r="Q324" s="31">
        <f>1103</f>
        <v>1103</v>
      </c>
      <c r="R324" s="32" t="s">
        <v>791</v>
      </c>
      <c r="S324" s="33">
        <f>1119.33</f>
        <v>1119.33</v>
      </c>
      <c r="T324" s="30">
        <f>743226</f>
        <v>743226</v>
      </c>
      <c r="U324" s="30">
        <f>626651</f>
        <v>626651</v>
      </c>
      <c r="V324" s="30">
        <f>843708928</f>
        <v>843708928</v>
      </c>
      <c r="W324" s="30">
        <f>714798517</f>
        <v>714798517</v>
      </c>
      <c r="X324" s="34">
        <f>21</f>
        <v>21</v>
      </c>
    </row>
    <row r="325" spans="1:24" ht="13.5" customHeight="1" x14ac:dyDescent="0.15">
      <c r="A325" s="25" t="s">
        <v>1182</v>
      </c>
      <c r="B325" s="25" t="s">
        <v>952</v>
      </c>
      <c r="C325" s="25" t="s">
        <v>953</v>
      </c>
      <c r="D325" s="25" t="s">
        <v>954</v>
      </c>
      <c r="E325" s="26" t="s">
        <v>45</v>
      </c>
      <c r="F325" s="27" t="s">
        <v>45</v>
      </c>
      <c r="G325" s="28" t="s">
        <v>45</v>
      </c>
      <c r="H325" s="29"/>
      <c r="I325" s="29" t="s">
        <v>46</v>
      </c>
      <c r="J325" s="30">
        <v>10</v>
      </c>
      <c r="K325" s="31">
        <f>2285</f>
        <v>2285</v>
      </c>
      <c r="L325" s="32" t="s">
        <v>999</v>
      </c>
      <c r="M325" s="31">
        <f>2291</f>
        <v>2291</v>
      </c>
      <c r="N325" s="32" t="s">
        <v>787</v>
      </c>
      <c r="O325" s="31">
        <f>2172.5</f>
        <v>2172.5</v>
      </c>
      <c r="P325" s="32" t="s">
        <v>893</v>
      </c>
      <c r="Q325" s="31">
        <f>2178</f>
        <v>2178</v>
      </c>
      <c r="R325" s="32" t="s">
        <v>791</v>
      </c>
      <c r="S325" s="33">
        <f>2223.64</f>
        <v>2223.64</v>
      </c>
      <c r="T325" s="30">
        <f>64700</f>
        <v>64700</v>
      </c>
      <c r="U325" s="30" t="str">
        <f t="shared" ref="U325:U330" si="6">"－"</f>
        <v>－</v>
      </c>
      <c r="V325" s="30">
        <f>144751610</f>
        <v>144751610</v>
      </c>
      <c r="W325" s="30" t="str">
        <f t="shared" ref="W325:W330" si="7">"－"</f>
        <v>－</v>
      </c>
      <c r="X325" s="34">
        <f>21</f>
        <v>21</v>
      </c>
    </row>
    <row r="326" spans="1:24" ht="13.5" customHeight="1" x14ac:dyDescent="0.15">
      <c r="A326" s="25" t="s">
        <v>1182</v>
      </c>
      <c r="B326" s="25" t="s">
        <v>955</v>
      </c>
      <c r="C326" s="25" t="s">
        <v>956</v>
      </c>
      <c r="D326" s="25" t="s">
        <v>957</v>
      </c>
      <c r="E326" s="26" t="s">
        <v>45</v>
      </c>
      <c r="F326" s="27" t="s">
        <v>45</v>
      </c>
      <c r="G326" s="28" t="s">
        <v>45</v>
      </c>
      <c r="H326" s="29"/>
      <c r="I326" s="29" t="s">
        <v>46</v>
      </c>
      <c r="J326" s="30">
        <v>10</v>
      </c>
      <c r="K326" s="31">
        <f>2270</f>
        <v>2270</v>
      </c>
      <c r="L326" s="32" t="s">
        <v>999</v>
      </c>
      <c r="M326" s="31">
        <f>2270</f>
        <v>2270</v>
      </c>
      <c r="N326" s="32" t="s">
        <v>999</v>
      </c>
      <c r="O326" s="31">
        <f>2113</f>
        <v>2113</v>
      </c>
      <c r="P326" s="32" t="s">
        <v>893</v>
      </c>
      <c r="Q326" s="31">
        <f>2128.5</f>
        <v>2128.5</v>
      </c>
      <c r="R326" s="32" t="s">
        <v>893</v>
      </c>
      <c r="S326" s="33">
        <f>2195.59</f>
        <v>2195.59</v>
      </c>
      <c r="T326" s="30">
        <f>59720</f>
        <v>59720</v>
      </c>
      <c r="U326" s="30" t="str">
        <f t="shared" si="6"/>
        <v>－</v>
      </c>
      <c r="V326" s="30">
        <f>131349410</f>
        <v>131349410</v>
      </c>
      <c r="W326" s="30" t="str">
        <f t="shared" si="7"/>
        <v>－</v>
      </c>
      <c r="X326" s="34">
        <f>16</f>
        <v>16</v>
      </c>
    </row>
    <row r="327" spans="1:24" ht="13.5" customHeight="1" x14ac:dyDescent="0.15">
      <c r="A327" s="25" t="s">
        <v>1182</v>
      </c>
      <c r="B327" s="25" t="s">
        <v>946</v>
      </c>
      <c r="C327" s="25" t="s">
        <v>947</v>
      </c>
      <c r="D327" s="25" t="s">
        <v>948</v>
      </c>
      <c r="E327" s="26" t="s">
        <v>45</v>
      </c>
      <c r="F327" s="27" t="s">
        <v>45</v>
      </c>
      <c r="G327" s="28" t="s">
        <v>45</v>
      </c>
      <c r="H327" s="29"/>
      <c r="I327" s="29" t="s">
        <v>46</v>
      </c>
      <c r="J327" s="30">
        <v>10</v>
      </c>
      <c r="K327" s="31">
        <f>4968</f>
        <v>4968</v>
      </c>
      <c r="L327" s="32" t="s">
        <v>996</v>
      </c>
      <c r="M327" s="31">
        <f>5093</f>
        <v>5093</v>
      </c>
      <c r="N327" s="32" t="s">
        <v>793</v>
      </c>
      <c r="O327" s="31">
        <f>4923</f>
        <v>4923</v>
      </c>
      <c r="P327" s="32" t="s">
        <v>785</v>
      </c>
      <c r="Q327" s="31">
        <f>5093</f>
        <v>5093</v>
      </c>
      <c r="R327" s="32" t="s">
        <v>793</v>
      </c>
      <c r="S327" s="33">
        <f>5016.83</f>
        <v>5016.83</v>
      </c>
      <c r="T327" s="30">
        <f>270</f>
        <v>270</v>
      </c>
      <c r="U327" s="30" t="str">
        <f t="shared" si="6"/>
        <v>－</v>
      </c>
      <c r="V327" s="30">
        <f>1366510</f>
        <v>1366510</v>
      </c>
      <c r="W327" s="30" t="str">
        <f t="shared" si="7"/>
        <v>－</v>
      </c>
      <c r="X327" s="34">
        <f>6</f>
        <v>6</v>
      </c>
    </row>
    <row r="328" spans="1:24" ht="13.5" customHeight="1" x14ac:dyDescent="0.15">
      <c r="A328" s="25" t="s">
        <v>1182</v>
      </c>
      <c r="B328" s="25" t="s">
        <v>949</v>
      </c>
      <c r="C328" s="25" t="s">
        <v>950</v>
      </c>
      <c r="D328" s="25" t="s">
        <v>951</v>
      </c>
      <c r="E328" s="26" t="s">
        <v>45</v>
      </c>
      <c r="F328" s="27" t="s">
        <v>45</v>
      </c>
      <c r="G328" s="28" t="s">
        <v>45</v>
      </c>
      <c r="H328" s="29"/>
      <c r="I328" s="29" t="s">
        <v>46</v>
      </c>
      <c r="J328" s="30">
        <v>10</v>
      </c>
      <c r="K328" s="31">
        <f>4217</f>
        <v>4217</v>
      </c>
      <c r="L328" s="32" t="s">
        <v>999</v>
      </c>
      <c r="M328" s="31">
        <f>4252</f>
        <v>4252</v>
      </c>
      <c r="N328" s="32" t="s">
        <v>996</v>
      </c>
      <c r="O328" s="31">
        <f>4158</f>
        <v>4158</v>
      </c>
      <c r="P328" s="32" t="s">
        <v>793</v>
      </c>
      <c r="Q328" s="31">
        <f>4218</f>
        <v>4218</v>
      </c>
      <c r="R328" s="32" t="s">
        <v>255</v>
      </c>
      <c r="S328" s="33">
        <f>4211.7</f>
        <v>4211.7</v>
      </c>
      <c r="T328" s="30">
        <f>40510</f>
        <v>40510</v>
      </c>
      <c r="U328" s="30" t="str">
        <f t="shared" si="6"/>
        <v>－</v>
      </c>
      <c r="V328" s="30">
        <f>170810250</f>
        <v>170810250</v>
      </c>
      <c r="W328" s="30" t="str">
        <f t="shared" si="7"/>
        <v>－</v>
      </c>
      <c r="X328" s="34">
        <f>10</f>
        <v>10</v>
      </c>
    </row>
    <row r="329" spans="1:24" ht="13.5" customHeight="1" x14ac:dyDescent="0.15">
      <c r="A329" s="25" t="s">
        <v>1182</v>
      </c>
      <c r="B329" s="25" t="s">
        <v>958</v>
      </c>
      <c r="C329" s="25" t="s">
        <v>959</v>
      </c>
      <c r="D329" s="25" t="s">
        <v>960</v>
      </c>
      <c r="E329" s="26" t="s">
        <v>45</v>
      </c>
      <c r="F329" s="27" t="s">
        <v>45</v>
      </c>
      <c r="G329" s="28" t="s">
        <v>45</v>
      </c>
      <c r="H329" s="29"/>
      <c r="I329" s="29" t="s">
        <v>46</v>
      </c>
      <c r="J329" s="30">
        <v>10</v>
      </c>
      <c r="K329" s="31">
        <f>1835.5</f>
        <v>1835.5</v>
      </c>
      <c r="L329" s="32" t="s">
        <v>999</v>
      </c>
      <c r="M329" s="31">
        <f>1841.5</f>
        <v>1841.5</v>
      </c>
      <c r="N329" s="32" t="s">
        <v>875</v>
      </c>
      <c r="O329" s="31">
        <f>1791</f>
        <v>1791</v>
      </c>
      <c r="P329" s="32" t="s">
        <v>80</v>
      </c>
      <c r="Q329" s="31">
        <f>1791</f>
        <v>1791</v>
      </c>
      <c r="R329" s="32" t="s">
        <v>80</v>
      </c>
      <c r="S329" s="33">
        <f>1818.61</f>
        <v>1818.61</v>
      </c>
      <c r="T329" s="30">
        <f>1580</f>
        <v>1580</v>
      </c>
      <c r="U329" s="30" t="str">
        <f t="shared" si="6"/>
        <v>－</v>
      </c>
      <c r="V329" s="30">
        <f>2861120</f>
        <v>2861120</v>
      </c>
      <c r="W329" s="30" t="str">
        <f t="shared" si="7"/>
        <v>－</v>
      </c>
      <c r="X329" s="34">
        <f>9</f>
        <v>9</v>
      </c>
    </row>
    <row r="330" spans="1:24" ht="13.5" customHeight="1" x14ac:dyDescent="0.15">
      <c r="A330" s="25" t="s">
        <v>1182</v>
      </c>
      <c r="B330" s="25" t="s">
        <v>961</v>
      </c>
      <c r="C330" s="25" t="s">
        <v>962</v>
      </c>
      <c r="D330" s="25" t="s">
        <v>963</v>
      </c>
      <c r="E330" s="26" t="s">
        <v>45</v>
      </c>
      <c r="F330" s="27" t="s">
        <v>45</v>
      </c>
      <c r="G330" s="28" t="s">
        <v>45</v>
      </c>
      <c r="H330" s="29"/>
      <c r="I330" s="29" t="s">
        <v>46</v>
      </c>
      <c r="J330" s="30">
        <v>1</v>
      </c>
      <c r="K330" s="31">
        <f>1160</f>
        <v>1160</v>
      </c>
      <c r="L330" s="32" t="s">
        <v>999</v>
      </c>
      <c r="M330" s="31">
        <f>1178</f>
        <v>1178</v>
      </c>
      <c r="N330" s="32" t="s">
        <v>787</v>
      </c>
      <c r="O330" s="31">
        <f>1037</f>
        <v>1037</v>
      </c>
      <c r="P330" s="32" t="s">
        <v>786</v>
      </c>
      <c r="Q330" s="31">
        <f>1059</f>
        <v>1059</v>
      </c>
      <c r="R330" s="32" t="s">
        <v>791</v>
      </c>
      <c r="S330" s="33">
        <f>1113.05</f>
        <v>1113.05</v>
      </c>
      <c r="T330" s="30">
        <f>5372</f>
        <v>5372</v>
      </c>
      <c r="U330" s="30" t="str">
        <f t="shared" si="6"/>
        <v>－</v>
      </c>
      <c r="V330" s="30">
        <f>5914076</f>
        <v>5914076</v>
      </c>
      <c r="W330" s="30" t="str">
        <f t="shared" si="7"/>
        <v>－</v>
      </c>
      <c r="X330" s="34">
        <f>21</f>
        <v>21</v>
      </c>
    </row>
    <row r="331" spans="1:24" ht="13.5" customHeight="1" x14ac:dyDescent="0.15">
      <c r="A331" s="25" t="s">
        <v>1182</v>
      </c>
      <c r="B331" s="25" t="s">
        <v>964</v>
      </c>
      <c r="C331" s="25" t="s">
        <v>965</v>
      </c>
      <c r="D331" s="25" t="s">
        <v>966</v>
      </c>
      <c r="E331" s="26" t="s">
        <v>45</v>
      </c>
      <c r="F331" s="27" t="s">
        <v>45</v>
      </c>
      <c r="G331" s="28" t="s">
        <v>45</v>
      </c>
      <c r="H331" s="29"/>
      <c r="I331" s="29" t="s">
        <v>46</v>
      </c>
      <c r="J331" s="30">
        <v>1</v>
      </c>
      <c r="K331" s="31">
        <f>1108</f>
        <v>1108</v>
      </c>
      <c r="L331" s="32" t="s">
        <v>999</v>
      </c>
      <c r="M331" s="31">
        <f>1117</f>
        <v>1117</v>
      </c>
      <c r="N331" s="32" t="s">
        <v>56</v>
      </c>
      <c r="O331" s="31">
        <f>1074</f>
        <v>1074</v>
      </c>
      <c r="P331" s="32" t="s">
        <v>893</v>
      </c>
      <c r="Q331" s="31">
        <f>1082</f>
        <v>1082</v>
      </c>
      <c r="R331" s="32" t="s">
        <v>791</v>
      </c>
      <c r="S331" s="33">
        <f>1097.33</f>
        <v>1097.33</v>
      </c>
      <c r="T331" s="30">
        <f>1413545</f>
        <v>1413545</v>
      </c>
      <c r="U331" s="30">
        <f>125</f>
        <v>125</v>
      </c>
      <c r="V331" s="30">
        <f>1545444007</f>
        <v>1545444007</v>
      </c>
      <c r="W331" s="30">
        <f>142811</f>
        <v>142811</v>
      </c>
      <c r="X331" s="34">
        <f>21</f>
        <v>21</v>
      </c>
    </row>
    <row r="332" spans="1:24" ht="13.5" customHeight="1" x14ac:dyDescent="0.15">
      <c r="A332" s="25" t="s">
        <v>1182</v>
      </c>
      <c r="B332" s="25" t="s">
        <v>967</v>
      </c>
      <c r="C332" s="25" t="s">
        <v>968</v>
      </c>
      <c r="D332" s="25" t="s">
        <v>969</v>
      </c>
      <c r="E332" s="26" t="s">
        <v>45</v>
      </c>
      <c r="F332" s="27" t="s">
        <v>45</v>
      </c>
      <c r="G332" s="28" t="s">
        <v>45</v>
      </c>
      <c r="H332" s="29"/>
      <c r="I332" s="29" t="s">
        <v>46</v>
      </c>
      <c r="J332" s="30">
        <v>1</v>
      </c>
      <c r="K332" s="31">
        <f>950</f>
        <v>950</v>
      </c>
      <c r="L332" s="32" t="s">
        <v>999</v>
      </c>
      <c r="M332" s="31">
        <f>955</f>
        <v>955</v>
      </c>
      <c r="N332" s="32" t="s">
        <v>999</v>
      </c>
      <c r="O332" s="31">
        <f>885</f>
        <v>885</v>
      </c>
      <c r="P332" s="32" t="s">
        <v>791</v>
      </c>
      <c r="Q332" s="31">
        <f>891</f>
        <v>891</v>
      </c>
      <c r="R332" s="32" t="s">
        <v>791</v>
      </c>
      <c r="S332" s="33">
        <f>908.52</f>
        <v>908.52</v>
      </c>
      <c r="T332" s="30">
        <f>2168124</f>
        <v>2168124</v>
      </c>
      <c r="U332" s="30">
        <f>203</f>
        <v>203</v>
      </c>
      <c r="V332" s="30">
        <f>1961287480</f>
        <v>1961287480</v>
      </c>
      <c r="W332" s="30">
        <f>171377</f>
        <v>171377</v>
      </c>
      <c r="X332" s="34">
        <f>21</f>
        <v>21</v>
      </c>
    </row>
    <row r="333" spans="1:24" ht="13.5" customHeight="1" x14ac:dyDescent="0.15">
      <c r="A333" s="25" t="s">
        <v>1182</v>
      </c>
      <c r="B333" s="25" t="s">
        <v>974</v>
      </c>
      <c r="C333" s="25" t="s">
        <v>975</v>
      </c>
      <c r="D333" s="25" t="s">
        <v>976</v>
      </c>
      <c r="E333" s="26" t="s">
        <v>45</v>
      </c>
      <c r="F333" s="27" t="s">
        <v>45</v>
      </c>
      <c r="G333" s="28" t="s">
        <v>45</v>
      </c>
      <c r="H333" s="29"/>
      <c r="I333" s="29" t="s">
        <v>46</v>
      </c>
      <c r="J333" s="30">
        <v>1</v>
      </c>
      <c r="K333" s="31">
        <f>1112</f>
        <v>1112</v>
      </c>
      <c r="L333" s="32" t="s">
        <v>999</v>
      </c>
      <c r="M333" s="31">
        <f>1124</f>
        <v>1124</v>
      </c>
      <c r="N333" s="32" t="s">
        <v>999</v>
      </c>
      <c r="O333" s="31">
        <f>975</f>
        <v>975</v>
      </c>
      <c r="P333" s="32" t="s">
        <v>791</v>
      </c>
      <c r="Q333" s="31">
        <f>979</f>
        <v>979</v>
      </c>
      <c r="R333" s="32" t="s">
        <v>791</v>
      </c>
      <c r="S333" s="33">
        <f>1057.33</f>
        <v>1057.33</v>
      </c>
      <c r="T333" s="30">
        <f>88057</f>
        <v>88057</v>
      </c>
      <c r="U333" s="30" t="str">
        <f>"－"</f>
        <v>－</v>
      </c>
      <c r="V333" s="30">
        <f>92725563</f>
        <v>92725563</v>
      </c>
      <c r="W333" s="30" t="str">
        <f>"－"</f>
        <v>－</v>
      </c>
      <c r="X333" s="34">
        <f>21</f>
        <v>21</v>
      </c>
    </row>
    <row r="334" spans="1:24" ht="13.5" customHeight="1" x14ac:dyDescent="0.15">
      <c r="A334" s="25" t="s">
        <v>1182</v>
      </c>
      <c r="B334" s="25" t="s">
        <v>977</v>
      </c>
      <c r="C334" s="25" t="s">
        <v>978</v>
      </c>
      <c r="D334" s="25" t="s">
        <v>979</v>
      </c>
      <c r="E334" s="26" t="s">
        <v>45</v>
      </c>
      <c r="F334" s="27" t="s">
        <v>45</v>
      </c>
      <c r="G334" s="28" t="s">
        <v>45</v>
      </c>
      <c r="H334" s="29"/>
      <c r="I334" s="29" t="s">
        <v>46</v>
      </c>
      <c r="J334" s="30">
        <v>1</v>
      </c>
      <c r="K334" s="31">
        <f>1007</f>
        <v>1007</v>
      </c>
      <c r="L334" s="32" t="s">
        <v>999</v>
      </c>
      <c r="M334" s="31">
        <f>1016</f>
        <v>1016</v>
      </c>
      <c r="N334" s="32" t="s">
        <v>792</v>
      </c>
      <c r="O334" s="31">
        <f>974</f>
        <v>974</v>
      </c>
      <c r="P334" s="32" t="s">
        <v>893</v>
      </c>
      <c r="Q334" s="31">
        <f>984</f>
        <v>984</v>
      </c>
      <c r="R334" s="32" t="s">
        <v>791</v>
      </c>
      <c r="S334" s="33">
        <f>997.71</f>
        <v>997.71</v>
      </c>
      <c r="T334" s="30">
        <f>408781</f>
        <v>408781</v>
      </c>
      <c r="U334" s="30" t="str">
        <f>"－"</f>
        <v>－</v>
      </c>
      <c r="V334" s="30">
        <f>406561543</f>
        <v>406561543</v>
      </c>
      <c r="W334" s="30" t="str">
        <f>"－"</f>
        <v>－</v>
      </c>
      <c r="X334" s="34">
        <f>21</f>
        <v>21</v>
      </c>
    </row>
    <row r="335" spans="1:24" ht="13.5" customHeight="1" x14ac:dyDescent="0.15">
      <c r="A335" s="25" t="s">
        <v>1182</v>
      </c>
      <c r="B335" s="25" t="s">
        <v>980</v>
      </c>
      <c r="C335" s="25" t="s">
        <v>981</v>
      </c>
      <c r="D335" s="25" t="s">
        <v>1089</v>
      </c>
      <c r="E335" s="26" t="s">
        <v>45</v>
      </c>
      <c r="F335" s="27" t="s">
        <v>45</v>
      </c>
      <c r="G335" s="28" t="s">
        <v>45</v>
      </c>
      <c r="H335" s="29"/>
      <c r="I335" s="29" t="s">
        <v>46</v>
      </c>
      <c r="J335" s="30">
        <v>1</v>
      </c>
      <c r="K335" s="31">
        <f>27850</f>
        <v>27850</v>
      </c>
      <c r="L335" s="32" t="s">
        <v>999</v>
      </c>
      <c r="M335" s="31">
        <f>29635</f>
        <v>29635</v>
      </c>
      <c r="N335" s="32" t="s">
        <v>787</v>
      </c>
      <c r="O335" s="31">
        <f>25275</f>
        <v>25275</v>
      </c>
      <c r="P335" s="32" t="s">
        <v>255</v>
      </c>
      <c r="Q335" s="31">
        <f>25530</f>
        <v>25530</v>
      </c>
      <c r="R335" s="32" t="s">
        <v>791</v>
      </c>
      <c r="S335" s="33">
        <f>27591.67</f>
        <v>27591.67</v>
      </c>
      <c r="T335" s="30">
        <f>535529</f>
        <v>535529</v>
      </c>
      <c r="U335" s="30" t="str">
        <f>"－"</f>
        <v>－</v>
      </c>
      <c r="V335" s="30">
        <f>14767769680</f>
        <v>14767769680</v>
      </c>
      <c r="W335" s="30" t="str">
        <f>"－"</f>
        <v>－</v>
      </c>
      <c r="X335" s="34">
        <f>21</f>
        <v>21</v>
      </c>
    </row>
    <row r="336" spans="1:24" ht="13.5" customHeight="1" x14ac:dyDescent="0.15">
      <c r="A336" s="25" t="s">
        <v>1182</v>
      </c>
      <c r="B336" s="25" t="s">
        <v>983</v>
      </c>
      <c r="C336" s="25" t="s">
        <v>984</v>
      </c>
      <c r="D336" s="25" t="s">
        <v>1090</v>
      </c>
      <c r="E336" s="26" t="s">
        <v>45</v>
      </c>
      <c r="F336" s="27" t="s">
        <v>45</v>
      </c>
      <c r="G336" s="28" t="s">
        <v>45</v>
      </c>
      <c r="H336" s="29"/>
      <c r="I336" s="29" t="s">
        <v>46</v>
      </c>
      <c r="J336" s="30">
        <v>1</v>
      </c>
      <c r="K336" s="31">
        <f>35810</f>
        <v>35810</v>
      </c>
      <c r="L336" s="32" t="s">
        <v>999</v>
      </c>
      <c r="M336" s="31">
        <f>38970</f>
        <v>38970</v>
      </c>
      <c r="N336" s="32" t="s">
        <v>255</v>
      </c>
      <c r="O336" s="31">
        <f>33530</f>
        <v>33530</v>
      </c>
      <c r="P336" s="32" t="s">
        <v>787</v>
      </c>
      <c r="Q336" s="31">
        <f>38640</f>
        <v>38640</v>
      </c>
      <c r="R336" s="32" t="s">
        <v>791</v>
      </c>
      <c r="S336" s="33">
        <f>36045.71</f>
        <v>36045.71</v>
      </c>
      <c r="T336" s="30">
        <f>371589</f>
        <v>371589</v>
      </c>
      <c r="U336" s="30">
        <f>12095</f>
        <v>12095</v>
      </c>
      <c r="V336" s="30">
        <f>13444561562</f>
        <v>13444561562</v>
      </c>
      <c r="W336" s="30">
        <f>440303872</f>
        <v>440303872</v>
      </c>
      <c r="X336" s="34">
        <f>21</f>
        <v>21</v>
      </c>
    </row>
  </sheetData>
  <mergeCells count="3">
    <mergeCell ref="N1:X3"/>
    <mergeCell ref="A2:M2"/>
    <mergeCell ref="A3:M3"/>
  </mergeCells>
  <phoneticPr fontId="3"/>
  <printOptions horizontalCentered="1"/>
  <pageMargins left="0.39370078740157483" right="0.39370078740157483" top="0.39370078740157483" bottom="0.59055118110236227" header="0.27559055118110237" footer="0.27559055118110237"/>
  <pageSetup paperSize="9" scale="34" fitToHeight="0" orientation="landscape" r:id="rId1"/>
  <headerFooter>
    <oddFooter>&amp;C&amp;P/&amp;N&amp;RCopyright (c) Tokyo Stock Exchange, Inc. All Rights Reserved.</oddFooter>
  </headerFooter>
  <customProperties>
    <customPr name="layoutContexts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4E5154-A047-4742-A27D-8F84AB43E314}">
  <sheetPr>
    <pageSetUpPr fitToPage="1"/>
  </sheetPr>
  <dimension ref="A1:X330"/>
  <sheetViews>
    <sheetView showGridLines="0" view="pageBreakPreview" zoomScaleNormal="70" zoomScaleSheetLayoutView="100" workbookViewId="0">
      <pane ySplit="6" topLeftCell="A7" activePane="bottomLeft" state="frozen"/>
      <selection activeCell="A2" sqref="A2:M2"/>
      <selection pane="bottomLeft" activeCell="A2" sqref="A2:M2"/>
    </sheetView>
  </sheetViews>
  <sheetFormatPr defaultRowHeight="13.5" customHeight="1" x14ac:dyDescent="0.4"/>
  <cols>
    <col min="1" max="1" width="13.125" style="3" bestFit="1" customWidth="1"/>
    <col min="2" max="2" width="10.75" style="3" bestFit="1" customWidth="1"/>
    <col min="3" max="4" width="27.625" style="3" customWidth="1"/>
    <col min="5" max="5" width="13.75" style="3" bestFit="1" customWidth="1"/>
    <col min="6" max="6" width="20.75" style="3" bestFit="1" customWidth="1"/>
    <col min="7" max="7" width="11.25" style="3" customWidth="1"/>
    <col min="8" max="8" width="8.75" style="3" bestFit="1" customWidth="1"/>
    <col min="9" max="9" width="11.75" style="3" bestFit="1" customWidth="1"/>
    <col min="10" max="10" width="12.625" style="3" bestFit="1" customWidth="1"/>
    <col min="11" max="11" width="16.25" style="3" customWidth="1"/>
    <col min="12" max="12" width="5.625" style="3" bestFit="1" customWidth="1"/>
    <col min="13" max="13" width="16.25" style="3" customWidth="1"/>
    <col min="14" max="14" width="5.625" style="3" bestFit="1" customWidth="1"/>
    <col min="15" max="15" width="16.25" style="3" customWidth="1"/>
    <col min="16" max="16" width="5.625" style="3" bestFit="1" customWidth="1"/>
    <col min="17" max="17" width="16.25" style="3" customWidth="1"/>
    <col min="18" max="18" width="5.625" style="3" bestFit="1" customWidth="1"/>
    <col min="19" max="19" width="23.875" style="3" bestFit="1" customWidth="1"/>
    <col min="20" max="20" width="16.25" style="3" customWidth="1"/>
    <col min="21" max="21" width="24.125" style="3" customWidth="1"/>
    <col min="22" max="22" width="19.875" style="3" bestFit="1" customWidth="1"/>
    <col min="23" max="23" width="25" style="3" bestFit="1" customWidth="1"/>
    <col min="24" max="24" width="13.125" style="3" bestFit="1" customWidth="1"/>
    <col min="25" max="16384" width="9" style="3"/>
  </cols>
  <sheetData>
    <row r="1" spans="1:24" ht="13.5" customHeight="1" x14ac:dyDescent="0.4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6" t="s">
        <v>0</v>
      </c>
      <c r="O1" s="36"/>
      <c r="P1" s="36"/>
      <c r="Q1" s="36"/>
      <c r="R1" s="36"/>
      <c r="S1" s="36"/>
      <c r="T1" s="36"/>
      <c r="U1" s="36"/>
      <c r="V1" s="36"/>
      <c r="W1" s="36"/>
      <c r="X1" s="37"/>
    </row>
    <row r="2" spans="1:24" ht="99" customHeight="1" x14ac:dyDescent="0.4">
      <c r="A2" s="42" t="s">
        <v>1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38"/>
      <c r="O2" s="38"/>
      <c r="P2" s="38"/>
      <c r="Q2" s="38"/>
      <c r="R2" s="38"/>
      <c r="S2" s="38"/>
      <c r="T2" s="38"/>
      <c r="U2" s="38"/>
      <c r="V2" s="38"/>
      <c r="W2" s="38"/>
      <c r="X2" s="39"/>
    </row>
    <row r="3" spans="1:24" ht="39" customHeight="1" x14ac:dyDescent="0.4">
      <c r="A3" s="44" t="s">
        <v>2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0"/>
      <c r="O3" s="40"/>
      <c r="P3" s="40"/>
      <c r="Q3" s="40"/>
      <c r="R3" s="40"/>
      <c r="S3" s="40"/>
      <c r="T3" s="40"/>
      <c r="U3" s="40"/>
      <c r="V3" s="40"/>
      <c r="W3" s="40"/>
      <c r="X3" s="41"/>
    </row>
    <row r="4" spans="1:24" s="10" customFormat="1" ht="13.5" customHeight="1" x14ac:dyDescent="0.4">
      <c r="A4" s="4" t="s">
        <v>3</v>
      </c>
      <c r="B4" s="4" t="s">
        <v>4</v>
      </c>
      <c r="C4" s="4"/>
      <c r="D4" s="4"/>
      <c r="E4" s="5"/>
      <c r="F4" s="6"/>
      <c r="G4" s="7" t="s">
        <v>5</v>
      </c>
      <c r="H4" s="4" t="s">
        <v>6</v>
      </c>
      <c r="I4" s="4" t="s">
        <v>7</v>
      </c>
      <c r="J4" s="4" t="s">
        <v>8</v>
      </c>
      <c r="K4" s="8" t="s">
        <v>9</v>
      </c>
      <c r="L4" s="7" t="s">
        <v>5</v>
      </c>
      <c r="M4" s="8" t="s">
        <v>10</v>
      </c>
      <c r="N4" s="7" t="s">
        <v>5</v>
      </c>
      <c r="O4" s="8" t="s">
        <v>11</v>
      </c>
      <c r="P4" s="7" t="s">
        <v>5</v>
      </c>
      <c r="Q4" s="8" t="s">
        <v>12</v>
      </c>
      <c r="R4" s="7" t="s">
        <v>5</v>
      </c>
      <c r="S4" s="4" t="s">
        <v>13</v>
      </c>
      <c r="T4" s="4" t="s">
        <v>14</v>
      </c>
      <c r="U4" s="9" t="s">
        <v>15</v>
      </c>
      <c r="V4" s="4" t="s">
        <v>16</v>
      </c>
      <c r="W4" s="4" t="s">
        <v>17</v>
      </c>
      <c r="X4" s="4" t="s">
        <v>18</v>
      </c>
    </row>
    <row r="5" spans="1:24" ht="13.5" customHeight="1" x14ac:dyDescent="0.4">
      <c r="A5" s="11" t="s">
        <v>19</v>
      </c>
      <c r="B5" s="11" t="s">
        <v>20</v>
      </c>
      <c r="C5" s="11" t="s">
        <v>21</v>
      </c>
      <c r="D5" s="11" t="s">
        <v>22</v>
      </c>
      <c r="E5" s="12" t="s">
        <v>23</v>
      </c>
      <c r="F5" s="13" t="s">
        <v>24</v>
      </c>
      <c r="G5" s="14" t="s">
        <v>25</v>
      </c>
      <c r="H5" s="15" t="s">
        <v>26</v>
      </c>
      <c r="I5" s="15" t="s">
        <v>27</v>
      </c>
      <c r="J5" s="15" t="s">
        <v>28</v>
      </c>
      <c r="K5" s="16" t="s">
        <v>29</v>
      </c>
      <c r="L5" s="14" t="s">
        <v>25</v>
      </c>
      <c r="M5" s="16" t="s">
        <v>30</v>
      </c>
      <c r="N5" s="14" t="s">
        <v>25</v>
      </c>
      <c r="O5" s="16" t="s">
        <v>31</v>
      </c>
      <c r="P5" s="14" t="s">
        <v>25</v>
      </c>
      <c r="Q5" s="16" t="s">
        <v>32</v>
      </c>
      <c r="R5" s="14" t="s">
        <v>25</v>
      </c>
      <c r="S5" s="17" t="s">
        <v>33</v>
      </c>
      <c r="T5" s="17" t="s">
        <v>34</v>
      </c>
      <c r="U5" s="11" t="s">
        <v>35</v>
      </c>
      <c r="V5" s="17" t="s">
        <v>36</v>
      </c>
      <c r="W5" s="17" t="s">
        <v>37</v>
      </c>
      <c r="X5" s="17" t="s">
        <v>38</v>
      </c>
    </row>
    <row r="6" spans="1:24" ht="13.5" customHeight="1" x14ac:dyDescent="0.15">
      <c r="A6" s="18"/>
      <c r="B6" s="18"/>
      <c r="C6" s="18"/>
      <c r="D6" s="18"/>
      <c r="E6" s="19"/>
      <c r="F6" s="20"/>
      <c r="G6" s="21"/>
      <c r="H6" s="22"/>
      <c r="I6" s="22"/>
      <c r="J6" s="22" t="s">
        <v>39</v>
      </c>
      <c r="K6" s="23" t="s">
        <v>40</v>
      </c>
      <c r="L6" s="24"/>
      <c r="M6" s="23" t="s">
        <v>40</v>
      </c>
      <c r="N6" s="24"/>
      <c r="O6" s="23" t="s">
        <v>40</v>
      </c>
      <c r="P6" s="24"/>
      <c r="Q6" s="23" t="s">
        <v>40</v>
      </c>
      <c r="R6" s="24"/>
      <c r="S6" s="23" t="s">
        <v>40</v>
      </c>
      <c r="T6" s="22" t="s">
        <v>41</v>
      </c>
      <c r="U6" s="22" t="s">
        <v>41</v>
      </c>
      <c r="V6" s="23" t="s">
        <v>40</v>
      </c>
      <c r="W6" s="23" t="s">
        <v>40</v>
      </c>
      <c r="X6" s="22"/>
    </row>
    <row r="7" spans="1:24" s="35" customFormat="1" ht="13.5" customHeight="1" x14ac:dyDescent="0.15">
      <c r="A7" s="25" t="s">
        <v>1140</v>
      </c>
      <c r="B7" s="25" t="s">
        <v>42</v>
      </c>
      <c r="C7" s="25" t="s">
        <v>1033</v>
      </c>
      <c r="D7" s="25" t="s">
        <v>1034</v>
      </c>
      <c r="E7" s="26" t="s">
        <v>45</v>
      </c>
      <c r="F7" s="27" t="s">
        <v>45</v>
      </c>
      <c r="G7" s="28" t="s">
        <v>45</v>
      </c>
      <c r="H7" s="29"/>
      <c r="I7" s="29" t="s">
        <v>46</v>
      </c>
      <c r="J7" s="30">
        <v>10</v>
      </c>
      <c r="K7" s="31">
        <f>2435</f>
        <v>2435</v>
      </c>
      <c r="L7" s="32" t="s">
        <v>995</v>
      </c>
      <c r="M7" s="31">
        <f>2551</f>
        <v>2551</v>
      </c>
      <c r="N7" s="32" t="s">
        <v>1002</v>
      </c>
      <c r="O7" s="31">
        <f>2435</f>
        <v>2435</v>
      </c>
      <c r="P7" s="32" t="s">
        <v>995</v>
      </c>
      <c r="Q7" s="31">
        <f>2455</f>
        <v>2455</v>
      </c>
      <c r="R7" s="32" t="s">
        <v>1017</v>
      </c>
      <c r="S7" s="33">
        <f>2492.6</f>
        <v>2492.6</v>
      </c>
      <c r="T7" s="30">
        <f>18442320</f>
        <v>18442320</v>
      </c>
      <c r="U7" s="30">
        <f>15142830</f>
        <v>15142830</v>
      </c>
      <c r="V7" s="30">
        <f>45774525596</f>
        <v>45774525596</v>
      </c>
      <c r="W7" s="30">
        <f>37555480456</f>
        <v>37555480456</v>
      </c>
      <c r="X7" s="34">
        <f>20</f>
        <v>20</v>
      </c>
    </row>
    <row r="8" spans="1:24" ht="13.5" customHeight="1" x14ac:dyDescent="0.15">
      <c r="A8" s="25" t="s">
        <v>1140</v>
      </c>
      <c r="B8" s="25" t="s">
        <v>47</v>
      </c>
      <c r="C8" s="25" t="s">
        <v>48</v>
      </c>
      <c r="D8" s="25" t="s">
        <v>49</v>
      </c>
      <c r="E8" s="26" t="s">
        <v>45</v>
      </c>
      <c r="F8" s="27" t="s">
        <v>45</v>
      </c>
      <c r="G8" s="28" t="s">
        <v>45</v>
      </c>
      <c r="H8" s="29"/>
      <c r="I8" s="29" t="s">
        <v>46</v>
      </c>
      <c r="J8" s="30">
        <v>10</v>
      </c>
      <c r="K8" s="31">
        <f>2409.5</f>
        <v>2409.5</v>
      </c>
      <c r="L8" s="32" t="s">
        <v>995</v>
      </c>
      <c r="M8" s="31">
        <f>2524.5</f>
        <v>2524.5</v>
      </c>
      <c r="N8" s="32" t="s">
        <v>1002</v>
      </c>
      <c r="O8" s="31">
        <f>2409.5</f>
        <v>2409.5</v>
      </c>
      <c r="P8" s="32" t="s">
        <v>995</v>
      </c>
      <c r="Q8" s="31">
        <f>2427.5</f>
        <v>2427.5</v>
      </c>
      <c r="R8" s="32" t="s">
        <v>1017</v>
      </c>
      <c r="S8" s="33">
        <f>2466.08</f>
        <v>2466.08</v>
      </c>
      <c r="T8" s="30">
        <f>73365550</f>
        <v>73365550</v>
      </c>
      <c r="U8" s="30">
        <f>37211090</f>
        <v>37211090</v>
      </c>
      <c r="V8" s="30">
        <f>180127197493</f>
        <v>180127197493</v>
      </c>
      <c r="W8" s="30">
        <f>91082669948</f>
        <v>91082669948</v>
      </c>
      <c r="X8" s="34">
        <f>20</f>
        <v>20</v>
      </c>
    </row>
    <row r="9" spans="1:24" ht="13.5" customHeight="1" x14ac:dyDescent="0.15">
      <c r="A9" s="25" t="s">
        <v>1140</v>
      </c>
      <c r="B9" s="25" t="s">
        <v>50</v>
      </c>
      <c r="C9" s="25" t="s">
        <v>51</v>
      </c>
      <c r="D9" s="25" t="s">
        <v>52</v>
      </c>
      <c r="E9" s="26" t="s">
        <v>45</v>
      </c>
      <c r="F9" s="27" t="s">
        <v>45</v>
      </c>
      <c r="G9" s="28" t="s">
        <v>45</v>
      </c>
      <c r="H9" s="29"/>
      <c r="I9" s="29" t="s">
        <v>46</v>
      </c>
      <c r="J9" s="30">
        <v>1</v>
      </c>
      <c r="K9" s="31">
        <f>2383</f>
        <v>2383</v>
      </c>
      <c r="L9" s="32" t="s">
        <v>995</v>
      </c>
      <c r="M9" s="31">
        <f>2495</f>
        <v>2495</v>
      </c>
      <c r="N9" s="32" t="s">
        <v>1002</v>
      </c>
      <c r="O9" s="31">
        <f>2382</f>
        <v>2382</v>
      </c>
      <c r="P9" s="32" t="s">
        <v>995</v>
      </c>
      <c r="Q9" s="31">
        <f>2400</f>
        <v>2400</v>
      </c>
      <c r="R9" s="32" t="s">
        <v>1017</v>
      </c>
      <c r="S9" s="33">
        <f>2436.75</f>
        <v>2436.75</v>
      </c>
      <c r="T9" s="30">
        <f>20216842</f>
        <v>20216842</v>
      </c>
      <c r="U9" s="30">
        <f>17230073</f>
        <v>17230073</v>
      </c>
      <c r="V9" s="30">
        <f>49093093606</f>
        <v>49093093606</v>
      </c>
      <c r="W9" s="30">
        <f>41843275576</f>
        <v>41843275576</v>
      </c>
      <c r="X9" s="34">
        <f>20</f>
        <v>20</v>
      </c>
    </row>
    <row r="10" spans="1:24" ht="13.5" customHeight="1" x14ac:dyDescent="0.15">
      <c r="A10" s="25" t="s">
        <v>1140</v>
      </c>
      <c r="B10" s="25" t="s">
        <v>53</v>
      </c>
      <c r="C10" s="25" t="s">
        <v>54</v>
      </c>
      <c r="D10" s="25" t="s">
        <v>55</v>
      </c>
      <c r="E10" s="26" t="s">
        <v>45</v>
      </c>
      <c r="F10" s="27" t="s">
        <v>45</v>
      </c>
      <c r="G10" s="28" t="s">
        <v>45</v>
      </c>
      <c r="H10" s="29"/>
      <c r="I10" s="29" t="s">
        <v>46</v>
      </c>
      <c r="J10" s="30">
        <v>1</v>
      </c>
      <c r="K10" s="31">
        <f>38610</f>
        <v>38610</v>
      </c>
      <c r="L10" s="32" t="s">
        <v>995</v>
      </c>
      <c r="M10" s="31">
        <f>40390</f>
        <v>40390</v>
      </c>
      <c r="N10" s="32" t="s">
        <v>78</v>
      </c>
      <c r="O10" s="31">
        <f>38610</f>
        <v>38610</v>
      </c>
      <c r="P10" s="32" t="s">
        <v>995</v>
      </c>
      <c r="Q10" s="31">
        <f>40360</f>
        <v>40360</v>
      </c>
      <c r="R10" s="32" t="s">
        <v>1017</v>
      </c>
      <c r="S10" s="33">
        <f>39836</f>
        <v>39836</v>
      </c>
      <c r="T10" s="30">
        <f>3531</f>
        <v>3531</v>
      </c>
      <c r="U10" s="30" t="str">
        <f>"－"</f>
        <v>－</v>
      </c>
      <c r="V10" s="30">
        <f>140760940</f>
        <v>140760940</v>
      </c>
      <c r="W10" s="30" t="str">
        <f>"－"</f>
        <v>－</v>
      </c>
      <c r="X10" s="34">
        <f>20</f>
        <v>20</v>
      </c>
    </row>
    <row r="11" spans="1:24" ht="13.5" customHeight="1" x14ac:dyDescent="0.15">
      <c r="A11" s="25" t="s">
        <v>1140</v>
      </c>
      <c r="B11" s="25" t="s">
        <v>57</v>
      </c>
      <c r="C11" s="25" t="s">
        <v>58</v>
      </c>
      <c r="D11" s="25" t="s">
        <v>59</v>
      </c>
      <c r="E11" s="26" t="s">
        <v>45</v>
      </c>
      <c r="F11" s="27" t="s">
        <v>45</v>
      </c>
      <c r="G11" s="28" t="s">
        <v>45</v>
      </c>
      <c r="H11" s="29"/>
      <c r="I11" s="29" t="s">
        <v>46</v>
      </c>
      <c r="J11" s="30">
        <v>10</v>
      </c>
      <c r="K11" s="31">
        <f>1146.5</f>
        <v>1146.5</v>
      </c>
      <c r="L11" s="32" t="s">
        <v>995</v>
      </c>
      <c r="M11" s="31">
        <f>1213.5</f>
        <v>1213.5</v>
      </c>
      <c r="N11" s="32" t="s">
        <v>1002</v>
      </c>
      <c r="O11" s="31">
        <f>1146.5</f>
        <v>1146.5</v>
      </c>
      <c r="P11" s="32" t="s">
        <v>995</v>
      </c>
      <c r="Q11" s="31">
        <f>1166</f>
        <v>1166</v>
      </c>
      <c r="R11" s="32" t="s">
        <v>1017</v>
      </c>
      <c r="S11" s="33">
        <f>1180</f>
        <v>1180</v>
      </c>
      <c r="T11" s="30">
        <f>208580</f>
        <v>208580</v>
      </c>
      <c r="U11" s="30" t="str">
        <f>"－"</f>
        <v>－</v>
      </c>
      <c r="V11" s="30">
        <f>245788710</f>
        <v>245788710</v>
      </c>
      <c r="W11" s="30" t="str">
        <f>"－"</f>
        <v>－</v>
      </c>
      <c r="X11" s="34">
        <f>20</f>
        <v>20</v>
      </c>
    </row>
    <row r="12" spans="1:24" ht="13.5" customHeight="1" x14ac:dyDescent="0.15">
      <c r="A12" s="25" t="s">
        <v>1140</v>
      </c>
      <c r="B12" s="25" t="s">
        <v>66</v>
      </c>
      <c r="C12" s="25" t="s">
        <v>67</v>
      </c>
      <c r="D12" s="25" t="s">
        <v>68</v>
      </c>
      <c r="E12" s="26" t="s">
        <v>45</v>
      </c>
      <c r="F12" s="27" t="s">
        <v>45</v>
      </c>
      <c r="G12" s="28" t="s">
        <v>45</v>
      </c>
      <c r="H12" s="29"/>
      <c r="I12" s="29" t="s">
        <v>46</v>
      </c>
      <c r="J12" s="30">
        <v>1000</v>
      </c>
      <c r="K12" s="31">
        <f>403.2</f>
        <v>403.2</v>
      </c>
      <c r="L12" s="32" t="s">
        <v>995</v>
      </c>
      <c r="M12" s="31">
        <f>422.8</f>
        <v>422.8</v>
      </c>
      <c r="N12" s="32" t="s">
        <v>80</v>
      </c>
      <c r="O12" s="31">
        <f>401.1</f>
        <v>401.1</v>
      </c>
      <c r="P12" s="32" t="s">
        <v>56</v>
      </c>
      <c r="Q12" s="31">
        <f>414.7</f>
        <v>414.7</v>
      </c>
      <c r="R12" s="32" t="s">
        <v>997</v>
      </c>
      <c r="S12" s="33">
        <f>410.79</f>
        <v>410.79</v>
      </c>
      <c r="T12" s="30">
        <f>65000</f>
        <v>65000</v>
      </c>
      <c r="U12" s="30">
        <f>4000</f>
        <v>4000</v>
      </c>
      <c r="V12" s="30">
        <f>26634800</f>
        <v>26634800</v>
      </c>
      <c r="W12" s="30">
        <f>1652500</f>
        <v>1652500</v>
      </c>
      <c r="X12" s="34">
        <f>16</f>
        <v>16</v>
      </c>
    </row>
    <row r="13" spans="1:24" ht="13.5" customHeight="1" x14ac:dyDescent="0.15">
      <c r="A13" s="25" t="s">
        <v>1140</v>
      </c>
      <c r="B13" s="25" t="s">
        <v>69</v>
      </c>
      <c r="C13" s="25" t="s">
        <v>1035</v>
      </c>
      <c r="D13" s="25" t="s">
        <v>1036</v>
      </c>
      <c r="E13" s="26" t="s">
        <v>45</v>
      </c>
      <c r="F13" s="27" t="s">
        <v>45</v>
      </c>
      <c r="G13" s="28" t="s">
        <v>45</v>
      </c>
      <c r="H13" s="29"/>
      <c r="I13" s="29" t="s">
        <v>46</v>
      </c>
      <c r="J13" s="30">
        <v>1</v>
      </c>
      <c r="K13" s="31">
        <f>33300</f>
        <v>33300</v>
      </c>
      <c r="L13" s="32" t="s">
        <v>995</v>
      </c>
      <c r="M13" s="31">
        <f>34470</f>
        <v>34470</v>
      </c>
      <c r="N13" s="32" t="s">
        <v>1002</v>
      </c>
      <c r="O13" s="31">
        <f>32690</f>
        <v>32690</v>
      </c>
      <c r="P13" s="32" t="s">
        <v>997</v>
      </c>
      <c r="Q13" s="31">
        <f>32890</f>
        <v>32890</v>
      </c>
      <c r="R13" s="32" t="s">
        <v>1017</v>
      </c>
      <c r="S13" s="33">
        <f>33560</f>
        <v>33560</v>
      </c>
      <c r="T13" s="30">
        <f>1355626</f>
        <v>1355626</v>
      </c>
      <c r="U13" s="30">
        <f>658319</f>
        <v>658319</v>
      </c>
      <c r="V13" s="30">
        <f>45315188263</f>
        <v>45315188263</v>
      </c>
      <c r="W13" s="30">
        <f>21909208453</f>
        <v>21909208453</v>
      </c>
      <c r="X13" s="34">
        <f>20</f>
        <v>20</v>
      </c>
    </row>
    <row r="14" spans="1:24" ht="13.5" customHeight="1" x14ac:dyDescent="0.15">
      <c r="A14" s="25" t="s">
        <v>1140</v>
      </c>
      <c r="B14" s="25" t="s">
        <v>72</v>
      </c>
      <c r="C14" s="25" t="s">
        <v>73</v>
      </c>
      <c r="D14" s="25" t="s">
        <v>74</v>
      </c>
      <c r="E14" s="26" t="s">
        <v>45</v>
      </c>
      <c r="F14" s="27" t="s">
        <v>45</v>
      </c>
      <c r="G14" s="28" t="s">
        <v>45</v>
      </c>
      <c r="H14" s="29"/>
      <c r="I14" s="29" t="s">
        <v>46</v>
      </c>
      <c r="J14" s="30">
        <v>1</v>
      </c>
      <c r="K14" s="31">
        <f>33420</f>
        <v>33420</v>
      </c>
      <c r="L14" s="32" t="s">
        <v>995</v>
      </c>
      <c r="M14" s="31">
        <f>34600</f>
        <v>34600</v>
      </c>
      <c r="N14" s="32" t="s">
        <v>1002</v>
      </c>
      <c r="O14" s="31">
        <f>32800</f>
        <v>32800</v>
      </c>
      <c r="P14" s="32" t="s">
        <v>997</v>
      </c>
      <c r="Q14" s="31">
        <f>33010</f>
        <v>33010</v>
      </c>
      <c r="R14" s="32" t="s">
        <v>1017</v>
      </c>
      <c r="S14" s="33">
        <f>33686</f>
        <v>33686</v>
      </c>
      <c r="T14" s="30">
        <f>6067671</f>
        <v>6067671</v>
      </c>
      <c r="U14" s="30">
        <f>1126012</f>
        <v>1126012</v>
      </c>
      <c r="V14" s="30">
        <f>204208981410</f>
        <v>204208981410</v>
      </c>
      <c r="W14" s="30">
        <f>37716462500</f>
        <v>37716462500</v>
      </c>
      <c r="X14" s="34">
        <f>20</f>
        <v>20</v>
      </c>
    </row>
    <row r="15" spans="1:24" ht="13.5" customHeight="1" x14ac:dyDescent="0.15">
      <c r="A15" s="25" t="s">
        <v>1140</v>
      </c>
      <c r="B15" s="25" t="s">
        <v>75</v>
      </c>
      <c r="C15" s="25" t="s">
        <v>76</v>
      </c>
      <c r="D15" s="25" t="s">
        <v>77</v>
      </c>
      <c r="E15" s="26" t="s">
        <v>45</v>
      </c>
      <c r="F15" s="27" t="s">
        <v>45</v>
      </c>
      <c r="G15" s="28" t="s">
        <v>45</v>
      </c>
      <c r="H15" s="29"/>
      <c r="I15" s="29" t="s">
        <v>46</v>
      </c>
      <c r="J15" s="30">
        <v>10</v>
      </c>
      <c r="K15" s="31">
        <f>7605</f>
        <v>7605</v>
      </c>
      <c r="L15" s="32" t="s">
        <v>995</v>
      </c>
      <c r="M15" s="31">
        <f>7850</f>
        <v>7850</v>
      </c>
      <c r="N15" s="32" t="s">
        <v>785</v>
      </c>
      <c r="O15" s="31">
        <f>7450</f>
        <v>7450</v>
      </c>
      <c r="P15" s="32" t="s">
        <v>1017</v>
      </c>
      <c r="Q15" s="31">
        <f>7722</f>
        <v>7722</v>
      </c>
      <c r="R15" s="32" t="s">
        <v>1017</v>
      </c>
      <c r="S15" s="33">
        <f>7677.35</f>
        <v>7677.35</v>
      </c>
      <c r="T15" s="30">
        <f>29760</f>
        <v>29760</v>
      </c>
      <c r="U15" s="30">
        <f>16000</f>
        <v>16000</v>
      </c>
      <c r="V15" s="30">
        <f>227711037</f>
        <v>227711037</v>
      </c>
      <c r="W15" s="30">
        <f>121863667</f>
        <v>121863667</v>
      </c>
      <c r="X15" s="34">
        <f>20</f>
        <v>20</v>
      </c>
    </row>
    <row r="16" spans="1:24" ht="13.5" customHeight="1" x14ac:dyDescent="0.15">
      <c r="A16" s="25" t="s">
        <v>1140</v>
      </c>
      <c r="B16" s="25" t="s">
        <v>79</v>
      </c>
      <c r="C16" s="25" t="s">
        <v>926</v>
      </c>
      <c r="D16" s="25" t="s">
        <v>927</v>
      </c>
      <c r="E16" s="26" t="s">
        <v>45</v>
      </c>
      <c r="F16" s="27" t="s">
        <v>45</v>
      </c>
      <c r="G16" s="28" t="s">
        <v>45</v>
      </c>
      <c r="H16" s="29"/>
      <c r="I16" s="29" t="s">
        <v>46</v>
      </c>
      <c r="J16" s="30">
        <v>100</v>
      </c>
      <c r="K16" s="31" t="str">
        <f>"－"</f>
        <v>－</v>
      </c>
      <c r="L16" s="32"/>
      <c r="M16" s="31" t="str">
        <f>"－"</f>
        <v>－</v>
      </c>
      <c r="N16" s="32"/>
      <c r="O16" s="31" t="str">
        <f>"－"</f>
        <v>－</v>
      </c>
      <c r="P16" s="32"/>
      <c r="Q16" s="31" t="str">
        <f>"－"</f>
        <v>－</v>
      </c>
      <c r="R16" s="32"/>
      <c r="S16" s="33" t="str">
        <f t="shared" ref="S16:X16" si="0">"－"</f>
        <v>－</v>
      </c>
      <c r="T16" s="30" t="str">
        <f t="shared" si="0"/>
        <v>－</v>
      </c>
      <c r="U16" s="30" t="str">
        <f t="shared" si="0"/>
        <v>－</v>
      </c>
      <c r="V16" s="30" t="str">
        <f t="shared" si="0"/>
        <v>－</v>
      </c>
      <c r="W16" s="30" t="str">
        <f t="shared" si="0"/>
        <v>－</v>
      </c>
      <c r="X16" s="34" t="str">
        <f t="shared" si="0"/>
        <v>－</v>
      </c>
    </row>
    <row r="17" spans="1:24" ht="13.5" customHeight="1" x14ac:dyDescent="0.15">
      <c r="A17" s="25" t="s">
        <v>1140</v>
      </c>
      <c r="B17" s="25" t="s">
        <v>81</v>
      </c>
      <c r="C17" s="25" t="s">
        <v>82</v>
      </c>
      <c r="D17" s="25" t="s">
        <v>83</v>
      </c>
      <c r="E17" s="26" t="s">
        <v>45</v>
      </c>
      <c r="F17" s="27" t="s">
        <v>45</v>
      </c>
      <c r="G17" s="28" t="s">
        <v>45</v>
      </c>
      <c r="H17" s="29"/>
      <c r="I17" s="29" t="s">
        <v>46</v>
      </c>
      <c r="J17" s="30">
        <v>100</v>
      </c>
      <c r="K17" s="31">
        <f>225</f>
        <v>225</v>
      </c>
      <c r="L17" s="32" t="s">
        <v>995</v>
      </c>
      <c r="M17" s="31">
        <f>229</f>
        <v>229</v>
      </c>
      <c r="N17" s="32" t="s">
        <v>785</v>
      </c>
      <c r="O17" s="31">
        <f>210</f>
        <v>210</v>
      </c>
      <c r="P17" s="32" t="s">
        <v>1000</v>
      </c>
      <c r="Q17" s="31">
        <f>221.8</f>
        <v>221.8</v>
      </c>
      <c r="R17" s="32" t="s">
        <v>1017</v>
      </c>
      <c r="S17" s="33">
        <f>222.54</f>
        <v>222.54</v>
      </c>
      <c r="T17" s="30">
        <f>653400</f>
        <v>653400</v>
      </c>
      <c r="U17" s="30" t="str">
        <f>"－"</f>
        <v>－</v>
      </c>
      <c r="V17" s="30">
        <f>144753490</f>
        <v>144753490</v>
      </c>
      <c r="W17" s="30" t="str">
        <f>"－"</f>
        <v>－</v>
      </c>
      <c r="X17" s="34">
        <f>20</f>
        <v>20</v>
      </c>
    </row>
    <row r="18" spans="1:24" ht="13.5" customHeight="1" x14ac:dyDescent="0.15">
      <c r="A18" s="25" t="s">
        <v>1140</v>
      </c>
      <c r="B18" s="25" t="s">
        <v>84</v>
      </c>
      <c r="C18" s="25" t="s">
        <v>85</v>
      </c>
      <c r="D18" s="25" t="s">
        <v>86</v>
      </c>
      <c r="E18" s="26" t="s">
        <v>45</v>
      </c>
      <c r="F18" s="27" t="s">
        <v>45</v>
      </c>
      <c r="G18" s="28" t="s">
        <v>45</v>
      </c>
      <c r="H18" s="29"/>
      <c r="I18" s="29" t="s">
        <v>46</v>
      </c>
      <c r="J18" s="30">
        <v>1</v>
      </c>
      <c r="K18" s="31">
        <f>26220</f>
        <v>26220</v>
      </c>
      <c r="L18" s="32" t="s">
        <v>995</v>
      </c>
      <c r="M18" s="31">
        <f>26560</f>
        <v>26560</v>
      </c>
      <c r="N18" s="32" t="s">
        <v>998</v>
      </c>
      <c r="O18" s="31">
        <f>25810</f>
        <v>25810</v>
      </c>
      <c r="P18" s="32" t="s">
        <v>1017</v>
      </c>
      <c r="Q18" s="31">
        <f>25850</f>
        <v>25850</v>
      </c>
      <c r="R18" s="32" t="s">
        <v>1017</v>
      </c>
      <c r="S18" s="33">
        <f>26271</f>
        <v>26271</v>
      </c>
      <c r="T18" s="30">
        <f>64643</f>
        <v>64643</v>
      </c>
      <c r="U18" s="30">
        <f>24</f>
        <v>24</v>
      </c>
      <c r="V18" s="30">
        <f>1697934735</f>
        <v>1697934735</v>
      </c>
      <c r="W18" s="30">
        <f>629410</f>
        <v>629410</v>
      </c>
      <c r="X18" s="34">
        <f>20</f>
        <v>20</v>
      </c>
    </row>
    <row r="19" spans="1:24" ht="13.5" customHeight="1" x14ac:dyDescent="0.15">
      <c r="A19" s="25" t="s">
        <v>1140</v>
      </c>
      <c r="B19" s="25" t="s">
        <v>87</v>
      </c>
      <c r="C19" s="25" t="s">
        <v>88</v>
      </c>
      <c r="D19" s="25" t="s">
        <v>89</v>
      </c>
      <c r="E19" s="26" t="s">
        <v>45</v>
      </c>
      <c r="F19" s="27" t="s">
        <v>45</v>
      </c>
      <c r="G19" s="28" t="s">
        <v>45</v>
      </c>
      <c r="H19" s="29"/>
      <c r="I19" s="29" t="s">
        <v>46</v>
      </c>
      <c r="J19" s="30">
        <v>10</v>
      </c>
      <c r="K19" s="31">
        <f>6983</f>
        <v>6983</v>
      </c>
      <c r="L19" s="32" t="s">
        <v>995</v>
      </c>
      <c r="M19" s="31">
        <f>7070</f>
        <v>7070</v>
      </c>
      <c r="N19" s="32" t="s">
        <v>998</v>
      </c>
      <c r="O19" s="31">
        <f>6870</f>
        <v>6870</v>
      </c>
      <c r="P19" s="32" t="s">
        <v>1017</v>
      </c>
      <c r="Q19" s="31">
        <f>6880</f>
        <v>6880</v>
      </c>
      <c r="R19" s="32" t="s">
        <v>1017</v>
      </c>
      <c r="S19" s="33">
        <f>6999.8</f>
        <v>6999.8</v>
      </c>
      <c r="T19" s="30">
        <f>119720</f>
        <v>119720</v>
      </c>
      <c r="U19" s="30">
        <f>350</f>
        <v>350</v>
      </c>
      <c r="V19" s="30">
        <f>836639920</f>
        <v>836639920</v>
      </c>
      <c r="W19" s="30">
        <f>2455130</f>
        <v>2455130</v>
      </c>
      <c r="X19" s="34">
        <f>20</f>
        <v>20</v>
      </c>
    </row>
    <row r="20" spans="1:24" ht="13.5" customHeight="1" x14ac:dyDescent="0.15">
      <c r="A20" s="25" t="s">
        <v>1140</v>
      </c>
      <c r="B20" s="25" t="s">
        <v>90</v>
      </c>
      <c r="C20" s="25" t="s">
        <v>91</v>
      </c>
      <c r="D20" s="25" t="s">
        <v>92</v>
      </c>
      <c r="E20" s="26" t="s">
        <v>45</v>
      </c>
      <c r="F20" s="27" t="s">
        <v>45</v>
      </c>
      <c r="G20" s="28" t="s">
        <v>45</v>
      </c>
      <c r="H20" s="29"/>
      <c r="I20" s="29" t="s">
        <v>46</v>
      </c>
      <c r="J20" s="30">
        <v>1</v>
      </c>
      <c r="K20" s="31">
        <f>33580</f>
        <v>33580</v>
      </c>
      <c r="L20" s="32" t="s">
        <v>995</v>
      </c>
      <c r="M20" s="31">
        <f>34760</f>
        <v>34760</v>
      </c>
      <c r="N20" s="32" t="s">
        <v>1002</v>
      </c>
      <c r="O20" s="31">
        <f>32950</f>
        <v>32950</v>
      </c>
      <c r="P20" s="32" t="s">
        <v>997</v>
      </c>
      <c r="Q20" s="31">
        <f>33160</f>
        <v>33160</v>
      </c>
      <c r="R20" s="32" t="s">
        <v>1017</v>
      </c>
      <c r="S20" s="33">
        <f>33845.5</f>
        <v>33845.5</v>
      </c>
      <c r="T20" s="30">
        <f>1600925</f>
        <v>1600925</v>
      </c>
      <c r="U20" s="30">
        <f>980109</f>
        <v>980109</v>
      </c>
      <c r="V20" s="30">
        <f>53788188903</f>
        <v>53788188903</v>
      </c>
      <c r="W20" s="30">
        <f>32759396083</f>
        <v>32759396083</v>
      </c>
      <c r="X20" s="34">
        <f>20</f>
        <v>20</v>
      </c>
    </row>
    <row r="21" spans="1:24" ht="13.5" customHeight="1" x14ac:dyDescent="0.15">
      <c r="A21" s="25" t="s">
        <v>1140</v>
      </c>
      <c r="B21" s="25" t="s">
        <v>93</v>
      </c>
      <c r="C21" s="25" t="s">
        <v>94</v>
      </c>
      <c r="D21" s="25" t="s">
        <v>95</v>
      </c>
      <c r="E21" s="26" t="s">
        <v>45</v>
      </c>
      <c r="F21" s="27" t="s">
        <v>45</v>
      </c>
      <c r="G21" s="28" t="s">
        <v>45</v>
      </c>
      <c r="H21" s="29"/>
      <c r="I21" s="29" t="s">
        <v>46</v>
      </c>
      <c r="J21" s="30">
        <v>1</v>
      </c>
      <c r="K21" s="31">
        <f>33470</f>
        <v>33470</v>
      </c>
      <c r="L21" s="32" t="s">
        <v>995</v>
      </c>
      <c r="M21" s="31">
        <f>34630</f>
        <v>34630</v>
      </c>
      <c r="N21" s="32" t="s">
        <v>1002</v>
      </c>
      <c r="O21" s="31">
        <f>32840</f>
        <v>32840</v>
      </c>
      <c r="P21" s="32" t="s">
        <v>997</v>
      </c>
      <c r="Q21" s="31">
        <f>33040</f>
        <v>33040</v>
      </c>
      <c r="R21" s="32" t="s">
        <v>1017</v>
      </c>
      <c r="S21" s="33">
        <f>33726.5</f>
        <v>33726.5</v>
      </c>
      <c r="T21" s="30">
        <f>1129556</f>
        <v>1129556</v>
      </c>
      <c r="U21" s="30">
        <f>678103</f>
        <v>678103</v>
      </c>
      <c r="V21" s="30">
        <f>37888361228</f>
        <v>37888361228</v>
      </c>
      <c r="W21" s="30">
        <f>22673438358</f>
        <v>22673438358</v>
      </c>
      <c r="X21" s="34">
        <f>20</f>
        <v>20</v>
      </c>
    </row>
    <row r="22" spans="1:24" ht="13.5" customHeight="1" x14ac:dyDescent="0.15">
      <c r="A22" s="25" t="s">
        <v>1140</v>
      </c>
      <c r="B22" s="25" t="s">
        <v>96</v>
      </c>
      <c r="C22" s="25" t="s">
        <v>1113</v>
      </c>
      <c r="D22" s="25" t="s">
        <v>98</v>
      </c>
      <c r="E22" s="26" t="s">
        <v>45</v>
      </c>
      <c r="F22" s="27" t="s">
        <v>45</v>
      </c>
      <c r="G22" s="28" t="s">
        <v>45</v>
      </c>
      <c r="H22" s="29"/>
      <c r="I22" s="29" t="s">
        <v>46</v>
      </c>
      <c r="J22" s="30">
        <v>10</v>
      </c>
      <c r="K22" s="31">
        <f>2031.5</f>
        <v>2031.5</v>
      </c>
      <c r="L22" s="32" t="s">
        <v>995</v>
      </c>
      <c r="M22" s="31">
        <f>2072</f>
        <v>2072</v>
      </c>
      <c r="N22" s="32" t="s">
        <v>78</v>
      </c>
      <c r="O22" s="31">
        <f>1985.5</f>
        <v>1985.5</v>
      </c>
      <c r="P22" s="32" t="s">
        <v>997</v>
      </c>
      <c r="Q22" s="31">
        <f>2006</f>
        <v>2006</v>
      </c>
      <c r="R22" s="32" t="s">
        <v>1017</v>
      </c>
      <c r="S22" s="33">
        <f>2028.93</f>
        <v>2028.93</v>
      </c>
      <c r="T22" s="30">
        <f>5370620</f>
        <v>5370620</v>
      </c>
      <c r="U22" s="30">
        <f>1451260</f>
        <v>1451260</v>
      </c>
      <c r="V22" s="30">
        <f>10901117084</f>
        <v>10901117084</v>
      </c>
      <c r="W22" s="30">
        <f>2963396324</f>
        <v>2963396324</v>
      </c>
      <c r="X22" s="34">
        <f>20</f>
        <v>20</v>
      </c>
    </row>
    <row r="23" spans="1:24" ht="13.5" customHeight="1" x14ac:dyDescent="0.15">
      <c r="A23" s="25" t="s">
        <v>1140</v>
      </c>
      <c r="B23" s="25" t="s">
        <v>99</v>
      </c>
      <c r="C23" s="25" t="s">
        <v>100</v>
      </c>
      <c r="D23" s="25" t="s">
        <v>1114</v>
      </c>
      <c r="E23" s="26" t="s">
        <v>45</v>
      </c>
      <c r="F23" s="27" t="s">
        <v>45</v>
      </c>
      <c r="G23" s="28" t="s">
        <v>45</v>
      </c>
      <c r="H23" s="29"/>
      <c r="I23" s="29" t="s">
        <v>46</v>
      </c>
      <c r="J23" s="30">
        <v>100</v>
      </c>
      <c r="K23" s="31">
        <f>1928</f>
        <v>1928</v>
      </c>
      <c r="L23" s="32" t="s">
        <v>995</v>
      </c>
      <c r="M23" s="31">
        <f>1959</f>
        <v>1959</v>
      </c>
      <c r="N23" s="32" t="s">
        <v>78</v>
      </c>
      <c r="O23" s="31">
        <f>1860</f>
        <v>1860</v>
      </c>
      <c r="P23" s="32" t="s">
        <v>997</v>
      </c>
      <c r="Q23" s="31">
        <f>1881</f>
        <v>1881</v>
      </c>
      <c r="R23" s="32" t="s">
        <v>1017</v>
      </c>
      <c r="S23" s="33">
        <f>1905.13</f>
        <v>1905.13</v>
      </c>
      <c r="T23" s="30">
        <f>2012400</f>
        <v>2012400</v>
      </c>
      <c r="U23" s="30">
        <f>1195900</f>
        <v>1195900</v>
      </c>
      <c r="V23" s="30">
        <f>3845950260</f>
        <v>3845950260</v>
      </c>
      <c r="W23" s="30">
        <f>2288550160</f>
        <v>2288550160</v>
      </c>
      <c r="X23" s="34">
        <f>20</f>
        <v>20</v>
      </c>
    </row>
    <row r="24" spans="1:24" ht="13.5" customHeight="1" x14ac:dyDescent="0.15">
      <c r="A24" s="25" t="s">
        <v>1140</v>
      </c>
      <c r="B24" s="25" t="s">
        <v>102</v>
      </c>
      <c r="C24" s="25" t="s">
        <v>103</v>
      </c>
      <c r="D24" s="25" t="s">
        <v>1115</v>
      </c>
      <c r="E24" s="26" t="s">
        <v>45</v>
      </c>
      <c r="F24" s="27" t="s">
        <v>45</v>
      </c>
      <c r="G24" s="28" t="s">
        <v>45</v>
      </c>
      <c r="H24" s="29"/>
      <c r="I24" s="29" t="s">
        <v>46</v>
      </c>
      <c r="J24" s="30">
        <v>1</v>
      </c>
      <c r="K24" s="31">
        <f>33490</f>
        <v>33490</v>
      </c>
      <c r="L24" s="32" t="s">
        <v>995</v>
      </c>
      <c r="M24" s="31">
        <f>34690</f>
        <v>34690</v>
      </c>
      <c r="N24" s="32" t="s">
        <v>1002</v>
      </c>
      <c r="O24" s="31">
        <f>32900</f>
        <v>32900</v>
      </c>
      <c r="P24" s="32" t="s">
        <v>997</v>
      </c>
      <c r="Q24" s="31">
        <f>33120</f>
        <v>33120</v>
      </c>
      <c r="R24" s="32" t="s">
        <v>1017</v>
      </c>
      <c r="S24" s="33">
        <f>33788</f>
        <v>33788</v>
      </c>
      <c r="T24" s="30">
        <f>791117</f>
        <v>791117</v>
      </c>
      <c r="U24" s="30">
        <f>416746</f>
        <v>416746</v>
      </c>
      <c r="V24" s="30">
        <f>26517941999</f>
        <v>26517941999</v>
      </c>
      <c r="W24" s="30">
        <f>13927857999</f>
        <v>13927857999</v>
      </c>
      <c r="X24" s="34">
        <f>20</f>
        <v>20</v>
      </c>
    </row>
    <row r="25" spans="1:24" ht="13.5" customHeight="1" x14ac:dyDescent="0.15">
      <c r="A25" s="25" t="s">
        <v>1140</v>
      </c>
      <c r="B25" s="25" t="s">
        <v>105</v>
      </c>
      <c r="C25" s="25" t="s">
        <v>106</v>
      </c>
      <c r="D25" s="25" t="s">
        <v>107</v>
      </c>
      <c r="E25" s="26" t="s">
        <v>45</v>
      </c>
      <c r="F25" s="27" t="s">
        <v>45</v>
      </c>
      <c r="G25" s="28" t="s">
        <v>45</v>
      </c>
      <c r="H25" s="29"/>
      <c r="I25" s="29" t="s">
        <v>46</v>
      </c>
      <c r="J25" s="30">
        <v>10</v>
      </c>
      <c r="K25" s="31">
        <f>2406.5</f>
        <v>2406.5</v>
      </c>
      <c r="L25" s="32" t="s">
        <v>995</v>
      </c>
      <c r="M25" s="31">
        <f>2521</f>
        <v>2521</v>
      </c>
      <c r="N25" s="32" t="s">
        <v>1002</v>
      </c>
      <c r="O25" s="31">
        <f>2406.5</f>
        <v>2406.5</v>
      </c>
      <c r="P25" s="32" t="s">
        <v>995</v>
      </c>
      <c r="Q25" s="31">
        <f>2425</f>
        <v>2425</v>
      </c>
      <c r="R25" s="32" t="s">
        <v>1017</v>
      </c>
      <c r="S25" s="33">
        <f>2463.08</f>
        <v>2463.08</v>
      </c>
      <c r="T25" s="30">
        <f>2266690</f>
        <v>2266690</v>
      </c>
      <c r="U25" s="30">
        <f>684400</f>
        <v>684400</v>
      </c>
      <c r="V25" s="30">
        <f>5570496330</f>
        <v>5570496330</v>
      </c>
      <c r="W25" s="30">
        <f>1675300860</f>
        <v>1675300860</v>
      </c>
      <c r="X25" s="34">
        <f>20</f>
        <v>20</v>
      </c>
    </row>
    <row r="26" spans="1:24" ht="13.5" customHeight="1" x14ac:dyDescent="0.15">
      <c r="A26" s="25" t="s">
        <v>1140</v>
      </c>
      <c r="B26" s="25" t="s">
        <v>108</v>
      </c>
      <c r="C26" s="25" t="s">
        <v>109</v>
      </c>
      <c r="D26" s="25" t="s">
        <v>110</v>
      </c>
      <c r="E26" s="26" t="s">
        <v>45</v>
      </c>
      <c r="F26" s="27" t="s">
        <v>45</v>
      </c>
      <c r="G26" s="28" t="s">
        <v>45</v>
      </c>
      <c r="H26" s="29"/>
      <c r="I26" s="29" t="s">
        <v>46</v>
      </c>
      <c r="J26" s="30">
        <v>1</v>
      </c>
      <c r="K26" s="31">
        <f>15220</f>
        <v>15220</v>
      </c>
      <c r="L26" s="32" t="s">
        <v>995</v>
      </c>
      <c r="M26" s="31">
        <f>15380</f>
        <v>15380</v>
      </c>
      <c r="N26" s="32" t="s">
        <v>785</v>
      </c>
      <c r="O26" s="31">
        <f>15220</f>
        <v>15220</v>
      </c>
      <c r="P26" s="32" t="s">
        <v>995</v>
      </c>
      <c r="Q26" s="31">
        <f>15380</f>
        <v>15380</v>
      </c>
      <c r="R26" s="32" t="s">
        <v>1017</v>
      </c>
      <c r="S26" s="33">
        <f>15344.12</f>
        <v>15344.12</v>
      </c>
      <c r="T26" s="30">
        <f>285</f>
        <v>285</v>
      </c>
      <c r="U26" s="30" t="str">
        <f>"－"</f>
        <v>－</v>
      </c>
      <c r="V26" s="30">
        <f>4359710</f>
        <v>4359710</v>
      </c>
      <c r="W26" s="30" t="str">
        <f>"－"</f>
        <v>－</v>
      </c>
      <c r="X26" s="34">
        <f>17</f>
        <v>17</v>
      </c>
    </row>
    <row r="27" spans="1:24" ht="13.5" customHeight="1" x14ac:dyDescent="0.15">
      <c r="A27" s="25" t="s">
        <v>1140</v>
      </c>
      <c r="B27" s="25" t="s">
        <v>111</v>
      </c>
      <c r="C27" s="25" t="s">
        <v>112</v>
      </c>
      <c r="D27" s="25" t="s">
        <v>113</v>
      </c>
      <c r="E27" s="26" t="s">
        <v>45</v>
      </c>
      <c r="F27" s="27" t="s">
        <v>45</v>
      </c>
      <c r="G27" s="28" t="s">
        <v>45</v>
      </c>
      <c r="H27" s="29"/>
      <c r="I27" s="29" t="s">
        <v>46</v>
      </c>
      <c r="J27" s="30">
        <v>10</v>
      </c>
      <c r="K27" s="31">
        <f>588.3</f>
        <v>588.29999999999995</v>
      </c>
      <c r="L27" s="32" t="s">
        <v>995</v>
      </c>
      <c r="M27" s="31">
        <f>588.3</f>
        <v>588.29999999999995</v>
      </c>
      <c r="N27" s="32" t="s">
        <v>995</v>
      </c>
      <c r="O27" s="31">
        <f>533.6</f>
        <v>533.6</v>
      </c>
      <c r="P27" s="32" t="s">
        <v>1002</v>
      </c>
      <c r="Q27" s="31">
        <f>576.5</f>
        <v>576.5</v>
      </c>
      <c r="R27" s="32" t="s">
        <v>1017</v>
      </c>
      <c r="S27" s="33">
        <f>560.17</f>
        <v>560.16999999999996</v>
      </c>
      <c r="T27" s="30">
        <f>15006460</f>
        <v>15006460</v>
      </c>
      <c r="U27" s="30">
        <f>350</f>
        <v>350</v>
      </c>
      <c r="V27" s="30">
        <f>8421451427</f>
        <v>8421451427</v>
      </c>
      <c r="W27" s="30">
        <f>198526</f>
        <v>198526</v>
      </c>
      <c r="X27" s="34">
        <f>20</f>
        <v>20</v>
      </c>
    </row>
    <row r="28" spans="1:24" ht="13.5" customHeight="1" x14ac:dyDescent="0.15">
      <c r="A28" s="25" t="s">
        <v>1140</v>
      </c>
      <c r="B28" s="25" t="s">
        <v>114</v>
      </c>
      <c r="C28" s="25" t="s">
        <v>115</v>
      </c>
      <c r="D28" s="25" t="s">
        <v>1116</v>
      </c>
      <c r="E28" s="26" t="s">
        <v>45</v>
      </c>
      <c r="F28" s="27" t="s">
        <v>45</v>
      </c>
      <c r="G28" s="28" t="s">
        <v>45</v>
      </c>
      <c r="H28" s="29"/>
      <c r="I28" s="29" t="s">
        <v>46</v>
      </c>
      <c r="J28" s="30">
        <v>1</v>
      </c>
      <c r="K28" s="31">
        <f>233</f>
        <v>233</v>
      </c>
      <c r="L28" s="32" t="s">
        <v>995</v>
      </c>
      <c r="M28" s="31">
        <f>241</f>
        <v>241</v>
      </c>
      <c r="N28" s="32" t="s">
        <v>997</v>
      </c>
      <c r="O28" s="31">
        <f>216</f>
        <v>216</v>
      </c>
      <c r="P28" s="32" t="s">
        <v>1002</v>
      </c>
      <c r="Q28" s="31">
        <f>238</f>
        <v>238</v>
      </c>
      <c r="R28" s="32" t="s">
        <v>1017</v>
      </c>
      <c r="S28" s="33">
        <f>228.85</f>
        <v>228.85</v>
      </c>
      <c r="T28" s="30">
        <f>1026503101</f>
        <v>1026503101</v>
      </c>
      <c r="U28" s="30">
        <f>3723042</f>
        <v>3723042</v>
      </c>
      <c r="V28" s="30">
        <f>235203777702</f>
        <v>235203777702</v>
      </c>
      <c r="W28" s="30">
        <f>815477867</f>
        <v>815477867</v>
      </c>
      <c r="X28" s="34">
        <f>20</f>
        <v>20</v>
      </c>
    </row>
    <row r="29" spans="1:24" ht="13.5" customHeight="1" x14ac:dyDescent="0.15">
      <c r="A29" s="25" t="s">
        <v>1140</v>
      </c>
      <c r="B29" s="25" t="s">
        <v>117</v>
      </c>
      <c r="C29" s="25" t="s">
        <v>118</v>
      </c>
      <c r="D29" s="25" t="s">
        <v>119</v>
      </c>
      <c r="E29" s="26" t="s">
        <v>45</v>
      </c>
      <c r="F29" s="27" t="s">
        <v>45</v>
      </c>
      <c r="G29" s="28" t="s">
        <v>45</v>
      </c>
      <c r="H29" s="29"/>
      <c r="I29" s="29" t="s">
        <v>46</v>
      </c>
      <c r="J29" s="30">
        <v>1</v>
      </c>
      <c r="K29" s="31">
        <f>36820</f>
        <v>36820</v>
      </c>
      <c r="L29" s="32" t="s">
        <v>995</v>
      </c>
      <c r="M29" s="31">
        <f>39410</f>
        <v>39410</v>
      </c>
      <c r="N29" s="32" t="s">
        <v>1002</v>
      </c>
      <c r="O29" s="31">
        <f>35360</f>
        <v>35360</v>
      </c>
      <c r="P29" s="32" t="s">
        <v>997</v>
      </c>
      <c r="Q29" s="31">
        <f>35790</f>
        <v>35790</v>
      </c>
      <c r="R29" s="32" t="s">
        <v>1017</v>
      </c>
      <c r="S29" s="33">
        <f>37356.5</f>
        <v>37356.5</v>
      </c>
      <c r="T29" s="30">
        <f>256260</f>
        <v>256260</v>
      </c>
      <c r="U29" s="30">
        <f>12</f>
        <v>12</v>
      </c>
      <c r="V29" s="30">
        <f>9569062910</f>
        <v>9569062910</v>
      </c>
      <c r="W29" s="30">
        <f>457690</f>
        <v>457690</v>
      </c>
      <c r="X29" s="34">
        <f>20</f>
        <v>20</v>
      </c>
    </row>
    <row r="30" spans="1:24" ht="13.5" customHeight="1" x14ac:dyDescent="0.15">
      <c r="A30" s="25" t="s">
        <v>1140</v>
      </c>
      <c r="B30" s="25" t="s">
        <v>120</v>
      </c>
      <c r="C30" s="25" t="s">
        <v>121</v>
      </c>
      <c r="D30" s="25" t="s">
        <v>122</v>
      </c>
      <c r="E30" s="26" t="s">
        <v>45</v>
      </c>
      <c r="F30" s="27" t="s">
        <v>45</v>
      </c>
      <c r="G30" s="28" t="s">
        <v>45</v>
      </c>
      <c r="H30" s="29"/>
      <c r="I30" s="29" t="s">
        <v>46</v>
      </c>
      <c r="J30" s="30">
        <v>10</v>
      </c>
      <c r="K30" s="31">
        <f>570</f>
        <v>570</v>
      </c>
      <c r="L30" s="32" t="s">
        <v>995</v>
      </c>
      <c r="M30" s="31">
        <f>588.5</f>
        <v>588.5</v>
      </c>
      <c r="N30" s="32" t="s">
        <v>997</v>
      </c>
      <c r="O30" s="31">
        <f>529.2</f>
        <v>529.20000000000005</v>
      </c>
      <c r="P30" s="32" t="s">
        <v>1002</v>
      </c>
      <c r="Q30" s="31">
        <f>581.4</f>
        <v>581.4</v>
      </c>
      <c r="R30" s="32" t="s">
        <v>1017</v>
      </c>
      <c r="S30" s="33">
        <f>559.25</f>
        <v>559.25</v>
      </c>
      <c r="T30" s="30">
        <f>277158070</f>
        <v>277158070</v>
      </c>
      <c r="U30" s="30">
        <f>712750</f>
        <v>712750</v>
      </c>
      <c r="V30" s="30">
        <f>154871666491</f>
        <v>154871666491</v>
      </c>
      <c r="W30" s="30">
        <f>403327030</f>
        <v>403327030</v>
      </c>
      <c r="X30" s="34">
        <f>20</f>
        <v>20</v>
      </c>
    </row>
    <row r="31" spans="1:24" ht="13.5" customHeight="1" x14ac:dyDescent="0.15">
      <c r="A31" s="25" t="s">
        <v>1140</v>
      </c>
      <c r="B31" s="25" t="s">
        <v>123</v>
      </c>
      <c r="C31" s="25" t="s">
        <v>124</v>
      </c>
      <c r="D31" s="25" t="s">
        <v>125</v>
      </c>
      <c r="E31" s="26" t="s">
        <v>45</v>
      </c>
      <c r="F31" s="27" t="s">
        <v>45</v>
      </c>
      <c r="G31" s="28" t="s">
        <v>45</v>
      </c>
      <c r="H31" s="29"/>
      <c r="I31" s="29" t="s">
        <v>46</v>
      </c>
      <c r="J31" s="30">
        <v>1</v>
      </c>
      <c r="K31" s="31">
        <f>21470</f>
        <v>21470</v>
      </c>
      <c r="L31" s="32" t="s">
        <v>995</v>
      </c>
      <c r="M31" s="31">
        <f>22410</f>
        <v>22410</v>
      </c>
      <c r="N31" s="32" t="s">
        <v>1002</v>
      </c>
      <c r="O31" s="31">
        <f>21440</f>
        <v>21440</v>
      </c>
      <c r="P31" s="32" t="s">
        <v>1017</v>
      </c>
      <c r="Q31" s="31">
        <f>21510</f>
        <v>21510</v>
      </c>
      <c r="R31" s="32" t="s">
        <v>1017</v>
      </c>
      <c r="S31" s="33">
        <f>21890.25</f>
        <v>21890.25</v>
      </c>
      <c r="T31" s="30">
        <f>11627</f>
        <v>11627</v>
      </c>
      <c r="U31" s="30">
        <f>1</f>
        <v>1</v>
      </c>
      <c r="V31" s="30">
        <f>256988885</f>
        <v>256988885</v>
      </c>
      <c r="W31" s="30">
        <f>21945</f>
        <v>21945</v>
      </c>
      <c r="X31" s="34">
        <f>20</f>
        <v>20</v>
      </c>
    </row>
    <row r="32" spans="1:24" ht="13.5" customHeight="1" x14ac:dyDescent="0.15">
      <c r="A32" s="25" t="s">
        <v>1140</v>
      </c>
      <c r="B32" s="25" t="s">
        <v>126</v>
      </c>
      <c r="C32" s="25" t="s">
        <v>1037</v>
      </c>
      <c r="D32" s="25" t="s">
        <v>1038</v>
      </c>
      <c r="E32" s="26" t="s">
        <v>45</v>
      </c>
      <c r="F32" s="27" t="s">
        <v>45</v>
      </c>
      <c r="G32" s="28" t="s">
        <v>45</v>
      </c>
      <c r="H32" s="29"/>
      <c r="I32" s="29" t="s">
        <v>46</v>
      </c>
      <c r="J32" s="30">
        <v>1</v>
      </c>
      <c r="K32" s="31">
        <f>30600</f>
        <v>30600</v>
      </c>
      <c r="L32" s="32" t="s">
        <v>995</v>
      </c>
      <c r="M32" s="31">
        <f>32770</f>
        <v>32770</v>
      </c>
      <c r="N32" s="32" t="s">
        <v>1002</v>
      </c>
      <c r="O32" s="31">
        <f>29395</f>
        <v>29395</v>
      </c>
      <c r="P32" s="32" t="s">
        <v>997</v>
      </c>
      <c r="Q32" s="31">
        <f>29770</f>
        <v>29770</v>
      </c>
      <c r="R32" s="32" t="s">
        <v>1017</v>
      </c>
      <c r="S32" s="33">
        <f>31063.25</f>
        <v>31063.25</v>
      </c>
      <c r="T32" s="30">
        <f>523412</f>
        <v>523412</v>
      </c>
      <c r="U32" s="30" t="str">
        <f>"－"</f>
        <v>－</v>
      </c>
      <c r="V32" s="30">
        <f>16200323170</f>
        <v>16200323170</v>
      </c>
      <c r="W32" s="30" t="str">
        <f>"－"</f>
        <v>－</v>
      </c>
      <c r="X32" s="34">
        <f>20</f>
        <v>20</v>
      </c>
    </row>
    <row r="33" spans="1:24" ht="13.5" customHeight="1" x14ac:dyDescent="0.15">
      <c r="A33" s="25" t="s">
        <v>1140</v>
      </c>
      <c r="B33" s="25" t="s">
        <v>129</v>
      </c>
      <c r="C33" s="25" t="s">
        <v>1039</v>
      </c>
      <c r="D33" s="25" t="s">
        <v>1040</v>
      </c>
      <c r="E33" s="26" t="s">
        <v>45</v>
      </c>
      <c r="F33" s="27" t="s">
        <v>45</v>
      </c>
      <c r="G33" s="28" t="s">
        <v>45</v>
      </c>
      <c r="H33" s="29"/>
      <c r="I33" s="29" t="s">
        <v>46</v>
      </c>
      <c r="J33" s="30">
        <v>1</v>
      </c>
      <c r="K33" s="31">
        <f>606</f>
        <v>606</v>
      </c>
      <c r="L33" s="32" t="s">
        <v>995</v>
      </c>
      <c r="M33" s="31">
        <f>627</f>
        <v>627</v>
      </c>
      <c r="N33" s="32" t="s">
        <v>997</v>
      </c>
      <c r="O33" s="31">
        <f>563</f>
        <v>563</v>
      </c>
      <c r="P33" s="32" t="s">
        <v>1002</v>
      </c>
      <c r="Q33" s="31">
        <f>620</f>
        <v>620</v>
      </c>
      <c r="R33" s="32" t="s">
        <v>1017</v>
      </c>
      <c r="S33" s="33">
        <f>595.6</f>
        <v>595.6</v>
      </c>
      <c r="T33" s="30">
        <f>28279213</f>
        <v>28279213</v>
      </c>
      <c r="U33" s="30" t="str">
        <f>"－"</f>
        <v>－</v>
      </c>
      <c r="V33" s="30">
        <f>16927444432</f>
        <v>16927444432</v>
      </c>
      <c r="W33" s="30" t="str">
        <f>"－"</f>
        <v>－</v>
      </c>
      <c r="X33" s="34">
        <f>20</f>
        <v>20</v>
      </c>
    </row>
    <row r="34" spans="1:24" ht="13.5" customHeight="1" x14ac:dyDescent="0.15">
      <c r="A34" s="25" t="s">
        <v>1140</v>
      </c>
      <c r="B34" s="25" t="s">
        <v>132</v>
      </c>
      <c r="C34" s="25" t="s">
        <v>1041</v>
      </c>
      <c r="D34" s="25" t="s">
        <v>1042</v>
      </c>
      <c r="E34" s="26" t="s">
        <v>45</v>
      </c>
      <c r="F34" s="27" t="s">
        <v>45</v>
      </c>
      <c r="G34" s="28" t="s">
        <v>45</v>
      </c>
      <c r="H34" s="29"/>
      <c r="I34" s="29" t="s">
        <v>46</v>
      </c>
      <c r="J34" s="30">
        <v>1</v>
      </c>
      <c r="K34" s="31">
        <f>27140</f>
        <v>27140</v>
      </c>
      <c r="L34" s="32" t="s">
        <v>995</v>
      </c>
      <c r="M34" s="31">
        <f>29765</f>
        <v>29765</v>
      </c>
      <c r="N34" s="32" t="s">
        <v>1002</v>
      </c>
      <c r="O34" s="31">
        <f>27140</f>
        <v>27140</v>
      </c>
      <c r="P34" s="32" t="s">
        <v>995</v>
      </c>
      <c r="Q34" s="31">
        <f>27470</f>
        <v>27470</v>
      </c>
      <c r="R34" s="32" t="s">
        <v>1017</v>
      </c>
      <c r="S34" s="33">
        <f>28394.75</f>
        <v>28394.75</v>
      </c>
      <c r="T34" s="30">
        <f>367692</f>
        <v>367692</v>
      </c>
      <c r="U34" s="30" t="str">
        <f>"－"</f>
        <v>－</v>
      </c>
      <c r="V34" s="30">
        <f>10417431385</f>
        <v>10417431385</v>
      </c>
      <c r="W34" s="30" t="str">
        <f>"－"</f>
        <v>－</v>
      </c>
      <c r="X34" s="34">
        <f>20</f>
        <v>20</v>
      </c>
    </row>
    <row r="35" spans="1:24" ht="13.5" customHeight="1" x14ac:dyDescent="0.15">
      <c r="A35" s="25" t="s">
        <v>1140</v>
      </c>
      <c r="B35" s="25" t="s">
        <v>135</v>
      </c>
      <c r="C35" s="25" t="s">
        <v>1043</v>
      </c>
      <c r="D35" s="25" t="s">
        <v>1044</v>
      </c>
      <c r="E35" s="26" t="s">
        <v>45</v>
      </c>
      <c r="F35" s="27" t="s">
        <v>45</v>
      </c>
      <c r="G35" s="28" t="s">
        <v>45</v>
      </c>
      <c r="H35" s="29"/>
      <c r="I35" s="29" t="s">
        <v>46</v>
      </c>
      <c r="J35" s="30">
        <v>1</v>
      </c>
      <c r="K35" s="31">
        <f>855</f>
        <v>855</v>
      </c>
      <c r="L35" s="32" t="s">
        <v>995</v>
      </c>
      <c r="M35" s="31">
        <f>855</f>
        <v>855</v>
      </c>
      <c r="N35" s="32" t="s">
        <v>995</v>
      </c>
      <c r="O35" s="31">
        <f>775</f>
        <v>775</v>
      </c>
      <c r="P35" s="32" t="s">
        <v>1002</v>
      </c>
      <c r="Q35" s="31">
        <f>838</f>
        <v>838</v>
      </c>
      <c r="R35" s="32" t="s">
        <v>1017</v>
      </c>
      <c r="S35" s="33">
        <f>813</f>
        <v>813</v>
      </c>
      <c r="T35" s="30">
        <f>1268721</f>
        <v>1268721</v>
      </c>
      <c r="U35" s="30" t="str">
        <f>"－"</f>
        <v>－</v>
      </c>
      <c r="V35" s="30">
        <f>1031314168</f>
        <v>1031314168</v>
      </c>
      <c r="W35" s="30" t="str">
        <f>"－"</f>
        <v>－</v>
      </c>
      <c r="X35" s="34">
        <f>20</f>
        <v>20</v>
      </c>
    </row>
    <row r="36" spans="1:24" ht="13.5" customHeight="1" x14ac:dyDescent="0.15">
      <c r="A36" s="25" t="s">
        <v>1140</v>
      </c>
      <c r="B36" s="25" t="s">
        <v>138</v>
      </c>
      <c r="C36" s="25" t="s">
        <v>139</v>
      </c>
      <c r="D36" s="25" t="s">
        <v>140</v>
      </c>
      <c r="E36" s="26" t="s">
        <v>45</v>
      </c>
      <c r="F36" s="27" t="s">
        <v>45</v>
      </c>
      <c r="G36" s="28" t="s">
        <v>45</v>
      </c>
      <c r="H36" s="29"/>
      <c r="I36" s="29" t="s">
        <v>46</v>
      </c>
      <c r="J36" s="30">
        <v>1</v>
      </c>
      <c r="K36" s="31">
        <f>32540</f>
        <v>32540</v>
      </c>
      <c r="L36" s="32" t="s">
        <v>995</v>
      </c>
      <c r="M36" s="31">
        <f>33670</f>
        <v>33670</v>
      </c>
      <c r="N36" s="32" t="s">
        <v>1002</v>
      </c>
      <c r="O36" s="31">
        <f>31940</f>
        <v>31940</v>
      </c>
      <c r="P36" s="32" t="s">
        <v>997</v>
      </c>
      <c r="Q36" s="31">
        <f>32110</f>
        <v>32110</v>
      </c>
      <c r="R36" s="32" t="s">
        <v>1017</v>
      </c>
      <c r="S36" s="33">
        <f>32796</f>
        <v>32796</v>
      </c>
      <c r="T36" s="30">
        <f>57470</f>
        <v>57470</v>
      </c>
      <c r="U36" s="30">
        <f>4252</f>
        <v>4252</v>
      </c>
      <c r="V36" s="30">
        <f>1875562026</f>
        <v>1875562026</v>
      </c>
      <c r="W36" s="30">
        <f>138899156</f>
        <v>138899156</v>
      </c>
      <c r="X36" s="34">
        <f>20</f>
        <v>20</v>
      </c>
    </row>
    <row r="37" spans="1:24" ht="13.5" customHeight="1" x14ac:dyDescent="0.15">
      <c r="A37" s="25" t="s">
        <v>1140</v>
      </c>
      <c r="B37" s="25" t="s">
        <v>171</v>
      </c>
      <c r="C37" s="25" t="s">
        <v>172</v>
      </c>
      <c r="D37" s="25" t="s">
        <v>173</v>
      </c>
      <c r="E37" s="26" t="s">
        <v>45</v>
      </c>
      <c r="F37" s="27" t="s">
        <v>45</v>
      </c>
      <c r="G37" s="28" t="s">
        <v>45</v>
      </c>
      <c r="H37" s="29"/>
      <c r="I37" s="29" t="s">
        <v>46</v>
      </c>
      <c r="J37" s="30">
        <v>1</v>
      </c>
      <c r="K37" s="31">
        <f>32880</f>
        <v>32880</v>
      </c>
      <c r="L37" s="32" t="s">
        <v>995</v>
      </c>
      <c r="M37" s="31">
        <f>34000</f>
        <v>34000</v>
      </c>
      <c r="N37" s="32" t="s">
        <v>1002</v>
      </c>
      <c r="O37" s="31">
        <f>32250</f>
        <v>32250</v>
      </c>
      <c r="P37" s="32" t="s">
        <v>997</v>
      </c>
      <c r="Q37" s="31">
        <f>32420</f>
        <v>32420</v>
      </c>
      <c r="R37" s="32" t="s">
        <v>1017</v>
      </c>
      <c r="S37" s="33">
        <f>33096.5</f>
        <v>33096.5</v>
      </c>
      <c r="T37" s="30">
        <f>211076</f>
        <v>211076</v>
      </c>
      <c r="U37" s="30">
        <f>86077</f>
        <v>86077</v>
      </c>
      <c r="V37" s="30">
        <f>7006624679</f>
        <v>7006624679</v>
      </c>
      <c r="W37" s="30">
        <f>2863097859</f>
        <v>2863097859</v>
      </c>
      <c r="X37" s="34">
        <f>20</f>
        <v>20</v>
      </c>
    </row>
    <row r="38" spans="1:24" ht="13.5" customHeight="1" x14ac:dyDescent="0.15">
      <c r="A38" s="25" t="s">
        <v>1140</v>
      </c>
      <c r="B38" s="25" t="s">
        <v>174</v>
      </c>
      <c r="C38" s="25" t="s">
        <v>175</v>
      </c>
      <c r="D38" s="25" t="s">
        <v>176</v>
      </c>
      <c r="E38" s="26" t="s">
        <v>45</v>
      </c>
      <c r="F38" s="27" t="s">
        <v>45</v>
      </c>
      <c r="G38" s="28" t="s">
        <v>45</v>
      </c>
      <c r="H38" s="29"/>
      <c r="I38" s="29" t="s">
        <v>46</v>
      </c>
      <c r="J38" s="30">
        <v>10</v>
      </c>
      <c r="K38" s="31">
        <f>1944</f>
        <v>1944</v>
      </c>
      <c r="L38" s="32" t="s">
        <v>995</v>
      </c>
      <c r="M38" s="31">
        <f>1987</f>
        <v>1987</v>
      </c>
      <c r="N38" s="32" t="s">
        <v>78</v>
      </c>
      <c r="O38" s="31">
        <f>1880.5</f>
        <v>1880.5</v>
      </c>
      <c r="P38" s="32" t="s">
        <v>997</v>
      </c>
      <c r="Q38" s="31">
        <f>1901.5</f>
        <v>1901.5</v>
      </c>
      <c r="R38" s="32" t="s">
        <v>1017</v>
      </c>
      <c r="S38" s="33">
        <f>1925.58</f>
        <v>1925.58</v>
      </c>
      <c r="T38" s="30">
        <f>1561300</f>
        <v>1561300</v>
      </c>
      <c r="U38" s="30">
        <f>562770</f>
        <v>562770</v>
      </c>
      <c r="V38" s="30">
        <f>3015410030</f>
        <v>3015410030</v>
      </c>
      <c r="W38" s="30">
        <f>1092307920</f>
        <v>1092307920</v>
      </c>
      <c r="X38" s="34">
        <f>20</f>
        <v>20</v>
      </c>
    </row>
    <row r="39" spans="1:24" ht="13.5" customHeight="1" x14ac:dyDescent="0.15">
      <c r="A39" s="25" t="s">
        <v>1140</v>
      </c>
      <c r="B39" s="25" t="s">
        <v>177</v>
      </c>
      <c r="C39" s="25" t="s">
        <v>178</v>
      </c>
      <c r="D39" s="25" t="s">
        <v>179</v>
      </c>
      <c r="E39" s="26" t="s">
        <v>45</v>
      </c>
      <c r="F39" s="27" t="s">
        <v>45</v>
      </c>
      <c r="G39" s="28" t="s">
        <v>45</v>
      </c>
      <c r="H39" s="29"/>
      <c r="I39" s="29" t="s">
        <v>46</v>
      </c>
      <c r="J39" s="30">
        <v>10</v>
      </c>
      <c r="K39" s="31">
        <f>1927</f>
        <v>1927</v>
      </c>
      <c r="L39" s="32" t="s">
        <v>995</v>
      </c>
      <c r="M39" s="31">
        <f>2042</f>
        <v>2042</v>
      </c>
      <c r="N39" s="32" t="s">
        <v>80</v>
      </c>
      <c r="O39" s="31">
        <f>1927</f>
        <v>1927</v>
      </c>
      <c r="P39" s="32" t="s">
        <v>995</v>
      </c>
      <c r="Q39" s="31">
        <f>1975</f>
        <v>1975</v>
      </c>
      <c r="R39" s="32" t="s">
        <v>1017</v>
      </c>
      <c r="S39" s="33">
        <f>1993.48</f>
        <v>1993.48</v>
      </c>
      <c r="T39" s="30">
        <f>22540</f>
        <v>22540</v>
      </c>
      <c r="U39" s="30">
        <f>40</f>
        <v>40</v>
      </c>
      <c r="V39" s="30">
        <f>45239610</f>
        <v>45239610</v>
      </c>
      <c r="W39" s="30">
        <f>79635</f>
        <v>79635</v>
      </c>
      <c r="X39" s="34">
        <f>20</f>
        <v>20</v>
      </c>
    </row>
    <row r="40" spans="1:24" ht="13.5" customHeight="1" x14ac:dyDescent="0.15">
      <c r="A40" s="25" t="s">
        <v>1140</v>
      </c>
      <c r="B40" s="25" t="s">
        <v>180</v>
      </c>
      <c r="C40" s="25" t="s">
        <v>1045</v>
      </c>
      <c r="D40" s="25" t="s">
        <v>1046</v>
      </c>
      <c r="E40" s="26" t="s">
        <v>45</v>
      </c>
      <c r="F40" s="27" t="s">
        <v>45</v>
      </c>
      <c r="G40" s="28" t="s">
        <v>45</v>
      </c>
      <c r="H40" s="29"/>
      <c r="I40" s="29" t="s">
        <v>46</v>
      </c>
      <c r="J40" s="30">
        <v>1</v>
      </c>
      <c r="K40" s="31">
        <f>3350</f>
        <v>3350</v>
      </c>
      <c r="L40" s="32" t="s">
        <v>995</v>
      </c>
      <c r="M40" s="31">
        <f>3405</f>
        <v>3405</v>
      </c>
      <c r="N40" s="32" t="s">
        <v>997</v>
      </c>
      <c r="O40" s="31">
        <f>3230</f>
        <v>3230</v>
      </c>
      <c r="P40" s="32" t="s">
        <v>1002</v>
      </c>
      <c r="Q40" s="31">
        <f>3385</f>
        <v>3385</v>
      </c>
      <c r="R40" s="32" t="s">
        <v>1017</v>
      </c>
      <c r="S40" s="33">
        <f>3322</f>
        <v>3322</v>
      </c>
      <c r="T40" s="30">
        <f>1190121</f>
        <v>1190121</v>
      </c>
      <c r="U40" s="30">
        <f>464000</f>
        <v>464000</v>
      </c>
      <c r="V40" s="30">
        <f>3972965375</f>
        <v>3972965375</v>
      </c>
      <c r="W40" s="30">
        <f>1543021800</f>
        <v>1543021800</v>
      </c>
      <c r="X40" s="34">
        <f>20</f>
        <v>20</v>
      </c>
    </row>
    <row r="41" spans="1:24" ht="13.5" customHeight="1" x14ac:dyDescent="0.15">
      <c r="A41" s="25" t="s">
        <v>1140</v>
      </c>
      <c r="B41" s="25" t="s">
        <v>183</v>
      </c>
      <c r="C41" s="25" t="s">
        <v>1047</v>
      </c>
      <c r="D41" s="25" t="s">
        <v>1048</v>
      </c>
      <c r="E41" s="26" t="s">
        <v>45</v>
      </c>
      <c r="F41" s="27" t="s">
        <v>45</v>
      </c>
      <c r="G41" s="28" t="s">
        <v>45</v>
      </c>
      <c r="H41" s="29"/>
      <c r="I41" s="29" t="s">
        <v>46</v>
      </c>
      <c r="J41" s="30">
        <v>1</v>
      </c>
      <c r="K41" s="31">
        <f>3895</f>
        <v>3895</v>
      </c>
      <c r="L41" s="32" t="s">
        <v>995</v>
      </c>
      <c r="M41" s="31">
        <f>3895</f>
        <v>3895</v>
      </c>
      <c r="N41" s="32" t="s">
        <v>995</v>
      </c>
      <c r="O41" s="31">
        <f>3710</f>
        <v>3710</v>
      </c>
      <c r="P41" s="32" t="s">
        <v>1002</v>
      </c>
      <c r="Q41" s="31">
        <f>3855</f>
        <v>3855</v>
      </c>
      <c r="R41" s="32" t="s">
        <v>1017</v>
      </c>
      <c r="S41" s="33">
        <f>3800.25</f>
        <v>3800.25</v>
      </c>
      <c r="T41" s="30">
        <f>172037</f>
        <v>172037</v>
      </c>
      <c r="U41" s="30">
        <f>2695</f>
        <v>2695</v>
      </c>
      <c r="V41" s="30">
        <f>653003799</f>
        <v>653003799</v>
      </c>
      <c r="W41" s="30">
        <f>10346644</f>
        <v>10346644</v>
      </c>
      <c r="X41" s="34">
        <f>20</f>
        <v>20</v>
      </c>
    </row>
    <row r="42" spans="1:24" ht="13.5" customHeight="1" x14ac:dyDescent="0.15">
      <c r="A42" s="25" t="s">
        <v>1140</v>
      </c>
      <c r="B42" s="25" t="s">
        <v>186</v>
      </c>
      <c r="C42" s="25" t="s">
        <v>187</v>
      </c>
      <c r="D42" s="25" t="s">
        <v>188</v>
      </c>
      <c r="E42" s="26" t="s">
        <v>45</v>
      </c>
      <c r="F42" s="27" t="s">
        <v>45</v>
      </c>
      <c r="G42" s="28" t="s">
        <v>45</v>
      </c>
      <c r="H42" s="29"/>
      <c r="I42" s="29" t="s">
        <v>46</v>
      </c>
      <c r="J42" s="30">
        <v>1</v>
      </c>
      <c r="K42" s="31">
        <f>23310</f>
        <v>23310</v>
      </c>
      <c r="L42" s="32" t="s">
        <v>995</v>
      </c>
      <c r="M42" s="31">
        <f>24990</f>
        <v>24990</v>
      </c>
      <c r="N42" s="32" t="s">
        <v>1002</v>
      </c>
      <c r="O42" s="31">
        <f>22405</f>
        <v>22405</v>
      </c>
      <c r="P42" s="32" t="s">
        <v>997</v>
      </c>
      <c r="Q42" s="31">
        <f>22690</f>
        <v>22690</v>
      </c>
      <c r="R42" s="32" t="s">
        <v>1017</v>
      </c>
      <c r="S42" s="33">
        <f>23683.5</f>
        <v>23683.5</v>
      </c>
      <c r="T42" s="30">
        <f>6285121</f>
        <v>6285121</v>
      </c>
      <c r="U42" s="30">
        <f>17217</f>
        <v>17217</v>
      </c>
      <c r="V42" s="30">
        <f>148687374025</f>
        <v>148687374025</v>
      </c>
      <c r="W42" s="30">
        <f>398553400</f>
        <v>398553400</v>
      </c>
      <c r="X42" s="34">
        <f>20</f>
        <v>20</v>
      </c>
    </row>
    <row r="43" spans="1:24" ht="13.5" customHeight="1" x14ac:dyDescent="0.15">
      <c r="A43" s="25" t="s">
        <v>1140</v>
      </c>
      <c r="B43" s="25" t="s">
        <v>189</v>
      </c>
      <c r="C43" s="25" t="s">
        <v>190</v>
      </c>
      <c r="D43" s="25" t="s">
        <v>191</v>
      </c>
      <c r="E43" s="26" t="s">
        <v>45</v>
      </c>
      <c r="F43" s="27" t="s">
        <v>45</v>
      </c>
      <c r="G43" s="28" t="s">
        <v>45</v>
      </c>
      <c r="H43" s="29"/>
      <c r="I43" s="29" t="s">
        <v>46</v>
      </c>
      <c r="J43" s="30">
        <v>1</v>
      </c>
      <c r="K43" s="31">
        <f>939</f>
        <v>939</v>
      </c>
      <c r="L43" s="32" t="s">
        <v>995</v>
      </c>
      <c r="M43" s="31">
        <f>970</f>
        <v>970</v>
      </c>
      <c r="N43" s="32" t="s">
        <v>997</v>
      </c>
      <c r="O43" s="31">
        <f>871</f>
        <v>871</v>
      </c>
      <c r="P43" s="32" t="s">
        <v>1002</v>
      </c>
      <c r="Q43" s="31">
        <f>959</f>
        <v>959</v>
      </c>
      <c r="R43" s="32" t="s">
        <v>1017</v>
      </c>
      <c r="S43" s="33">
        <f>921.35</f>
        <v>921.35</v>
      </c>
      <c r="T43" s="30">
        <f>184371237</f>
        <v>184371237</v>
      </c>
      <c r="U43" s="30">
        <f>4438400</f>
        <v>4438400</v>
      </c>
      <c r="V43" s="30">
        <f>170207136083</f>
        <v>170207136083</v>
      </c>
      <c r="W43" s="30">
        <f>4070997690</f>
        <v>4070997690</v>
      </c>
      <c r="X43" s="34">
        <f>20</f>
        <v>20</v>
      </c>
    </row>
    <row r="44" spans="1:24" ht="13.5" customHeight="1" x14ac:dyDescent="0.15">
      <c r="A44" s="25" t="s">
        <v>1140</v>
      </c>
      <c r="B44" s="25" t="s">
        <v>192</v>
      </c>
      <c r="C44" s="25" t="s">
        <v>1049</v>
      </c>
      <c r="D44" s="25" t="s">
        <v>1050</v>
      </c>
      <c r="E44" s="26" t="s">
        <v>45</v>
      </c>
      <c r="F44" s="27" t="s">
        <v>45</v>
      </c>
      <c r="G44" s="28" t="s">
        <v>45</v>
      </c>
      <c r="H44" s="29"/>
      <c r="I44" s="29" t="s">
        <v>46</v>
      </c>
      <c r="J44" s="30">
        <v>1</v>
      </c>
      <c r="K44" s="31">
        <f>21900</f>
        <v>21900</v>
      </c>
      <c r="L44" s="32" t="s">
        <v>995</v>
      </c>
      <c r="M44" s="31">
        <f>23680</f>
        <v>23680</v>
      </c>
      <c r="N44" s="32" t="s">
        <v>1002</v>
      </c>
      <c r="O44" s="31">
        <f>21615</f>
        <v>21615</v>
      </c>
      <c r="P44" s="32" t="s">
        <v>1017</v>
      </c>
      <c r="Q44" s="31">
        <f>21615</f>
        <v>21615</v>
      </c>
      <c r="R44" s="32" t="s">
        <v>1017</v>
      </c>
      <c r="S44" s="33">
        <f>22576</f>
        <v>22576</v>
      </c>
      <c r="T44" s="30">
        <f>3093</f>
        <v>3093</v>
      </c>
      <c r="U44" s="30" t="str">
        <f>"－"</f>
        <v>－</v>
      </c>
      <c r="V44" s="30">
        <f>69879270</f>
        <v>69879270</v>
      </c>
      <c r="W44" s="30" t="str">
        <f>"－"</f>
        <v>－</v>
      </c>
      <c r="X44" s="34">
        <f>20</f>
        <v>20</v>
      </c>
    </row>
    <row r="45" spans="1:24" ht="13.5" customHeight="1" x14ac:dyDescent="0.15">
      <c r="A45" s="25" t="s">
        <v>1140</v>
      </c>
      <c r="B45" s="25" t="s">
        <v>195</v>
      </c>
      <c r="C45" s="25" t="s">
        <v>1051</v>
      </c>
      <c r="D45" s="25" t="s">
        <v>1052</v>
      </c>
      <c r="E45" s="26" t="s">
        <v>45</v>
      </c>
      <c r="F45" s="27" t="s">
        <v>45</v>
      </c>
      <c r="G45" s="28" t="s">
        <v>45</v>
      </c>
      <c r="H45" s="29"/>
      <c r="I45" s="29" t="s">
        <v>46</v>
      </c>
      <c r="J45" s="30">
        <v>1</v>
      </c>
      <c r="K45" s="31">
        <f>3735</f>
        <v>3735</v>
      </c>
      <c r="L45" s="32" t="s">
        <v>785</v>
      </c>
      <c r="M45" s="31">
        <f>3740</f>
        <v>3740</v>
      </c>
      <c r="N45" s="32" t="s">
        <v>785</v>
      </c>
      <c r="O45" s="31">
        <f>3635</f>
        <v>3635</v>
      </c>
      <c r="P45" s="32" t="s">
        <v>1002</v>
      </c>
      <c r="Q45" s="31">
        <f>3680</f>
        <v>3680</v>
      </c>
      <c r="R45" s="32" t="s">
        <v>997</v>
      </c>
      <c r="S45" s="33">
        <f>3685</f>
        <v>3685</v>
      </c>
      <c r="T45" s="30">
        <f>434</f>
        <v>434</v>
      </c>
      <c r="U45" s="30" t="str">
        <f>"－"</f>
        <v>－</v>
      </c>
      <c r="V45" s="30">
        <f>1604030</f>
        <v>1604030</v>
      </c>
      <c r="W45" s="30" t="str">
        <f>"－"</f>
        <v>－</v>
      </c>
      <c r="X45" s="34">
        <f>12</f>
        <v>12</v>
      </c>
    </row>
    <row r="46" spans="1:24" ht="13.5" customHeight="1" x14ac:dyDescent="0.15">
      <c r="A46" s="25" t="s">
        <v>1140</v>
      </c>
      <c r="B46" s="25" t="s">
        <v>198</v>
      </c>
      <c r="C46" s="25" t="s">
        <v>1053</v>
      </c>
      <c r="D46" s="25" t="s">
        <v>1054</v>
      </c>
      <c r="E46" s="26" t="s">
        <v>45</v>
      </c>
      <c r="F46" s="27" t="s">
        <v>45</v>
      </c>
      <c r="G46" s="28" t="s">
        <v>45</v>
      </c>
      <c r="H46" s="29"/>
      <c r="I46" s="29" t="s">
        <v>46</v>
      </c>
      <c r="J46" s="30">
        <v>1</v>
      </c>
      <c r="K46" s="31">
        <f>1096</f>
        <v>1096</v>
      </c>
      <c r="L46" s="32" t="s">
        <v>995</v>
      </c>
      <c r="M46" s="31">
        <f>1102</f>
        <v>1102</v>
      </c>
      <c r="N46" s="32" t="s">
        <v>785</v>
      </c>
      <c r="O46" s="31">
        <f>1001</f>
        <v>1001</v>
      </c>
      <c r="P46" s="32" t="s">
        <v>1002</v>
      </c>
      <c r="Q46" s="31">
        <f>1083</f>
        <v>1083</v>
      </c>
      <c r="R46" s="32" t="s">
        <v>1017</v>
      </c>
      <c r="S46" s="33">
        <f>1049.95</f>
        <v>1049.95</v>
      </c>
      <c r="T46" s="30">
        <f>18707</f>
        <v>18707</v>
      </c>
      <c r="U46" s="30" t="str">
        <f>"－"</f>
        <v>－</v>
      </c>
      <c r="V46" s="30">
        <f>19692952</f>
        <v>19692952</v>
      </c>
      <c r="W46" s="30" t="str">
        <f>"－"</f>
        <v>－</v>
      </c>
      <c r="X46" s="34">
        <f>20</f>
        <v>20</v>
      </c>
    </row>
    <row r="47" spans="1:24" ht="13.5" customHeight="1" x14ac:dyDescent="0.15">
      <c r="A47" s="25" t="s">
        <v>1140</v>
      </c>
      <c r="B47" s="25" t="s">
        <v>207</v>
      </c>
      <c r="C47" s="25" t="s">
        <v>208</v>
      </c>
      <c r="D47" s="25" t="s">
        <v>209</v>
      </c>
      <c r="E47" s="26" t="s">
        <v>45</v>
      </c>
      <c r="F47" s="27" t="s">
        <v>45</v>
      </c>
      <c r="G47" s="28" t="s">
        <v>45</v>
      </c>
      <c r="H47" s="29"/>
      <c r="I47" s="29" t="s">
        <v>46</v>
      </c>
      <c r="J47" s="30">
        <v>10</v>
      </c>
      <c r="K47" s="31">
        <f>1077.5</f>
        <v>1077.5</v>
      </c>
      <c r="L47" s="32" t="s">
        <v>995</v>
      </c>
      <c r="M47" s="31">
        <f>1077.5</f>
        <v>1077.5</v>
      </c>
      <c r="N47" s="32" t="s">
        <v>995</v>
      </c>
      <c r="O47" s="31">
        <f>982</f>
        <v>982</v>
      </c>
      <c r="P47" s="32" t="s">
        <v>80</v>
      </c>
      <c r="Q47" s="31">
        <f>1049</f>
        <v>1049</v>
      </c>
      <c r="R47" s="32" t="s">
        <v>1017</v>
      </c>
      <c r="S47" s="33">
        <f>1027.85</f>
        <v>1027.8499999999999</v>
      </c>
      <c r="T47" s="30">
        <f>101120</f>
        <v>101120</v>
      </c>
      <c r="U47" s="30" t="str">
        <f>"－"</f>
        <v>－</v>
      </c>
      <c r="V47" s="30">
        <f>104848818</f>
        <v>104848818</v>
      </c>
      <c r="W47" s="30" t="str">
        <f>"－"</f>
        <v>－</v>
      </c>
      <c r="X47" s="34">
        <f>20</f>
        <v>20</v>
      </c>
    </row>
    <row r="48" spans="1:24" ht="13.5" customHeight="1" x14ac:dyDescent="0.15">
      <c r="A48" s="25" t="s">
        <v>1140</v>
      </c>
      <c r="B48" s="25" t="s">
        <v>210</v>
      </c>
      <c r="C48" s="25" t="s">
        <v>211</v>
      </c>
      <c r="D48" s="25" t="s">
        <v>212</v>
      </c>
      <c r="E48" s="26" t="s">
        <v>45</v>
      </c>
      <c r="F48" s="27" t="s">
        <v>45</v>
      </c>
      <c r="G48" s="28" t="s">
        <v>45</v>
      </c>
      <c r="H48" s="29"/>
      <c r="I48" s="29" t="s">
        <v>46</v>
      </c>
      <c r="J48" s="30">
        <v>1</v>
      </c>
      <c r="K48" s="31">
        <f>436</f>
        <v>436</v>
      </c>
      <c r="L48" s="32" t="s">
        <v>995</v>
      </c>
      <c r="M48" s="31">
        <f>444</f>
        <v>444</v>
      </c>
      <c r="N48" s="32" t="s">
        <v>995</v>
      </c>
      <c r="O48" s="31">
        <f>397</f>
        <v>397</v>
      </c>
      <c r="P48" s="32" t="s">
        <v>80</v>
      </c>
      <c r="Q48" s="31">
        <f>428</f>
        <v>428</v>
      </c>
      <c r="R48" s="32" t="s">
        <v>1017</v>
      </c>
      <c r="S48" s="33">
        <f>420.5</f>
        <v>420.5</v>
      </c>
      <c r="T48" s="30">
        <f>72684</f>
        <v>72684</v>
      </c>
      <c r="U48" s="30" t="str">
        <f>"－"</f>
        <v>－</v>
      </c>
      <c r="V48" s="30">
        <f>30660798</f>
        <v>30660798</v>
      </c>
      <c r="W48" s="30" t="str">
        <f>"－"</f>
        <v>－</v>
      </c>
      <c r="X48" s="34">
        <f>20</f>
        <v>20</v>
      </c>
    </row>
    <row r="49" spans="1:24" ht="13.5" customHeight="1" x14ac:dyDescent="0.15">
      <c r="A49" s="25" t="s">
        <v>1140</v>
      </c>
      <c r="B49" s="25" t="s">
        <v>213</v>
      </c>
      <c r="C49" s="25" t="s">
        <v>214</v>
      </c>
      <c r="D49" s="25" t="s">
        <v>215</v>
      </c>
      <c r="E49" s="26" t="s">
        <v>45</v>
      </c>
      <c r="F49" s="27" t="s">
        <v>45</v>
      </c>
      <c r="G49" s="28" t="s">
        <v>45</v>
      </c>
      <c r="H49" s="29"/>
      <c r="I49" s="29" t="s">
        <v>46</v>
      </c>
      <c r="J49" s="30">
        <v>10</v>
      </c>
      <c r="K49" s="31">
        <f>2360.5</f>
        <v>2360.5</v>
      </c>
      <c r="L49" s="32" t="s">
        <v>995</v>
      </c>
      <c r="M49" s="31">
        <f>2470.5</f>
        <v>2470.5</v>
      </c>
      <c r="N49" s="32" t="s">
        <v>1002</v>
      </c>
      <c r="O49" s="31">
        <f>2360.5</f>
        <v>2360.5</v>
      </c>
      <c r="P49" s="32" t="s">
        <v>995</v>
      </c>
      <c r="Q49" s="31">
        <f>2377.5</f>
        <v>2377.5</v>
      </c>
      <c r="R49" s="32" t="s">
        <v>1017</v>
      </c>
      <c r="S49" s="33">
        <f>2414.73</f>
        <v>2414.73</v>
      </c>
      <c r="T49" s="30">
        <f>2048540</f>
        <v>2048540</v>
      </c>
      <c r="U49" s="30">
        <f>1510000</f>
        <v>1510000</v>
      </c>
      <c r="V49" s="30">
        <f>4915634750</f>
        <v>4915634750</v>
      </c>
      <c r="W49" s="30">
        <f>3616368000</f>
        <v>3616368000</v>
      </c>
      <c r="X49" s="34">
        <f>20</f>
        <v>20</v>
      </c>
    </row>
    <row r="50" spans="1:24" ht="13.5" customHeight="1" x14ac:dyDescent="0.15">
      <c r="A50" s="25" t="s">
        <v>1140</v>
      </c>
      <c r="B50" s="25" t="s">
        <v>216</v>
      </c>
      <c r="C50" s="25" t="s">
        <v>217</v>
      </c>
      <c r="D50" s="25" t="s">
        <v>218</v>
      </c>
      <c r="E50" s="26" t="s">
        <v>45</v>
      </c>
      <c r="F50" s="27" t="s">
        <v>45</v>
      </c>
      <c r="G50" s="28" t="s">
        <v>45</v>
      </c>
      <c r="H50" s="29"/>
      <c r="I50" s="29" t="s">
        <v>46</v>
      </c>
      <c r="J50" s="30">
        <v>1</v>
      </c>
      <c r="K50" s="31">
        <f>21325</f>
        <v>21325</v>
      </c>
      <c r="L50" s="32" t="s">
        <v>995</v>
      </c>
      <c r="M50" s="31">
        <f>22100</f>
        <v>22100</v>
      </c>
      <c r="N50" s="32" t="s">
        <v>1002</v>
      </c>
      <c r="O50" s="31">
        <f>21260</f>
        <v>21260</v>
      </c>
      <c r="P50" s="32" t="s">
        <v>1017</v>
      </c>
      <c r="Q50" s="31">
        <f>21260</f>
        <v>21260</v>
      </c>
      <c r="R50" s="32" t="s">
        <v>1017</v>
      </c>
      <c r="S50" s="33">
        <f>21658.75</f>
        <v>21658.75</v>
      </c>
      <c r="T50" s="30">
        <f>25871</f>
        <v>25871</v>
      </c>
      <c r="U50" s="30">
        <f>11900</f>
        <v>11900</v>
      </c>
      <c r="V50" s="30">
        <f>557436980</f>
        <v>557436980</v>
      </c>
      <c r="W50" s="30">
        <f>257075700</f>
        <v>257075700</v>
      </c>
      <c r="X50" s="34">
        <f>20</f>
        <v>20</v>
      </c>
    </row>
    <row r="51" spans="1:24" ht="13.5" customHeight="1" x14ac:dyDescent="0.15">
      <c r="A51" s="25" t="s">
        <v>1140</v>
      </c>
      <c r="B51" s="25" t="s">
        <v>219</v>
      </c>
      <c r="C51" s="25" t="s">
        <v>220</v>
      </c>
      <c r="D51" s="25" t="s">
        <v>221</v>
      </c>
      <c r="E51" s="26" t="s">
        <v>45</v>
      </c>
      <c r="F51" s="27" t="s">
        <v>45</v>
      </c>
      <c r="G51" s="28" t="s">
        <v>45</v>
      </c>
      <c r="H51" s="29"/>
      <c r="I51" s="29" t="s">
        <v>46</v>
      </c>
      <c r="J51" s="30">
        <v>1</v>
      </c>
      <c r="K51" s="31">
        <f>2383</f>
        <v>2383</v>
      </c>
      <c r="L51" s="32" t="s">
        <v>995</v>
      </c>
      <c r="M51" s="31">
        <f>2495</f>
        <v>2495</v>
      </c>
      <c r="N51" s="32" t="s">
        <v>1002</v>
      </c>
      <c r="O51" s="31">
        <f>2383</f>
        <v>2383</v>
      </c>
      <c r="P51" s="32" t="s">
        <v>995</v>
      </c>
      <c r="Q51" s="31">
        <f>2401</f>
        <v>2401</v>
      </c>
      <c r="R51" s="32" t="s">
        <v>1017</v>
      </c>
      <c r="S51" s="33">
        <f>2438.05</f>
        <v>2438.0500000000002</v>
      </c>
      <c r="T51" s="30">
        <f>9942101</f>
        <v>9942101</v>
      </c>
      <c r="U51" s="30">
        <f>5879325</f>
        <v>5879325</v>
      </c>
      <c r="V51" s="30">
        <f>24219695917</f>
        <v>24219695917</v>
      </c>
      <c r="W51" s="30">
        <f>14328982356</f>
        <v>14328982356</v>
      </c>
      <c r="X51" s="34">
        <f>20</f>
        <v>20</v>
      </c>
    </row>
    <row r="52" spans="1:24" ht="13.5" customHeight="1" x14ac:dyDescent="0.15">
      <c r="A52" s="25" t="s">
        <v>1140</v>
      </c>
      <c r="B52" s="25" t="s">
        <v>222</v>
      </c>
      <c r="C52" s="25" t="s">
        <v>223</v>
      </c>
      <c r="D52" s="25" t="s">
        <v>224</v>
      </c>
      <c r="E52" s="26" t="s">
        <v>45</v>
      </c>
      <c r="F52" s="27" t="s">
        <v>45</v>
      </c>
      <c r="G52" s="28" t="s">
        <v>45</v>
      </c>
      <c r="H52" s="29"/>
      <c r="I52" s="29" t="s">
        <v>46</v>
      </c>
      <c r="J52" s="30">
        <v>1</v>
      </c>
      <c r="K52" s="31">
        <f>1950</f>
        <v>1950</v>
      </c>
      <c r="L52" s="32" t="s">
        <v>995</v>
      </c>
      <c r="M52" s="31">
        <f>1986</f>
        <v>1986</v>
      </c>
      <c r="N52" s="32" t="s">
        <v>78</v>
      </c>
      <c r="O52" s="31">
        <f>1902</f>
        <v>1902</v>
      </c>
      <c r="P52" s="32" t="s">
        <v>997</v>
      </c>
      <c r="Q52" s="31">
        <f>1922</f>
        <v>1922</v>
      </c>
      <c r="R52" s="32" t="s">
        <v>1017</v>
      </c>
      <c r="S52" s="33">
        <f>1944.55</f>
        <v>1944.55</v>
      </c>
      <c r="T52" s="30">
        <f>5323450</f>
        <v>5323450</v>
      </c>
      <c r="U52" s="30">
        <f>2084009</f>
        <v>2084009</v>
      </c>
      <c r="V52" s="30">
        <f>10405502953</f>
        <v>10405502953</v>
      </c>
      <c r="W52" s="30">
        <f>4079627282</f>
        <v>4079627282</v>
      </c>
      <c r="X52" s="34">
        <f>20</f>
        <v>20</v>
      </c>
    </row>
    <row r="53" spans="1:24" ht="13.5" customHeight="1" x14ac:dyDescent="0.15">
      <c r="A53" s="25" t="s">
        <v>1140</v>
      </c>
      <c r="B53" s="25" t="s">
        <v>225</v>
      </c>
      <c r="C53" s="25" t="s">
        <v>226</v>
      </c>
      <c r="D53" s="25" t="s">
        <v>227</v>
      </c>
      <c r="E53" s="26" t="s">
        <v>45</v>
      </c>
      <c r="F53" s="27" t="s">
        <v>45</v>
      </c>
      <c r="G53" s="28" t="s">
        <v>45</v>
      </c>
      <c r="H53" s="29"/>
      <c r="I53" s="29" t="s">
        <v>46</v>
      </c>
      <c r="J53" s="30">
        <v>1</v>
      </c>
      <c r="K53" s="31">
        <f>2232</f>
        <v>2232</v>
      </c>
      <c r="L53" s="32" t="s">
        <v>995</v>
      </c>
      <c r="M53" s="31">
        <f>2350</f>
        <v>2350</v>
      </c>
      <c r="N53" s="32" t="s">
        <v>80</v>
      </c>
      <c r="O53" s="31">
        <f>2232</f>
        <v>2232</v>
      </c>
      <c r="P53" s="32" t="s">
        <v>995</v>
      </c>
      <c r="Q53" s="31">
        <f>2261</f>
        <v>2261</v>
      </c>
      <c r="R53" s="32" t="s">
        <v>1017</v>
      </c>
      <c r="S53" s="33">
        <f>2291.6</f>
        <v>2291.6</v>
      </c>
      <c r="T53" s="30">
        <f>51949</f>
        <v>51949</v>
      </c>
      <c r="U53" s="30">
        <f>34675</f>
        <v>34675</v>
      </c>
      <c r="V53" s="30">
        <f>117657644</f>
        <v>117657644</v>
      </c>
      <c r="W53" s="30">
        <f>78542235</f>
        <v>78542235</v>
      </c>
      <c r="X53" s="34">
        <f>20</f>
        <v>20</v>
      </c>
    </row>
    <row r="54" spans="1:24" ht="13.5" customHeight="1" x14ac:dyDescent="0.15">
      <c r="A54" s="25" t="s">
        <v>1140</v>
      </c>
      <c r="B54" s="25" t="s">
        <v>228</v>
      </c>
      <c r="C54" s="25" t="s">
        <v>229</v>
      </c>
      <c r="D54" s="25" t="s">
        <v>230</v>
      </c>
      <c r="E54" s="26" t="s">
        <v>45</v>
      </c>
      <c r="F54" s="27" t="s">
        <v>45</v>
      </c>
      <c r="G54" s="28" t="s">
        <v>45</v>
      </c>
      <c r="H54" s="29"/>
      <c r="I54" s="29" t="s">
        <v>46</v>
      </c>
      <c r="J54" s="30">
        <v>1</v>
      </c>
      <c r="K54" s="31">
        <f>2977</f>
        <v>2977</v>
      </c>
      <c r="L54" s="32" t="s">
        <v>995</v>
      </c>
      <c r="M54" s="31">
        <f>3215</f>
        <v>3215</v>
      </c>
      <c r="N54" s="32" t="s">
        <v>80</v>
      </c>
      <c r="O54" s="31">
        <f>2977</f>
        <v>2977</v>
      </c>
      <c r="P54" s="32" t="s">
        <v>995</v>
      </c>
      <c r="Q54" s="31">
        <f>3090</f>
        <v>3090</v>
      </c>
      <c r="R54" s="32" t="s">
        <v>1017</v>
      </c>
      <c r="S54" s="33">
        <f>3112.5</f>
        <v>3112.5</v>
      </c>
      <c r="T54" s="30">
        <f>1270781</f>
        <v>1270781</v>
      </c>
      <c r="U54" s="30">
        <f>519203</f>
        <v>519203</v>
      </c>
      <c r="V54" s="30">
        <f>3951590530</f>
        <v>3951590530</v>
      </c>
      <c r="W54" s="30">
        <f>1612907985</f>
        <v>1612907985</v>
      </c>
      <c r="X54" s="34">
        <f>20</f>
        <v>20</v>
      </c>
    </row>
    <row r="55" spans="1:24" ht="13.5" customHeight="1" x14ac:dyDescent="0.15">
      <c r="A55" s="25" t="s">
        <v>1140</v>
      </c>
      <c r="B55" s="25" t="s">
        <v>231</v>
      </c>
      <c r="C55" s="25" t="s">
        <v>1055</v>
      </c>
      <c r="D55" s="25" t="s">
        <v>1056</v>
      </c>
      <c r="E55" s="26" t="s">
        <v>45</v>
      </c>
      <c r="F55" s="27" t="s">
        <v>45</v>
      </c>
      <c r="G55" s="28" t="s">
        <v>45</v>
      </c>
      <c r="H55" s="29"/>
      <c r="I55" s="29" t="s">
        <v>46</v>
      </c>
      <c r="J55" s="30">
        <v>1</v>
      </c>
      <c r="K55" s="31">
        <f>29120</f>
        <v>29120</v>
      </c>
      <c r="L55" s="32" t="s">
        <v>785</v>
      </c>
      <c r="M55" s="31">
        <f>29735</f>
        <v>29735</v>
      </c>
      <c r="N55" s="32" t="s">
        <v>1002</v>
      </c>
      <c r="O55" s="31">
        <f>29120</f>
        <v>29120</v>
      </c>
      <c r="P55" s="32" t="s">
        <v>785</v>
      </c>
      <c r="Q55" s="31">
        <f>29390</f>
        <v>29390</v>
      </c>
      <c r="R55" s="32" t="s">
        <v>998</v>
      </c>
      <c r="S55" s="33">
        <f>29353.75</f>
        <v>29353.75</v>
      </c>
      <c r="T55" s="30">
        <f>21</f>
        <v>21</v>
      </c>
      <c r="U55" s="30" t="str">
        <f>"－"</f>
        <v>－</v>
      </c>
      <c r="V55" s="30">
        <f>616775</f>
        <v>616775</v>
      </c>
      <c r="W55" s="30" t="str">
        <f>"－"</f>
        <v>－</v>
      </c>
      <c r="X55" s="34">
        <f>4</f>
        <v>4</v>
      </c>
    </row>
    <row r="56" spans="1:24" ht="13.5" customHeight="1" x14ac:dyDescent="0.15">
      <c r="A56" s="25" t="s">
        <v>1140</v>
      </c>
      <c r="B56" s="25" t="s">
        <v>234</v>
      </c>
      <c r="C56" s="25" t="s">
        <v>235</v>
      </c>
      <c r="D56" s="25" t="s">
        <v>236</v>
      </c>
      <c r="E56" s="26" t="s">
        <v>45</v>
      </c>
      <c r="F56" s="27" t="s">
        <v>45</v>
      </c>
      <c r="G56" s="28" t="s">
        <v>45</v>
      </c>
      <c r="H56" s="29"/>
      <c r="I56" s="29" t="s">
        <v>46</v>
      </c>
      <c r="J56" s="30">
        <v>1</v>
      </c>
      <c r="K56" s="31">
        <f>23555</f>
        <v>23555</v>
      </c>
      <c r="L56" s="32" t="s">
        <v>785</v>
      </c>
      <c r="M56" s="31">
        <f>24005</f>
        <v>24005</v>
      </c>
      <c r="N56" s="32" t="s">
        <v>1002</v>
      </c>
      <c r="O56" s="31">
        <f>23225</f>
        <v>23225</v>
      </c>
      <c r="P56" s="32" t="s">
        <v>1017</v>
      </c>
      <c r="Q56" s="31">
        <f>23225</f>
        <v>23225</v>
      </c>
      <c r="R56" s="32" t="s">
        <v>1017</v>
      </c>
      <c r="S56" s="33">
        <f>23553.75</f>
        <v>23553.75</v>
      </c>
      <c r="T56" s="30">
        <f>64</f>
        <v>64</v>
      </c>
      <c r="U56" s="30" t="str">
        <f>"－"</f>
        <v>－</v>
      </c>
      <c r="V56" s="30">
        <f>1512910</f>
        <v>1512910</v>
      </c>
      <c r="W56" s="30" t="str">
        <f>"－"</f>
        <v>－</v>
      </c>
      <c r="X56" s="34">
        <f>8</f>
        <v>8</v>
      </c>
    </row>
    <row r="57" spans="1:24" ht="13.5" customHeight="1" x14ac:dyDescent="0.15">
      <c r="A57" s="25" t="s">
        <v>1140</v>
      </c>
      <c r="B57" s="25" t="s">
        <v>237</v>
      </c>
      <c r="C57" s="25" t="s">
        <v>238</v>
      </c>
      <c r="D57" s="25" t="s">
        <v>239</v>
      </c>
      <c r="E57" s="26" t="s">
        <v>45</v>
      </c>
      <c r="F57" s="27" t="s">
        <v>45</v>
      </c>
      <c r="G57" s="28" t="s">
        <v>45</v>
      </c>
      <c r="H57" s="29"/>
      <c r="I57" s="29" t="s">
        <v>46</v>
      </c>
      <c r="J57" s="30">
        <v>1</v>
      </c>
      <c r="K57" s="31">
        <f>2386</f>
        <v>2386</v>
      </c>
      <c r="L57" s="32" t="s">
        <v>995</v>
      </c>
      <c r="M57" s="31">
        <f>2497</f>
        <v>2497</v>
      </c>
      <c r="N57" s="32" t="s">
        <v>80</v>
      </c>
      <c r="O57" s="31">
        <f>2385</f>
        <v>2385</v>
      </c>
      <c r="P57" s="32" t="s">
        <v>785</v>
      </c>
      <c r="Q57" s="31">
        <f>2416</f>
        <v>2416</v>
      </c>
      <c r="R57" s="32" t="s">
        <v>1017</v>
      </c>
      <c r="S57" s="33">
        <f>2434.53</f>
        <v>2434.5300000000002</v>
      </c>
      <c r="T57" s="30">
        <f>1784</f>
        <v>1784</v>
      </c>
      <c r="U57" s="30" t="str">
        <f>"－"</f>
        <v>－</v>
      </c>
      <c r="V57" s="30">
        <f>4366062</f>
        <v>4366062</v>
      </c>
      <c r="W57" s="30" t="str">
        <f>"－"</f>
        <v>－</v>
      </c>
      <c r="X57" s="34">
        <f>19</f>
        <v>19</v>
      </c>
    </row>
    <row r="58" spans="1:24" ht="13.5" customHeight="1" x14ac:dyDescent="0.15">
      <c r="A58" s="25" t="s">
        <v>1140</v>
      </c>
      <c r="B58" s="25" t="s">
        <v>240</v>
      </c>
      <c r="C58" s="25" t="s">
        <v>241</v>
      </c>
      <c r="D58" s="25" t="s">
        <v>242</v>
      </c>
      <c r="E58" s="26" t="s">
        <v>45</v>
      </c>
      <c r="F58" s="27" t="s">
        <v>45</v>
      </c>
      <c r="G58" s="28" t="s">
        <v>45</v>
      </c>
      <c r="H58" s="29"/>
      <c r="I58" s="29" t="s">
        <v>46</v>
      </c>
      <c r="J58" s="30">
        <v>1</v>
      </c>
      <c r="K58" s="31">
        <f>1809</f>
        <v>1809</v>
      </c>
      <c r="L58" s="32" t="s">
        <v>995</v>
      </c>
      <c r="M58" s="31">
        <f>1809</f>
        <v>1809</v>
      </c>
      <c r="N58" s="32" t="s">
        <v>995</v>
      </c>
      <c r="O58" s="31">
        <f>1736</f>
        <v>1736</v>
      </c>
      <c r="P58" s="32" t="s">
        <v>997</v>
      </c>
      <c r="Q58" s="31">
        <f>1744</f>
        <v>1744</v>
      </c>
      <c r="R58" s="32" t="s">
        <v>1017</v>
      </c>
      <c r="S58" s="33">
        <f>1774.6</f>
        <v>1774.6</v>
      </c>
      <c r="T58" s="30">
        <f>3382191</f>
        <v>3382191</v>
      </c>
      <c r="U58" s="30">
        <f>2033918</f>
        <v>2033918</v>
      </c>
      <c r="V58" s="30">
        <f>6000874854</f>
        <v>6000874854</v>
      </c>
      <c r="W58" s="30">
        <f>3614907989</f>
        <v>3614907989</v>
      </c>
      <c r="X58" s="34">
        <f>20</f>
        <v>20</v>
      </c>
    </row>
    <row r="59" spans="1:24" ht="13.5" customHeight="1" x14ac:dyDescent="0.15">
      <c r="A59" s="25" t="s">
        <v>1140</v>
      </c>
      <c r="B59" s="25" t="s">
        <v>243</v>
      </c>
      <c r="C59" s="25" t="s">
        <v>244</v>
      </c>
      <c r="D59" s="25" t="s">
        <v>245</v>
      </c>
      <c r="E59" s="26" t="s">
        <v>45</v>
      </c>
      <c r="F59" s="27" t="s">
        <v>45</v>
      </c>
      <c r="G59" s="28" t="s">
        <v>45</v>
      </c>
      <c r="H59" s="29"/>
      <c r="I59" s="29" t="s">
        <v>46</v>
      </c>
      <c r="J59" s="30">
        <v>1</v>
      </c>
      <c r="K59" s="31">
        <f>2398</f>
        <v>2398</v>
      </c>
      <c r="L59" s="32" t="s">
        <v>995</v>
      </c>
      <c r="M59" s="31">
        <f>2486</f>
        <v>2486</v>
      </c>
      <c r="N59" s="32" t="s">
        <v>997</v>
      </c>
      <c r="O59" s="31">
        <f>2380</f>
        <v>2380</v>
      </c>
      <c r="P59" s="32" t="s">
        <v>995</v>
      </c>
      <c r="Q59" s="31">
        <f>2413</f>
        <v>2413</v>
      </c>
      <c r="R59" s="32" t="s">
        <v>1017</v>
      </c>
      <c r="S59" s="33">
        <f>2421.95</f>
        <v>2421.9499999999998</v>
      </c>
      <c r="T59" s="30">
        <f>758</f>
        <v>758</v>
      </c>
      <c r="U59" s="30" t="str">
        <f>"－"</f>
        <v>－</v>
      </c>
      <c r="V59" s="30">
        <f>1833266</f>
        <v>1833266</v>
      </c>
      <c r="W59" s="30" t="str">
        <f>"－"</f>
        <v>－</v>
      </c>
      <c r="X59" s="34">
        <f>19</f>
        <v>19</v>
      </c>
    </row>
    <row r="60" spans="1:24" ht="13.5" customHeight="1" x14ac:dyDescent="0.15">
      <c r="A60" s="25" t="s">
        <v>1140</v>
      </c>
      <c r="B60" s="25" t="s">
        <v>246</v>
      </c>
      <c r="C60" s="25" t="s">
        <v>247</v>
      </c>
      <c r="D60" s="25" t="s">
        <v>248</v>
      </c>
      <c r="E60" s="26" t="s">
        <v>45</v>
      </c>
      <c r="F60" s="27" t="s">
        <v>45</v>
      </c>
      <c r="G60" s="28" t="s">
        <v>45</v>
      </c>
      <c r="H60" s="29"/>
      <c r="I60" s="29" t="s">
        <v>46</v>
      </c>
      <c r="J60" s="30">
        <v>10</v>
      </c>
      <c r="K60" s="31">
        <f>2357</f>
        <v>2357</v>
      </c>
      <c r="L60" s="32" t="s">
        <v>995</v>
      </c>
      <c r="M60" s="31">
        <f>2456</f>
        <v>2456</v>
      </c>
      <c r="N60" s="32" t="s">
        <v>80</v>
      </c>
      <c r="O60" s="31">
        <f>2357</f>
        <v>2357</v>
      </c>
      <c r="P60" s="32" t="s">
        <v>995</v>
      </c>
      <c r="Q60" s="31">
        <f>2376.5</f>
        <v>2376.5</v>
      </c>
      <c r="R60" s="32" t="s">
        <v>1017</v>
      </c>
      <c r="S60" s="33">
        <f>2400.88</f>
        <v>2400.88</v>
      </c>
      <c r="T60" s="30">
        <f>164700</f>
        <v>164700</v>
      </c>
      <c r="U60" s="30" t="str">
        <f>"－"</f>
        <v>－</v>
      </c>
      <c r="V60" s="30">
        <f>395117210</f>
        <v>395117210</v>
      </c>
      <c r="W60" s="30" t="str">
        <f>"－"</f>
        <v>－</v>
      </c>
      <c r="X60" s="34">
        <f>20</f>
        <v>20</v>
      </c>
    </row>
    <row r="61" spans="1:24" ht="13.5" customHeight="1" x14ac:dyDescent="0.15">
      <c r="A61" s="25" t="s">
        <v>1140</v>
      </c>
      <c r="B61" s="25" t="s">
        <v>249</v>
      </c>
      <c r="C61" s="25" t="s">
        <v>250</v>
      </c>
      <c r="D61" s="25" t="s">
        <v>251</v>
      </c>
      <c r="E61" s="26" t="s">
        <v>45</v>
      </c>
      <c r="F61" s="27" t="s">
        <v>45</v>
      </c>
      <c r="G61" s="28" t="s">
        <v>45</v>
      </c>
      <c r="H61" s="29"/>
      <c r="I61" s="29" t="s">
        <v>46</v>
      </c>
      <c r="J61" s="30">
        <v>1</v>
      </c>
      <c r="K61" s="31">
        <f>35620</f>
        <v>35620</v>
      </c>
      <c r="L61" s="32" t="s">
        <v>995</v>
      </c>
      <c r="M61" s="31">
        <f>36320</f>
        <v>36320</v>
      </c>
      <c r="N61" s="32" t="s">
        <v>794</v>
      </c>
      <c r="O61" s="31">
        <f>34050</f>
        <v>34050</v>
      </c>
      <c r="P61" s="32" t="s">
        <v>1001</v>
      </c>
      <c r="Q61" s="31">
        <f>34890</f>
        <v>34890</v>
      </c>
      <c r="R61" s="32" t="s">
        <v>1017</v>
      </c>
      <c r="S61" s="33">
        <f>35085</f>
        <v>35085</v>
      </c>
      <c r="T61" s="30">
        <f>45</f>
        <v>45</v>
      </c>
      <c r="U61" s="30" t="str">
        <f>"－"</f>
        <v>－</v>
      </c>
      <c r="V61" s="30">
        <f>1575080</f>
        <v>1575080</v>
      </c>
      <c r="W61" s="30" t="str">
        <f>"－"</f>
        <v>－</v>
      </c>
      <c r="X61" s="34">
        <f>6</f>
        <v>6</v>
      </c>
    </row>
    <row r="62" spans="1:24" ht="13.5" customHeight="1" x14ac:dyDescent="0.15">
      <c r="A62" s="25" t="s">
        <v>1140</v>
      </c>
      <c r="B62" s="25" t="s">
        <v>252</v>
      </c>
      <c r="C62" s="25" t="s">
        <v>253</v>
      </c>
      <c r="D62" s="25" t="s">
        <v>254</v>
      </c>
      <c r="E62" s="26" t="s">
        <v>45</v>
      </c>
      <c r="F62" s="27" t="s">
        <v>45</v>
      </c>
      <c r="G62" s="28" t="s">
        <v>45</v>
      </c>
      <c r="H62" s="29"/>
      <c r="I62" s="29" t="s">
        <v>46</v>
      </c>
      <c r="J62" s="30">
        <v>1</v>
      </c>
      <c r="K62" s="31">
        <f>22765</f>
        <v>22765</v>
      </c>
      <c r="L62" s="32" t="s">
        <v>995</v>
      </c>
      <c r="M62" s="31">
        <f>22825</f>
        <v>22825</v>
      </c>
      <c r="N62" s="32" t="s">
        <v>78</v>
      </c>
      <c r="O62" s="31">
        <f>22430</f>
        <v>22430</v>
      </c>
      <c r="P62" s="32" t="s">
        <v>1001</v>
      </c>
      <c r="Q62" s="31">
        <f>22565</f>
        <v>22565</v>
      </c>
      <c r="R62" s="32" t="s">
        <v>1017</v>
      </c>
      <c r="S62" s="33">
        <f>22681</f>
        <v>22681</v>
      </c>
      <c r="T62" s="30">
        <f>41321</f>
        <v>41321</v>
      </c>
      <c r="U62" s="30" t="str">
        <f>"－"</f>
        <v>－</v>
      </c>
      <c r="V62" s="30">
        <f>938120145</f>
        <v>938120145</v>
      </c>
      <c r="W62" s="30" t="str">
        <f>"－"</f>
        <v>－</v>
      </c>
      <c r="X62" s="34">
        <f>20</f>
        <v>20</v>
      </c>
    </row>
    <row r="63" spans="1:24" ht="13.5" customHeight="1" x14ac:dyDescent="0.15">
      <c r="A63" s="25" t="s">
        <v>1140</v>
      </c>
      <c r="B63" s="25" t="s">
        <v>256</v>
      </c>
      <c r="C63" s="25" t="s">
        <v>257</v>
      </c>
      <c r="D63" s="25" t="s">
        <v>258</v>
      </c>
      <c r="E63" s="26" t="s">
        <v>45</v>
      </c>
      <c r="F63" s="27" t="s">
        <v>45</v>
      </c>
      <c r="G63" s="28" t="s">
        <v>45</v>
      </c>
      <c r="H63" s="29"/>
      <c r="I63" s="29" t="s">
        <v>46</v>
      </c>
      <c r="J63" s="30">
        <v>1</v>
      </c>
      <c r="K63" s="31">
        <f>13870</f>
        <v>13870</v>
      </c>
      <c r="L63" s="32" t="s">
        <v>995</v>
      </c>
      <c r="M63" s="31">
        <f>13870</f>
        <v>13870</v>
      </c>
      <c r="N63" s="32" t="s">
        <v>995</v>
      </c>
      <c r="O63" s="31">
        <f>13310</f>
        <v>13310</v>
      </c>
      <c r="P63" s="32" t="s">
        <v>997</v>
      </c>
      <c r="Q63" s="31">
        <f>13365</f>
        <v>13365</v>
      </c>
      <c r="R63" s="32" t="s">
        <v>1017</v>
      </c>
      <c r="S63" s="33">
        <f>13604.75</f>
        <v>13604.75</v>
      </c>
      <c r="T63" s="30">
        <f>1341862</f>
        <v>1341862</v>
      </c>
      <c r="U63" s="30">
        <f>1261751</f>
        <v>1261751</v>
      </c>
      <c r="V63" s="30">
        <f>18191757389</f>
        <v>18191757389</v>
      </c>
      <c r="W63" s="30">
        <f>17104125499</f>
        <v>17104125499</v>
      </c>
      <c r="X63" s="34">
        <f>20</f>
        <v>20</v>
      </c>
    </row>
    <row r="64" spans="1:24" ht="13.5" customHeight="1" x14ac:dyDescent="0.15">
      <c r="A64" s="25" t="s">
        <v>1140</v>
      </c>
      <c r="B64" s="25" t="s">
        <v>259</v>
      </c>
      <c r="C64" s="25" t="s">
        <v>1057</v>
      </c>
      <c r="D64" s="25" t="s">
        <v>1058</v>
      </c>
      <c r="E64" s="26" t="s">
        <v>45</v>
      </c>
      <c r="F64" s="27" t="s">
        <v>45</v>
      </c>
      <c r="G64" s="28" t="s">
        <v>45</v>
      </c>
      <c r="H64" s="29"/>
      <c r="I64" s="29" t="s">
        <v>46</v>
      </c>
      <c r="J64" s="30">
        <v>10</v>
      </c>
      <c r="K64" s="31">
        <f>1941.5</f>
        <v>1941.5</v>
      </c>
      <c r="L64" s="32" t="s">
        <v>995</v>
      </c>
      <c r="M64" s="31">
        <f>1974.5</f>
        <v>1974.5</v>
      </c>
      <c r="N64" s="32" t="s">
        <v>78</v>
      </c>
      <c r="O64" s="31">
        <f>1892</f>
        <v>1892</v>
      </c>
      <c r="P64" s="32" t="s">
        <v>997</v>
      </c>
      <c r="Q64" s="31">
        <f>1914</f>
        <v>1914</v>
      </c>
      <c r="R64" s="32" t="s">
        <v>1017</v>
      </c>
      <c r="S64" s="33">
        <f>1933.6</f>
        <v>1933.6</v>
      </c>
      <c r="T64" s="30">
        <f>1380710</f>
        <v>1380710</v>
      </c>
      <c r="U64" s="30">
        <f>560030</f>
        <v>560030</v>
      </c>
      <c r="V64" s="30">
        <f>2670442460</f>
        <v>2670442460</v>
      </c>
      <c r="W64" s="30">
        <f>1074024940</f>
        <v>1074024940</v>
      </c>
      <c r="X64" s="34">
        <f>20</f>
        <v>20</v>
      </c>
    </row>
    <row r="65" spans="1:24" ht="13.5" customHeight="1" x14ac:dyDescent="0.15">
      <c r="A65" s="25" t="s">
        <v>1140</v>
      </c>
      <c r="B65" s="25" t="s">
        <v>262</v>
      </c>
      <c r="C65" s="25" t="s">
        <v>263</v>
      </c>
      <c r="D65" s="25" t="s">
        <v>264</v>
      </c>
      <c r="E65" s="26" t="s">
        <v>45</v>
      </c>
      <c r="F65" s="27" t="s">
        <v>45</v>
      </c>
      <c r="G65" s="28" t="s">
        <v>45</v>
      </c>
      <c r="H65" s="29"/>
      <c r="I65" s="29" t="s">
        <v>46</v>
      </c>
      <c r="J65" s="30">
        <v>1</v>
      </c>
      <c r="K65" s="31">
        <f>55670</f>
        <v>55670</v>
      </c>
      <c r="L65" s="32" t="s">
        <v>995</v>
      </c>
      <c r="M65" s="31">
        <f>61630</f>
        <v>61630</v>
      </c>
      <c r="N65" s="32" t="s">
        <v>80</v>
      </c>
      <c r="O65" s="31">
        <f>55660</f>
        <v>55660</v>
      </c>
      <c r="P65" s="32" t="s">
        <v>995</v>
      </c>
      <c r="Q65" s="31">
        <f>60150</f>
        <v>60150</v>
      </c>
      <c r="R65" s="32" t="s">
        <v>1017</v>
      </c>
      <c r="S65" s="33">
        <f>59314.5</f>
        <v>59314.5</v>
      </c>
      <c r="T65" s="30">
        <f>1256418</f>
        <v>1256418</v>
      </c>
      <c r="U65" s="30">
        <f>422335</f>
        <v>422335</v>
      </c>
      <c r="V65" s="30">
        <f>74856314118</f>
        <v>74856314118</v>
      </c>
      <c r="W65" s="30">
        <f>25362559578</f>
        <v>25362559578</v>
      </c>
      <c r="X65" s="34">
        <f>20</f>
        <v>20</v>
      </c>
    </row>
    <row r="66" spans="1:24" ht="13.5" customHeight="1" x14ac:dyDescent="0.15">
      <c r="A66" s="25" t="s">
        <v>1140</v>
      </c>
      <c r="B66" s="25" t="s">
        <v>265</v>
      </c>
      <c r="C66" s="25" t="s">
        <v>266</v>
      </c>
      <c r="D66" s="25" t="s">
        <v>267</v>
      </c>
      <c r="E66" s="26" t="s">
        <v>45</v>
      </c>
      <c r="F66" s="27" t="s">
        <v>45</v>
      </c>
      <c r="G66" s="28" t="s">
        <v>45</v>
      </c>
      <c r="H66" s="29"/>
      <c r="I66" s="29" t="s">
        <v>46</v>
      </c>
      <c r="J66" s="30">
        <v>10</v>
      </c>
      <c r="K66" s="31">
        <f>7867</f>
        <v>7867</v>
      </c>
      <c r="L66" s="32" t="s">
        <v>995</v>
      </c>
      <c r="M66" s="31">
        <f>8047</f>
        <v>8047</v>
      </c>
      <c r="N66" s="32" t="s">
        <v>1017</v>
      </c>
      <c r="O66" s="31">
        <f>7771</f>
        <v>7771</v>
      </c>
      <c r="P66" s="32" t="s">
        <v>995</v>
      </c>
      <c r="Q66" s="31">
        <f>8016</f>
        <v>8016</v>
      </c>
      <c r="R66" s="32" t="s">
        <v>1017</v>
      </c>
      <c r="S66" s="33">
        <f>7849.71</f>
        <v>7849.71</v>
      </c>
      <c r="T66" s="30">
        <f>860</f>
        <v>860</v>
      </c>
      <c r="U66" s="30" t="str">
        <f>"－"</f>
        <v>－</v>
      </c>
      <c r="V66" s="30">
        <f>6742680</f>
        <v>6742680</v>
      </c>
      <c r="W66" s="30" t="str">
        <f>"－"</f>
        <v>－</v>
      </c>
      <c r="X66" s="34">
        <f>7</f>
        <v>7</v>
      </c>
    </row>
    <row r="67" spans="1:24" ht="13.5" customHeight="1" x14ac:dyDescent="0.15">
      <c r="A67" s="25" t="s">
        <v>1140</v>
      </c>
      <c r="B67" s="25" t="s">
        <v>268</v>
      </c>
      <c r="C67" s="25" t="s">
        <v>269</v>
      </c>
      <c r="D67" s="25" t="s">
        <v>270</v>
      </c>
      <c r="E67" s="26" t="s">
        <v>45</v>
      </c>
      <c r="F67" s="27" t="s">
        <v>45</v>
      </c>
      <c r="G67" s="28" t="s">
        <v>45</v>
      </c>
      <c r="H67" s="29"/>
      <c r="I67" s="29" t="s">
        <v>46</v>
      </c>
      <c r="J67" s="30">
        <v>1</v>
      </c>
      <c r="K67" s="31">
        <f>17195</f>
        <v>17195</v>
      </c>
      <c r="L67" s="32" t="s">
        <v>995</v>
      </c>
      <c r="M67" s="31">
        <f>17500</f>
        <v>17500</v>
      </c>
      <c r="N67" s="32" t="s">
        <v>78</v>
      </c>
      <c r="O67" s="31">
        <f>16965</f>
        <v>16965</v>
      </c>
      <c r="P67" s="32" t="s">
        <v>995</v>
      </c>
      <c r="Q67" s="31">
        <f>17395</f>
        <v>17395</v>
      </c>
      <c r="R67" s="32" t="s">
        <v>1017</v>
      </c>
      <c r="S67" s="33">
        <f>17370.25</f>
        <v>17370.25</v>
      </c>
      <c r="T67" s="30">
        <f>491</f>
        <v>491</v>
      </c>
      <c r="U67" s="30" t="str">
        <f>"－"</f>
        <v>－</v>
      </c>
      <c r="V67" s="30">
        <f>8509360</f>
        <v>8509360</v>
      </c>
      <c r="W67" s="30" t="str">
        <f>"－"</f>
        <v>－</v>
      </c>
      <c r="X67" s="34">
        <f>20</f>
        <v>20</v>
      </c>
    </row>
    <row r="68" spans="1:24" ht="13.5" customHeight="1" x14ac:dyDescent="0.15">
      <c r="A68" s="25" t="s">
        <v>1140</v>
      </c>
      <c r="B68" s="25" t="s">
        <v>271</v>
      </c>
      <c r="C68" s="25" t="s">
        <v>272</v>
      </c>
      <c r="D68" s="25" t="s">
        <v>273</v>
      </c>
      <c r="E68" s="26" t="s">
        <v>45</v>
      </c>
      <c r="F68" s="27" t="s">
        <v>45</v>
      </c>
      <c r="G68" s="28" t="s">
        <v>45</v>
      </c>
      <c r="H68" s="29"/>
      <c r="I68" s="29" t="s">
        <v>46</v>
      </c>
      <c r="J68" s="30">
        <v>1</v>
      </c>
      <c r="K68" s="31">
        <f>16855</f>
        <v>16855</v>
      </c>
      <c r="L68" s="32" t="s">
        <v>995</v>
      </c>
      <c r="M68" s="31">
        <f>17255</f>
        <v>17255</v>
      </c>
      <c r="N68" s="32" t="s">
        <v>78</v>
      </c>
      <c r="O68" s="31">
        <f>16615</f>
        <v>16615</v>
      </c>
      <c r="P68" s="32" t="s">
        <v>1001</v>
      </c>
      <c r="Q68" s="31">
        <f>16730</f>
        <v>16730</v>
      </c>
      <c r="R68" s="32" t="s">
        <v>1017</v>
      </c>
      <c r="S68" s="33">
        <f>16968</f>
        <v>16968</v>
      </c>
      <c r="T68" s="30">
        <f>4080</f>
        <v>4080</v>
      </c>
      <c r="U68" s="30" t="str">
        <f>"－"</f>
        <v>－</v>
      </c>
      <c r="V68" s="30">
        <f>69539330</f>
        <v>69539330</v>
      </c>
      <c r="W68" s="30" t="str">
        <f>"－"</f>
        <v>－</v>
      </c>
      <c r="X68" s="34">
        <f>20</f>
        <v>20</v>
      </c>
    </row>
    <row r="69" spans="1:24" ht="13.5" customHeight="1" x14ac:dyDescent="0.15">
      <c r="A69" s="25" t="s">
        <v>1140</v>
      </c>
      <c r="B69" s="25" t="s">
        <v>274</v>
      </c>
      <c r="C69" s="25" t="s">
        <v>275</v>
      </c>
      <c r="D69" s="25" t="s">
        <v>276</v>
      </c>
      <c r="E69" s="26" t="s">
        <v>45</v>
      </c>
      <c r="F69" s="27" t="s">
        <v>45</v>
      </c>
      <c r="G69" s="28" t="s">
        <v>45</v>
      </c>
      <c r="H69" s="29"/>
      <c r="I69" s="29" t="s">
        <v>46</v>
      </c>
      <c r="J69" s="30">
        <v>1</v>
      </c>
      <c r="K69" s="31">
        <f>26280</f>
        <v>26280</v>
      </c>
      <c r="L69" s="32" t="s">
        <v>995</v>
      </c>
      <c r="M69" s="31">
        <f>28315</f>
        <v>28315</v>
      </c>
      <c r="N69" s="32" t="s">
        <v>790</v>
      </c>
      <c r="O69" s="31">
        <f>26280</f>
        <v>26280</v>
      </c>
      <c r="P69" s="32" t="s">
        <v>995</v>
      </c>
      <c r="Q69" s="31">
        <f>26995</f>
        <v>26995</v>
      </c>
      <c r="R69" s="32" t="s">
        <v>1017</v>
      </c>
      <c r="S69" s="33">
        <f>27311</f>
        <v>27311</v>
      </c>
      <c r="T69" s="30">
        <f>209344</f>
        <v>209344</v>
      </c>
      <c r="U69" s="30">
        <f>190302</f>
        <v>190302</v>
      </c>
      <c r="V69" s="30">
        <f>5641648760</f>
        <v>5641648760</v>
      </c>
      <c r="W69" s="30">
        <f>5122756590</f>
        <v>5122756590</v>
      </c>
      <c r="X69" s="34">
        <f>20</f>
        <v>20</v>
      </c>
    </row>
    <row r="70" spans="1:24" ht="13.5" customHeight="1" x14ac:dyDescent="0.15">
      <c r="A70" s="25" t="s">
        <v>1140</v>
      </c>
      <c r="B70" s="25" t="s">
        <v>277</v>
      </c>
      <c r="C70" s="25" t="s">
        <v>278</v>
      </c>
      <c r="D70" s="25" t="s">
        <v>279</v>
      </c>
      <c r="E70" s="26" t="s">
        <v>45</v>
      </c>
      <c r="F70" s="27" t="s">
        <v>45</v>
      </c>
      <c r="G70" s="28" t="s">
        <v>45</v>
      </c>
      <c r="H70" s="29"/>
      <c r="I70" s="29" t="s">
        <v>46</v>
      </c>
      <c r="J70" s="30">
        <v>10</v>
      </c>
      <c r="K70" s="31">
        <f>10420</f>
        <v>10420</v>
      </c>
      <c r="L70" s="32" t="s">
        <v>995</v>
      </c>
      <c r="M70" s="31">
        <f>10625</f>
        <v>10625</v>
      </c>
      <c r="N70" s="32" t="s">
        <v>255</v>
      </c>
      <c r="O70" s="31">
        <f>10200</f>
        <v>10200</v>
      </c>
      <c r="P70" s="32" t="s">
        <v>997</v>
      </c>
      <c r="Q70" s="31">
        <f>10355</f>
        <v>10355</v>
      </c>
      <c r="R70" s="32" t="s">
        <v>1017</v>
      </c>
      <c r="S70" s="33">
        <f>10404</f>
        <v>10404</v>
      </c>
      <c r="T70" s="30">
        <f>11720</f>
        <v>11720</v>
      </c>
      <c r="U70" s="30" t="str">
        <f>"－"</f>
        <v>－</v>
      </c>
      <c r="V70" s="30">
        <f>121690500</f>
        <v>121690500</v>
      </c>
      <c r="W70" s="30" t="str">
        <f>"－"</f>
        <v>－</v>
      </c>
      <c r="X70" s="34">
        <f>20</f>
        <v>20</v>
      </c>
    </row>
    <row r="71" spans="1:24" ht="13.5" customHeight="1" x14ac:dyDescent="0.15">
      <c r="A71" s="25" t="s">
        <v>1140</v>
      </c>
      <c r="B71" s="25" t="s">
        <v>280</v>
      </c>
      <c r="C71" s="25" t="s">
        <v>281</v>
      </c>
      <c r="D71" s="25" t="s">
        <v>282</v>
      </c>
      <c r="E71" s="26" t="s">
        <v>45</v>
      </c>
      <c r="F71" s="27" t="s">
        <v>45</v>
      </c>
      <c r="G71" s="28" t="s">
        <v>45</v>
      </c>
      <c r="H71" s="29"/>
      <c r="I71" s="29" t="s">
        <v>46</v>
      </c>
      <c r="J71" s="30">
        <v>1</v>
      </c>
      <c r="K71" s="31">
        <f>1902</f>
        <v>1902</v>
      </c>
      <c r="L71" s="32" t="s">
        <v>995</v>
      </c>
      <c r="M71" s="31">
        <f>1903</f>
        <v>1903</v>
      </c>
      <c r="N71" s="32" t="s">
        <v>995</v>
      </c>
      <c r="O71" s="31">
        <f>1822</f>
        <v>1822</v>
      </c>
      <c r="P71" s="32" t="s">
        <v>997</v>
      </c>
      <c r="Q71" s="31">
        <f>1828</f>
        <v>1828</v>
      </c>
      <c r="R71" s="32" t="s">
        <v>1017</v>
      </c>
      <c r="S71" s="33">
        <f>1865.2</f>
        <v>1865.2</v>
      </c>
      <c r="T71" s="30">
        <f>1177736</f>
        <v>1177736</v>
      </c>
      <c r="U71" s="30">
        <f>717150</f>
        <v>717150</v>
      </c>
      <c r="V71" s="30">
        <f>2199580327</f>
        <v>2199580327</v>
      </c>
      <c r="W71" s="30">
        <f>1340392461</f>
        <v>1340392461</v>
      </c>
      <c r="X71" s="34">
        <f>20</f>
        <v>20</v>
      </c>
    </row>
    <row r="72" spans="1:24" ht="13.5" customHeight="1" x14ac:dyDescent="0.15">
      <c r="A72" s="25" t="s">
        <v>1140</v>
      </c>
      <c r="B72" s="25" t="s">
        <v>283</v>
      </c>
      <c r="C72" s="25" t="s">
        <v>284</v>
      </c>
      <c r="D72" s="25" t="s">
        <v>285</v>
      </c>
      <c r="E72" s="26" t="s">
        <v>45</v>
      </c>
      <c r="F72" s="27" t="s">
        <v>45</v>
      </c>
      <c r="G72" s="28" t="s">
        <v>45</v>
      </c>
      <c r="H72" s="29"/>
      <c r="I72" s="29" t="s">
        <v>46</v>
      </c>
      <c r="J72" s="30">
        <v>1</v>
      </c>
      <c r="K72" s="31">
        <f>1896</f>
        <v>1896</v>
      </c>
      <c r="L72" s="32" t="s">
        <v>995</v>
      </c>
      <c r="M72" s="31">
        <f>1900</f>
        <v>1900</v>
      </c>
      <c r="N72" s="32" t="s">
        <v>784</v>
      </c>
      <c r="O72" s="31">
        <f>1852</f>
        <v>1852</v>
      </c>
      <c r="P72" s="32" t="s">
        <v>997</v>
      </c>
      <c r="Q72" s="31">
        <f>1859</f>
        <v>1859</v>
      </c>
      <c r="R72" s="32" t="s">
        <v>1017</v>
      </c>
      <c r="S72" s="33">
        <f>1881.2</f>
        <v>1881.2</v>
      </c>
      <c r="T72" s="30">
        <f>642036</f>
        <v>642036</v>
      </c>
      <c r="U72" s="30">
        <f>97</f>
        <v>97</v>
      </c>
      <c r="V72" s="30">
        <f>1205064941</f>
        <v>1205064941</v>
      </c>
      <c r="W72" s="30">
        <f>182908</f>
        <v>182908</v>
      </c>
      <c r="X72" s="34">
        <f>20</f>
        <v>20</v>
      </c>
    </row>
    <row r="73" spans="1:24" ht="13.5" customHeight="1" x14ac:dyDescent="0.15">
      <c r="A73" s="25" t="s">
        <v>1140</v>
      </c>
      <c r="B73" s="25" t="s">
        <v>286</v>
      </c>
      <c r="C73" s="25" t="s">
        <v>287</v>
      </c>
      <c r="D73" s="25" t="s">
        <v>288</v>
      </c>
      <c r="E73" s="26" t="s">
        <v>45</v>
      </c>
      <c r="F73" s="27" t="s">
        <v>45</v>
      </c>
      <c r="G73" s="28" t="s">
        <v>45</v>
      </c>
      <c r="H73" s="29"/>
      <c r="I73" s="29" t="s">
        <v>46</v>
      </c>
      <c r="J73" s="30">
        <v>1</v>
      </c>
      <c r="K73" s="31">
        <f>18050</f>
        <v>18050</v>
      </c>
      <c r="L73" s="32" t="s">
        <v>995</v>
      </c>
      <c r="M73" s="31">
        <f>19080</f>
        <v>19080</v>
      </c>
      <c r="N73" s="32" t="s">
        <v>80</v>
      </c>
      <c r="O73" s="31">
        <f>18050</f>
        <v>18050</v>
      </c>
      <c r="P73" s="32" t="s">
        <v>995</v>
      </c>
      <c r="Q73" s="31">
        <f>18225</f>
        <v>18225</v>
      </c>
      <c r="R73" s="32" t="s">
        <v>1017</v>
      </c>
      <c r="S73" s="33">
        <f>18551</f>
        <v>18551</v>
      </c>
      <c r="T73" s="30">
        <f>13325</f>
        <v>13325</v>
      </c>
      <c r="U73" s="30">
        <f>6502</f>
        <v>6502</v>
      </c>
      <c r="V73" s="30">
        <f>246203955</f>
        <v>246203955</v>
      </c>
      <c r="W73" s="30">
        <f>120174300</f>
        <v>120174300</v>
      </c>
      <c r="X73" s="34">
        <f>20</f>
        <v>20</v>
      </c>
    </row>
    <row r="74" spans="1:24" ht="13.5" customHeight="1" x14ac:dyDescent="0.15">
      <c r="A74" s="25" t="s">
        <v>1140</v>
      </c>
      <c r="B74" s="25" t="s">
        <v>289</v>
      </c>
      <c r="C74" s="25" t="s">
        <v>290</v>
      </c>
      <c r="D74" s="25" t="s">
        <v>291</v>
      </c>
      <c r="E74" s="26" t="s">
        <v>45</v>
      </c>
      <c r="F74" s="27" t="s">
        <v>45</v>
      </c>
      <c r="G74" s="28" t="s">
        <v>45</v>
      </c>
      <c r="H74" s="29"/>
      <c r="I74" s="29" t="s">
        <v>46</v>
      </c>
      <c r="J74" s="30">
        <v>1</v>
      </c>
      <c r="K74" s="31">
        <f>9298</f>
        <v>9298</v>
      </c>
      <c r="L74" s="32" t="s">
        <v>995</v>
      </c>
      <c r="M74" s="31">
        <f>9461</f>
        <v>9461</v>
      </c>
      <c r="N74" s="32" t="s">
        <v>997</v>
      </c>
      <c r="O74" s="31">
        <f>9104</f>
        <v>9104</v>
      </c>
      <c r="P74" s="32" t="s">
        <v>1003</v>
      </c>
      <c r="Q74" s="31">
        <f>9366</f>
        <v>9366</v>
      </c>
      <c r="R74" s="32" t="s">
        <v>1017</v>
      </c>
      <c r="S74" s="33">
        <f>9281.6</f>
        <v>9281.6</v>
      </c>
      <c r="T74" s="30">
        <f>6729</f>
        <v>6729</v>
      </c>
      <c r="U74" s="30">
        <f>2</f>
        <v>2</v>
      </c>
      <c r="V74" s="30">
        <f>62197860</f>
        <v>62197860</v>
      </c>
      <c r="W74" s="30">
        <f>18704</f>
        <v>18704</v>
      </c>
      <c r="X74" s="34">
        <f>20</f>
        <v>20</v>
      </c>
    </row>
    <row r="75" spans="1:24" ht="13.5" customHeight="1" x14ac:dyDescent="0.15">
      <c r="A75" s="25" t="s">
        <v>1140</v>
      </c>
      <c r="B75" s="25" t="s">
        <v>292</v>
      </c>
      <c r="C75" s="25" t="s">
        <v>293</v>
      </c>
      <c r="D75" s="25" t="s">
        <v>294</v>
      </c>
      <c r="E75" s="26" t="s">
        <v>45</v>
      </c>
      <c r="F75" s="27" t="s">
        <v>45</v>
      </c>
      <c r="G75" s="28" t="s">
        <v>45</v>
      </c>
      <c r="H75" s="29"/>
      <c r="I75" s="29" t="s">
        <v>46</v>
      </c>
      <c r="J75" s="30">
        <v>1</v>
      </c>
      <c r="K75" s="31">
        <f>8602</f>
        <v>8602</v>
      </c>
      <c r="L75" s="32" t="s">
        <v>995</v>
      </c>
      <c r="M75" s="31">
        <f>8712</f>
        <v>8712</v>
      </c>
      <c r="N75" s="32" t="s">
        <v>998</v>
      </c>
      <c r="O75" s="31">
        <f>8479</f>
        <v>8479</v>
      </c>
      <c r="P75" s="32" t="s">
        <v>1017</v>
      </c>
      <c r="Q75" s="31">
        <f>8488</f>
        <v>8488</v>
      </c>
      <c r="R75" s="32" t="s">
        <v>1017</v>
      </c>
      <c r="S75" s="33">
        <f>8621.55</f>
        <v>8621.5499999999993</v>
      </c>
      <c r="T75" s="30">
        <f>1593246</f>
        <v>1593246</v>
      </c>
      <c r="U75" s="30">
        <f>26424</f>
        <v>26424</v>
      </c>
      <c r="V75" s="30">
        <f>13710225078</f>
        <v>13710225078</v>
      </c>
      <c r="W75" s="30">
        <f>228011172</f>
        <v>228011172</v>
      </c>
      <c r="X75" s="34">
        <f>20</f>
        <v>20</v>
      </c>
    </row>
    <row r="76" spans="1:24" ht="13.5" customHeight="1" x14ac:dyDescent="0.15">
      <c r="A76" s="25" t="s">
        <v>1140</v>
      </c>
      <c r="B76" s="25" t="s">
        <v>295</v>
      </c>
      <c r="C76" s="25" t="s">
        <v>296</v>
      </c>
      <c r="D76" s="25" t="s">
        <v>297</v>
      </c>
      <c r="E76" s="26" t="s">
        <v>45</v>
      </c>
      <c r="F76" s="27" t="s">
        <v>45</v>
      </c>
      <c r="G76" s="28" t="s">
        <v>45</v>
      </c>
      <c r="H76" s="29"/>
      <c r="I76" s="29" t="s">
        <v>46</v>
      </c>
      <c r="J76" s="30">
        <v>1</v>
      </c>
      <c r="K76" s="31">
        <f>4140</f>
        <v>4140</v>
      </c>
      <c r="L76" s="32" t="s">
        <v>995</v>
      </c>
      <c r="M76" s="31">
        <f>4145</f>
        <v>4145</v>
      </c>
      <c r="N76" s="32" t="s">
        <v>995</v>
      </c>
      <c r="O76" s="31">
        <f>3930</f>
        <v>3930</v>
      </c>
      <c r="P76" s="32" t="s">
        <v>794</v>
      </c>
      <c r="Q76" s="31">
        <f>4070</f>
        <v>4070</v>
      </c>
      <c r="R76" s="32" t="s">
        <v>1017</v>
      </c>
      <c r="S76" s="33">
        <f>4048.5</f>
        <v>4048.5</v>
      </c>
      <c r="T76" s="30">
        <f>476011</f>
        <v>476011</v>
      </c>
      <c r="U76" s="30">
        <f>23</f>
        <v>23</v>
      </c>
      <c r="V76" s="30">
        <f>1924745630</f>
        <v>1924745630</v>
      </c>
      <c r="W76" s="30">
        <f>94620</f>
        <v>94620</v>
      </c>
      <c r="X76" s="34">
        <f>20</f>
        <v>20</v>
      </c>
    </row>
    <row r="77" spans="1:24" ht="13.5" customHeight="1" x14ac:dyDescent="0.15">
      <c r="A77" s="25" t="s">
        <v>1140</v>
      </c>
      <c r="B77" s="25" t="s">
        <v>298</v>
      </c>
      <c r="C77" s="25" t="s">
        <v>299</v>
      </c>
      <c r="D77" s="25" t="s">
        <v>300</v>
      </c>
      <c r="E77" s="26" t="s">
        <v>45</v>
      </c>
      <c r="F77" s="27" t="s">
        <v>45</v>
      </c>
      <c r="G77" s="28" t="s">
        <v>45</v>
      </c>
      <c r="H77" s="29"/>
      <c r="I77" s="29" t="s">
        <v>46</v>
      </c>
      <c r="J77" s="30">
        <v>1</v>
      </c>
      <c r="K77" s="31">
        <f>10150</f>
        <v>10150</v>
      </c>
      <c r="L77" s="32" t="s">
        <v>995</v>
      </c>
      <c r="M77" s="31">
        <f>10185</f>
        <v>10185</v>
      </c>
      <c r="N77" s="32" t="s">
        <v>995</v>
      </c>
      <c r="O77" s="31">
        <f>9651</f>
        <v>9651</v>
      </c>
      <c r="P77" s="32" t="s">
        <v>997</v>
      </c>
      <c r="Q77" s="31">
        <f>9855</f>
        <v>9855</v>
      </c>
      <c r="R77" s="32" t="s">
        <v>1017</v>
      </c>
      <c r="S77" s="33">
        <f>9914.8</f>
        <v>9914.7999999999993</v>
      </c>
      <c r="T77" s="30">
        <f>113388</f>
        <v>113388</v>
      </c>
      <c r="U77" s="30" t="str">
        <f>"－"</f>
        <v>－</v>
      </c>
      <c r="V77" s="30">
        <f>1120318569</f>
        <v>1120318569</v>
      </c>
      <c r="W77" s="30" t="str">
        <f>"－"</f>
        <v>－</v>
      </c>
      <c r="X77" s="34">
        <f>20</f>
        <v>20</v>
      </c>
    </row>
    <row r="78" spans="1:24" ht="13.5" customHeight="1" x14ac:dyDescent="0.15">
      <c r="A78" s="25" t="s">
        <v>1140</v>
      </c>
      <c r="B78" s="25" t="s">
        <v>301</v>
      </c>
      <c r="C78" s="25" t="s">
        <v>302</v>
      </c>
      <c r="D78" s="25" t="s">
        <v>303</v>
      </c>
      <c r="E78" s="26" t="s">
        <v>45</v>
      </c>
      <c r="F78" s="27" t="s">
        <v>45</v>
      </c>
      <c r="G78" s="28" t="s">
        <v>45</v>
      </c>
      <c r="H78" s="29"/>
      <c r="I78" s="29" t="s">
        <v>46</v>
      </c>
      <c r="J78" s="30">
        <v>1</v>
      </c>
      <c r="K78" s="31">
        <f>52860</f>
        <v>52860</v>
      </c>
      <c r="L78" s="32" t="s">
        <v>995</v>
      </c>
      <c r="M78" s="31">
        <f>55770</f>
        <v>55770</v>
      </c>
      <c r="N78" s="32" t="s">
        <v>1017</v>
      </c>
      <c r="O78" s="31">
        <f>51860</f>
        <v>51860</v>
      </c>
      <c r="P78" s="32" t="s">
        <v>794</v>
      </c>
      <c r="Q78" s="31">
        <f>55500</f>
        <v>55500</v>
      </c>
      <c r="R78" s="32" t="s">
        <v>1017</v>
      </c>
      <c r="S78" s="33">
        <f>53671.5</f>
        <v>53671.5</v>
      </c>
      <c r="T78" s="30">
        <f>5617</f>
        <v>5617</v>
      </c>
      <c r="U78" s="30" t="str">
        <f>"－"</f>
        <v>－</v>
      </c>
      <c r="V78" s="30">
        <f>303154410</f>
        <v>303154410</v>
      </c>
      <c r="W78" s="30" t="str">
        <f>"－"</f>
        <v>－</v>
      </c>
      <c r="X78" s="34">
        <f>20</f>
        <v>20</v>
      </c>
    </row>
    <row r="79" spans="1:24" ht="13.5" customHeight="1" x14ac:dyDescent="0.15">
      <c r="A79" s="25" t="s">
        <v>1140</v>
      </c>
      <c r="B79" s="25" t="s">
        <v>304</v>
      </c>
      <c r="C79" s="25" t="s">
        <v>895</v>
      </c>
      <c r="D79" s="25" t="s">
        <v>896</v>
      </c>
      <c r="E79" s="26" t="s">
        <v>45</v>
      </c>
      <c r="F79" s="27" t="s">
        <v>45</v>
      </c>
      <c r="G79" s="28" t="s">
        <v>45</v>
      </c>
      <c r="H79" s="29"/>
      <c r="I79" s="29" t="s">
        <v>46</v>
      </c>
      <c r="J79" s="30">
        <v>1</v>
      </c>
      <c r="K79" s="31">
        <f>22820</f>
        <v>22820</v>
      </c>
      <c r="L79" s="32" t="s">
        <v>995</v>
      </c>
      <c r="M79" s="31">
        <f>23185</f>
        <v>23185</v>
      </c>
      <c r="N79" s="32" t="s">
        <v>1002</v>
      </c>
      <c r="O79" s="31">
        <f>21915</f>
        <v>21915</v>
      </c>
      <c r="P79" s="32" t="s">
        <v>1001</v>
      </c>
      <c r="Q79" s="31">
        <f>22235</f>
        <v>22235</v>
      </c>
      <c r="R79" s="32" t="s">
        <v>1017</v>
      </c>
      <c r="S79" s="33">
        <f>22627.75</f>
        <v>22627.75</v>
      </c>
      <c r="T79" s="30">
        <f>970083</f>
        <v>970083</v>
      </c>
      <c r="U79" s="30">
        <f>8224</f>
        <v>8224</v>
      </c>
      <c r="V79" s="30">
        <f>21901325537</f>
        <v>21901325537</v>
      </c>
      <c r="W79" s="30">
        <f>180398507</f>
        <v>180398507</v>
      </c>
      <c r="X79" s="34">
        <f>20</f>
        <v>20</v>
      </c>
    </row>
    <row r="80" spans="1:24" ht="13.5" customHeight="1" x14ac:dyDescent="0.15">
      <c r="A80" s="25" t="s">
        <v>1140</v>
      </c>
      <c r="B80" s="25" t="s">
        <v>305</v>
      </c>
      <c r="C80" s="25" t="s">
        <v>897</v>
      </c>
      <c r="D80" s="25" t="s">
        <v>898</v>
      </c>
      <c r="E80" s="26" t="s">
        <v>45</v>
      </c>
      <c r="F80" s="27" t="s">
        <v>45</v>
      </c>
      <c r="G80" s="28" t="s">
        <v>45</v>
      </c>
      <c r="H80" s="29"/>
      <c r="I80" s="29" t="s">
        <v>46</v>
      </c>
      <c r="J80" s="30">
        <v>1</v>
      </c>
      <c r="K80" s="31">
        <f>49240</f>
        <v>49240</v>
      </c>
      <c r="L80" s="32" t="s">
        <v>995</v>
      </c>
      <c r="M80" s="31">
        <f>50200</f>
        <v>50200</v>
      </c>
      <c r="N80" s="32" t="s">
        <v>1002</v>
      </c>
      <c r="O80" s="31">
        <f>48630</f>
        <v>48630</v>
      </c>
      <c r="P80" s="32" t="s">
        <v>997</v>
      </c>
      <c r="Q80" s="31">
        <f>48820</f>
        <v>48820</v>
      </c>
      <c r="R80" s="32" t="s">
        <v>1017</v>
      </c>
      <c r="S80" s="33">
        <f>49331.5</f>
        <v>49331.5</v>
      </c>
      <c r="T80" s="30">
        <f>87590</f>
        <v>87590</v>
      </c>
      <c r="U80" s="30">
        <f>19600</f>
        <v>19600</v>
      </c>
      <c r="V80" s="30">
        <f>4327928600</f>
        <v>4327928600</v>
      </c>
      <c r="W80" s="30">
        <f>972163920</f>
        <v>972163920</v>
      </c>
      <c r="X80" s="34">
        <f>20</f>
        <v>20</v>
      </c>
    </row>
    <row r="81" spans="1:24" ht="13.5" customHeight="1" x14ac:dyDescent="0.15">
      <c r="A81" s="25" t="s">
        <v>1140</v>
      </c>
      <c r="B81" s="25" t="s">
        <v>306</v>
      </c>
      <c r="C81" s="25" t="s">
        <v>307</v>
      </c>
      <c r="D81" s="25" t="s">
        <v>308</v>
      </c>
      <c r="E81" s="26" t="s">
        <v>45</v>
      </c>
      <c r="F81" s="27" t="s">
        <v>45</v>
      </c>
      <c r="G81" s="28" t="s">
        <v>45</v>
      </c>
      <c r="H81" s="29"/>
      <c r="I81" s="29" t="s">
        <v>46</v>
      </c>
      <c r="J81" s="30">
        <v>10</v>
      </c>
      <c r="K81" s="31">
        <f>7171</f>
        <v>7171</v>
      </c>
      <c r="L81" s="32" t="s">
        <v>995</v>
      </c>
      <c r="M81" s="31">
        <f>7289</f>
        <v>7289</v>
      </c>
      <c r="N81" s="32" t="s">
        <v>1002</v>
      </c>
      <c r="O81" s="31">
        <f>6968</f>
        <v>6968</v>
      </c>
      <c r="P81" s="32" t="s">
        <v>255</v>
      </c>
      <c r="Q81" s="31">
        <f>7018</f>
        <v>7018</v>
      </c>
      <c r="R81" s="32" t="s">
        <v>1017</v>
      </c>
      <c r="S81" s="33">
        <f>7138.7</f>
        <v>7138.7</v>
      </c>
      <c r="T81" s="30">
        <f>929380</f>
        <v>929380</v>
      </c>
      <c r="U81" s="30">
        <f>69600</f>
        <v>69600</v>
      </c>
      <c r="V81" s="30">
        <f>6634681950</f>
        <v>6634681950</v>
      </c>
      <c r="W81" s="30">
        <f>496070500</f>
        <v>496070500</v>
      </c>
      <c r="X81" s="34">
        <f>20</f>
        <v>20</v>
      </c>
    </row>
    <row r="82" spans="1:24" ht="13.5" customHeight="1" x14ac:dyDescent="0.15">
      <c r="A82" s="25" t="s">
        <v>1140</v>
      </c>
      <c r="B82" s="25" t="s">
        <v>309</v>
      </c>
      <c r="C82" s="25" t="s">
        <v>310</v>
      </c>
      <c r="D82" s="25" t="s">
        <v>311</v>
      </c>
      <c r="E82" s="26" t="s">
        <v>45</v>
      </c>
      <c r="F82" s="27" t="s">
        <v>45</v>
      </c>
      <c r="G82" s="28" t="s">
        <v>45</v>
      </c>
      <c r="H82" s="29"/>
      <c r="I82" s="29" t="s">
        <v>46</v>
      </c>
      <c r="J82" s="30">
        <v>10</v>
      </c>
      <c r="K82" s="31">
        <f>4503</f>
        <v>4503</v>
      </c>
      <c r="L82" s="32" t="s">
        <v>995</v>
      </c>
      <c r="M82" s="31">
        <f>4575</f>
        <v>4575</v>
      </c>
      <c r="N82" s="32" t="s">
        <v>1002</v>
      </c>
      <c r="O82" s="31">
        <f>4400</f>
        <v>4400</v>
      </c>
      <c r="P82" s="32" t="s">
        <v>997</v>
      </c>
      <c r="Q82" s="31">
        <f>4433</f>
        <v>4433</v>
      </c>
      <c r="R82" s="32" t="s">
        <v>1017</v>
      </c>
      <c r="S82" s="33">
        <f>4496.55</f>
        <v>4496.55</v>
      </c>
      <c r="T82" s="30">
        <f>93470</f>
        <v>93470</v>
      </c>
      <c r="U82" s="30" t="str">
        <f>"－"</f>
        <v>－</v>
      </c>
      <c r="V82" s="30">
        <f>418965690</f>
        <v>418965690</v>
      </c>
      <c r="W82" s="30" t="str">
        <f>"－"</f>
        <v>－</v>
      </c>
      <c r="X82" s="34">
        <f>20</f>
        <v>20</v>
      </c>
    </row>
    <row r="83" spans="1:24" ht="13.5" customHeight="1" x14ac:dyDescent="0.15">
      <c r="A83" s="25" t="s">
        <v>1140</v>
      </c>
      <c r="B83" s="25" t="s">
        <v>312</v>
      </c>
      <c r="C83" s="25" t="s">
        <v>970</v>
      </c>
      <c r="D83" s="25" t="s">
        <v>971</v>
      </c>
      <c r="E83" s="26" t="s">
        <v>45</v>
      </c>
      <c r="F83" s="27" t="s">
        <v>45</v>
      </c>
      <c r="G83" s="28" t="s">
        <v>45</v>
      </c>
      <c r="H83" s="29"/>
      <c r="I83" s="29" t="s">
        <v>46</v>
      </c>
      <c r="J83" s="30">
        <v>10</v>
      </c>
      <c r="K83" s="31">
        <f>4588</f>
        <v>4588</v>
      </c>
      <c r="L83" s="32" t="s">
        <v>995</v>
      </c>
      <c r="M83" s="31">
        <f>4633</f>
        <v>4633</v>
      </c>
      <c r="N83" s="32" t="s">
        <v>785</v>
      </c>
      <c r="O83" s="31">
        <f>4437</f>
        <v>4437</v>
      </c>
      <c r="P83" s="32" t="s">
        <v>1001</v>
      </c>
      <c r="Q83" s="31">
        <f>4500</f>
        <v>4500</v>
      </c>
      <c r="R83" s="32" t="s">
        <v>997</v>
      </c>
      <c r="S83" s="33">
        <f>4565.2</f>
        <v>4565.2</v>
      </c>
      <c r="T83" s="30">
        <f>1600</f>
        <v>1600</v>
      </c>
      <c r="U83" s="30" t="str">
        <f>"－"</f>
        <v>－</v>
      </c>
      <c r="V83" s="30">
        <f>7285160</f>
        <v>7285160</v>
      </c>
      <c r="W83" s="30" t="str">
        <f>"－"</f>
        <v>－</v>
      </c>
      <c r="X83" s="34">
        <f>15</f>
        <v>15</v>
      </c>
    </row>
    <row r="84" spans="1:24" ht="13.5" customHeight="1" x14ac:dyDescent="0.15">
      <c r="A84" s="25" t="s">
        <v>1140</v>
      </c>
      <c r="B84" s="25" t="s">
        <v>313</v>
      </c>
      <c r="C84" s="25" t="s">
        <v>314</v>
      </c>
      <c r="D84" s="25" t="s">
        <v>315</v>
      </c>
      <c r="E84" s="26" t="s">
        <v>45</v>
      </c>
      <c r="F84" s="27" t="s">
        <v>45</v>
      </c>
      <c r="G84" s="28" t="s">
        <v>45</v>
      </c>
      <c r="H84" s="29" t="s">
        <v>316</v>
      </c>
      <c r="I84" s="29" t="s">
        <v>46</v>
      </c>
      <c r="J84" s="30">
        <v>1</v>
      </c>
      <c r="K84" s="31">
        <f>619</f>
        <v>619</v>
      </c>
      <c r="L84" s="32" t="s">
        <v>995</v>
      </c>
      <c r="M84" s="31">
        <f>726</f>
        <v>726</v>
      </c>
      <c r="N84" s="32" t="s">
        <v>255</v>
      </c>
      <c r="O84" s="31">
        <f>577</f>
        <v>577</v>
      </c>
      <c r="P84" s="32" t="s">
        <v>1002</v>
      </c>
      <c r="Q84" s="31">
        <f>669</f>
        <v>669</v>
      </c>
      <c r="R84" s="32" t="s">
        <v>1017</v>
      </c>
      <c r="S84" s="33">
        <f>633.75</f>
        <v>633.75</v>
      </c>
      <c r="T84" s="30">
        <f>39259807</f>
        <v>39259807</v>
      </c>
      <c r="U84" s="30">
        <f>127202</f>
        <v>127202</v>
      </c>
      <c r="V84" s="30">
        <f>25283822027</f>
        <v>25283822027</v>
      </c>
      <c r="W84" s="30">
        <f>84719179</f>
        <v>84719179</v>
      </c>
      <c r="X84" s="34">
        <f>20</f>
        <v>20</v>
      </c>
    </row>
    <row r="85" spans="1:24" ht="13.5" customHeight="1" x14ac:dyDescent="0.15">
      <c r="A85" s="25" t="s">
        <v>1140</v>
      </c>
      <c r="B85" s="25" t="s">
        <v>317</v>
      </c>
      <c r="C85" s="25" t="s">
        <v>318</v>
      </c>
      <c r="D85" s="25" t="s">
        <v>319</v>
      </c>
      <c r="E85" s="26" t="s">
        <v>45</v>
      </c>
      <c r="F85" s="27" t="s">
        <v>45</v>
      </c>
      <c r="G85" s="28" t="s">
        <v>45</v>
      </c>
      <c r="H85" s="29"/>
      <c r="I85" s="29" t="s">
        <v>46</v>
      </c>
      <c r="J85" s="30">
        <v>10</v>
      </c>
      <c r="K85" s="31">
        <f>3768</f>
        <v>3768</v>
      </c>
      <c r="L85" s="32" t="s">
        <v>995</v>
      </c>
      <c r="M85" s="31">
        <f>3822</f>
        <v>3822</v>
      </c>
      <c r="N85" s="32" t="s">
        <v>1002</v>
      </c>
      <c r="O85" s="31">
        <f>3671</f>
        <v>3671</v>
      </c>
      <c r="P85" s="32" t="s">
        <v>255</v>
      </c>
      <c r="Q85" s="31">
        <f>3706</f>
        <v>3706</v>
      </c>
      <c r="R85" s="32" t="s">
        <v>1017</v>
      </c>
      <c r="S85" s="33">
        <f>3756.15</f>
        <v>3756.15</v>
      </c>
      <c r="T85" s="30">
        <f>113130</f>
        <v>113130</v>
      </c>
      <c r="U85" s="30" t="str">
        <f>"－"</f>
        <v>－</v>
      </c>
      <c r="V85" s="30">
        <f>425403290</f>
        <v>425403290</v>
      </c>
      <c r="W85" s="30" t="str">
        <f>"－"</f>
        <v>－</v>
      </c>
      <c r="X85" s="34">
        <f>20</f>
        <v>20</v>
      </c>
    </row>
    <row r="86" spans="1:24" ht="13.5" customHeight="1" x14ac:dyDescent="0.15">
      <c r="A86" s="25" t="s">
        <v>1140</v>
      </c>
      <c r="B86" s="25" t="s">
        <v>320</v>
      </c>
      <c r="C86" s="25" t="s">
        <v>1118</v>
      </c>
      <c r="D86" s="25" t="s">
        <v>322</v>
      </c>
      <c r="E86" s="26" t="s">
        <v>45</v>
      </c>
      <c r="F86" s="27" t="s">
        <v>45</v>
      </c>
      <c r="G86" s="28" t="s">
        <v>45</v>
      </c>
      <c r="H86" s="29"/>
      <c r="I86" s="29" t="s">
        <v>46</v>
      </c>
      <c r="J86" s="30">
        <v>10</v>
      </c>
      <c r="K86" s="31">
        <f>1787</f>
        <v>1787</v>
      </c>
      <c r="L86" s="32" t="s">
        <v>995</v>
      </c>
      <c r="M86" s="31">
        <f>1790.5</f>
        <v>1790.5</v>
      </c>
      <c r="N86" s="32" t="s">
        <v>785</v>
      </c>
      <c r="O86" s="31">
        <f>1658.5</f>
        <v>1658.5</v>
      </c>
      <c r="P86" s="32" t="s">
        <v>255</v>
      </c>
      <c r="Q86" s="31">
        <f>1688.5</f>
        <v>1688.5</v>
      </c>
      <c r="R86" s="32" t="s">
        <v>1017</v>
      </c>
      <c r="S86" s="33">
        <f>1730.6</f>
        <v>1730.6</v>
      </c>
      <c r="T86" s="30">
        <f>103950</f>
        <v>103950</v>
      </c>
      <c r="U86" s="30" t="str">
        <f>"－"</f>
        <v>－</v>
      </c>
      <c r="V86" s="30">
        <f>177091595</f>
        <v>177091595</v>
      </c>
      <c r="W86" s="30" t="str">
        <f>"－"</f>
        <v>－</v>
      </c>
      <c r="X86" s="34">
        <f>20</f>
        <v>20</v>
      </c>
    </row>
    <row r="87" spans="1:24" ht="13.5" customHeight="1" x14ac:dyDescent="0.15">
      <c r="A87" s="25" t="s">
        <v>1140</v>
      </c>
      <c r="B87" s="25" t="s">
        <v>323</v>
      </c>
      <c r="C87" s="25" t="s">
        <v>324</v>
      </c>
      <c r="D87" s="25" t="s">
        <v>325</v>
      </c>
      <c r="E87" s="26" t="s">
        <v>45</v>
      </c>
      <c r="F87" s="27" t="s">
        <v>45</v>
      </c>
      <c r="G87" s="28" t="s">
        <v>45</v>
      </c>
      <c r="H87" s="29"/>
      <c r="I87" s="29" t="s">
        <v>46</v>
      </c>
      <c r="J87" s="30">
        <v>1</v>
      </c>
      <c r="K87" s="31">
        <f>65660</f>
        <v>65660</v>
      </c>
      <c r="L87" s="32" t="s">
        <v>995</v>
      </c>
      <c r="M87" s="31">
        <f>66410</f>
        <v>66410</v>
      </c>
      <c r="N87" s="32" t="s">
        <v>78</v>
      </c>
      <c r="O87" s="31">
        <f>63520</f>
        <v>63520</v>
      </c>
      <c r="P87" s="32" t="s">
        <v>255</v>
      </c>
      <c r="Q87" s="31">
        <f>63950</f>
        <v>63950</v>
      </c>
      <c r="R87" s="32" t="s">
        <v>1017</v>
      </c>
      <c r="S87" s="33">
        <f>65189.5</f>
        <v>65189.5</v>
      </c>
      <c r="T87" s="30">
        <f>110550</f>
        <v>110550</v>
      </c>
      <c r="U87" s="30" t="str">
        <f>"－"</f>
        <v>－</v>
      </c>
      <c r="V87" s="30">
        <f>7223572630</f>
        <v>7223572630</v>
      </c>
      <c r="W87" s="30" t="str">
        <f>"－"</f>
        <v>－</v>
      </c>
      <c r="X87" s="34">
        <f>20</f>
        <v>20</v>
      </c>
    </row>
    <row r="88" spans="1:24" ht="13.5" customHeight="1" x14ac:dyDescent="0.15">
      <c r="A88" s="25" t="s">
        <v>1140</v>
      </c>
      <c r="B88" s="25" t="s">
        <v>326</v>
      </c>
      <c r="C88" s="25" t="s">
        <v>327</v>
      </c>
      <c r="D88" s="25" t="s">
        <v>328</v>
      </c>
      <c r="E88" s="26" t="s">
        <v>45</v>
      </c>
      <c r="F88" s="27" t="s">
        <v>45</v>
      </c>
      <c r="G88" s="28" t="s">
        <v>45</v>
      </c>
      <c r="H88" s="29"/>
      <c r="I88" s="29" t="s">
        <v>46</v>
      </c>
      <c r="J88" s="30">
        <v>1</v>
      </c>
      <c r="K88" s="31">
        <f>3440</f>
        <v>3440</v>
      </c>
      <c r="L88" s="32" t="s">
        <v>995</v>
      </c>
      <c r="M88" s="31">
        <f>3550</f>
        <v>3550</v>
      </c>
      <c r="N88" s="32" t="s">
        <v>998</v>
      </c>
      <c r="O88" s="31">
        <f>3385</f>
        <v>3385</v>
      </c>
      <c r="P88" s="32" t="s">
        <v>255</v>
      </c>
      <c r="Q88" s="31">
        <f>3395</f>
        <v>3395</v>
      </c>
      <c r="R88" s="32" t="s">
        <v>1017</v>
      </c>
      <c r="S88" s="33">
        <f>3438.5</f>
        <v>3438.5</v>
      </c>
      <c r="T88" s="30">
        <f>10748</f>
        <v>10748</v>
      </c>
      <c r="U88" s="30" t="str">
        <f>"－"</f>
        <v>－</v>
      </c>
      <c r="V88" s="30">
        <f>37005220</f>
        <v>37005220</v>
      </c>
      <c r="W88" s="30" t="str">
        <f>"－"</f>
        <v>－</v>
      </c>
      <c r="X88" s="34">
        <f>20</f>
        <v>20</v>
      </c>
    </row>
    <row r="89" spans="1:24" ht="13.5" customHeight="1" x14ac:dyDescent="0.15">
      <c r="A89" s="25" t="s">
        <v>1140</v>
      </c>
      <c r="B89" s="25" t="s">
        <v>329</v>
      </c>
      <c r="C89" s="25" t="s">
        <v>330</v>
      </c>
      <c r="D89" s="25" t="s">
        <v>331</v>
      </c>
      <c r="E89" s="26" t="s">
        <v>45</v>
      </c>
      <c r="F89" s="27" t="s">
        <v>45</v>
      </c>
      <c r="G89" s="28" t="s">
        <v>45</v>
      </c>
      <c r="H89" s="29"/>
      <c r="I89" s="29" t="s">
        <v>46</v>
      </c>
      <c r="J89" s="30">
        <v>1</v>
      </c>
      <c r="K89" s="31">
        <f>4400</f>
        <v>4400</v>
      </c>
      <c r="L89" s="32" t="s">
        <v>995</v>
      </c>
      <c r="M89" s="31">
        <f>4495</f>
        <v>4495</v>
      </c>
      <c r="N89" s="32" t="s">
        <v>997</v>
      </c>
      <c r="O89" s="31">
        <f>4350</f>
        <v>4350</v>
      </c>
      <c r="P89" s="32" t="s">
        <v>794</v>
      </c>
      <c r="Q89" s="31">
        <f>4395</f>
        <v>4395</v>
      </c>
      <c r="R89" s="32" t="s">
        <v>1017</v>
      </c>
      <c r="S89" s="33">
        <f>4409.75</f>
        <v>4409.75</v>
      </c>
      <c r="T89" s="30">
        <f>4723</f>
        <v>4723</v>
      </c>
      <c r="U89" s="30" t="str">
        <f>"－"</f>
        <v>－</v>
      </c>
      <c r="V89" s="30">
        <f>20800290</f>
        <v>20800290</v>
      </c>
      <c r="W89" s="30" t="str">
        <f>"－"</f>
        <v>－</v>
      </c>
      <c r="X89" s="34">
        <f>20</f>
        <v>20</v>
      </c>
    </row>
    <row r="90" spans="1:24" ht="13.5" customHeight="1" x14ac:dyDescent="0.15">
      <c r="A90" s="25" t="s">
        <v>1140</v>
      </c>
      <c r="B90" s="25" t="s">
        <v>332</v>
      </c>
      <c r="C90" s="25" t="s">
        <v>972</v>
      </c>
      <c r="D90" s="25" t="s">
        <v>973</v>
      </c>
      <c r="E90" s="26" t="s">
        <v>45</v>
      </c>
      <c r="F90" s="27" t="s">
        <v>45</v>
      </c>
      <c r="G90" s="28" t="s">
        <v>45</v>
      </c>
      <c r="H90" s="29"/>
      <c r="I90" s="29" t="s">
        <v>46</v>
      </c>
      <c r="J90" s="30">
        <v>1</v>
      </c>
      <c r="K90" s="31">
        <f>2694</f>
        <v>2694</v>
      </c>
      <c r="L90" s="32" t="s">
        <v>995</v>
      </c>
      <c r="M90" s="31">
        <f>2759</f>
        <v>2759</v>
      </c>
      <c r="N90" s="32" t="s">
        <v>784</v>
      </c>
      <c r="O90" s="31">
        <f>2455</f>
        <v>2455</v>
      </c>
      <c r="P90" s="32" t="s">
        <v>1001</v>
      </c>
      <c r="Q90" s="31">
        <f>2543</f>
        <v>2543</v>
      </c>
      <c r="R90" s="32" t="s">
        <v>1017</v>
      </c>
      <c r="S90" s="33">
        <f>2609.3</f>
        <v>2609.3000000000002</v>
      </c>
      <c r="T90" s="30">
        <f>924478</f>
        <v>924478</v>
      </c>
      <c r="U90" s="30">
        <f>72000</f>
        <v>72000</v>
      </c>
      <c r="V90" s="30">
        <f>2402223471</f>
        <v>2402223471</v>
      </c>
      <c r="W90" s="30">
        <f>190288150</f>
        <v>190288150</v>
      </c>
      <c r="X90" s="34">
        <f>20</f>
        <v>20</v>
      </c>
    </row>
    <row r="91" spans="1:24" ht="13.5" customHeight="1" x14ac:dyDescent="0.15">
      <c r="A91" s="25" t="s">
        <v>1140</v>
      </c>
      <c r="B91" s="25" t="s">
        <v>333</v>
      </c>
      <c r="C91" s="25" t="s">
        <v>334</v>
      </c>
      <c r="D91" s="25" t="s">
        <v>335</v>
      </c>
      <c r="E91" s="26" t="s">
        <v>45</v>
      </c>
      <c r="F91" s="27" t="s">
        <v>45</v>
      </c>
      <c r="G91" s="28" t="s">
        <v>45</v>
      </c>
      <c r="H91" s="29"/>
      <c r="I91" s="29" t="s">
        <v>46</v>
      </c>
      <c r="J91" s="30">
        <v>1</v>
      </c>
      <c r="K91" s="31">
        <f>47620</f>
        <v>47620</v>
      </c>
      <c r="L91" s="32" t="s">
        <v>995</v>
      </c>
      <c r="M91" s="31">
        <f>47760</f>
        <v>47760</v>
      </c>
      <c r="N91" s="32" t="s">
        <v>785</v>
      </c>
      <c r="O91" s="31">
        <f>46620</f>
        <v>46620</v>
      </c>
      <c r="P91" s="32" t="s">
        <v>1000</v>
      </c>
      <c r="Q91" s="31">
        <f>46930</f>
        <v>46930</v>
      </c>
      <c r="R91" s="32" t="s">
        <v>1017</v>
      </c>
      <c r="S91" s="33">
        <f>47175</f>
        <v>47175</v>
      </c>
      <c r="T91" s="30">
        <f>10912</f>
        <v>10912</v>
      </c>
      <c r="U91" s="30">
        <f>630</f>
        <v>630</v>
      </c>
      <c r="V91" s="30">
        <f>515210413</f>
        <v>515210413</v>
      </c>
      <c r="W91" s="30">
        <f>29935193</f>
        <v>29935193</v>
      </c>
      <c r="X91" s="34">
        <f>20</f>
        <v>20</v>
      </c>
    </row>
    <row r="92" spans="1:24" ht="13.5" customHeight="1" x14ac:dyDescent="0.15">
      <c r="A92" s="25" t="s">
        <v>1140</v>
      </c>
      <c r="B92" s="25" t="s">
        <v>336</v>
      </c>
      <c r="C92" s="25" t="s">
        <v>337</v>
      </c>
      <c r="D92" s="25" t="s">
        <v>338</v>
      </c>
      <c r="E92" s="26" t="s">
        <v>45</v>
      </c>
      <c r="F92" s="27" t="s">
        <v>45</v>
      </c>
      <c r="G92" s="28" t="s">
        <v>45</v>
      </c>
      <c r="H92" s="29"/>
      <c r="I92" s="29" t="s">
        <v>46</v>
      </c>
      <c r="J92" s="30">
        <v>10</v>
      </c>
      <c r="K92" s="31">
        <f>34950</f>
        <v>34950</v>
      </c>
      <c r="L92" s="32" t="s">
        <v>995</v>
      </c>
      <c r="M92" s="31">
        <f>38370</f>
        <v>38370</v>
      </c>
      <c r="N92" s="32" t="s">
        <v>1002</v>
      </c>
      <c r="O92" s="31">
        <f>34950</f>
        <v>34950</v>
      </c>
      <c r="P92" s="32" t="s">
        <v>995</v>
      </c>
      <c r="Q92" s="31">
        <f>35480</f>
        <v>35480</v>
      </c>
      <c r="R92" s="32" t="s">
        <v>1017</v>
      </c>
      <c r="S92" s="33">
        <f>36600.5</f>
        <v>36600.5</v>
      </c>
      <c r="T92" s="30">
        <f>1913090</f>
        <v>1913090</v>
      </c>
      <c r="U92" s="30">
        <f>10330</f>
        <v>10330</v>
      </c>
      <c r="V92" s="30">
        <f>70214417650</f>
        <v>70214417650</v>
      </c>
      <c r="W92" s="30">
        <f>367523550</f>
        <v>367523550</v>
      </c>
      <c r="X92" s="34">
        <f>20</f>
        <v>20</v>
      </c>
    </row>
    <row r="93" spans="1:24" ht="13.5" customHeight="1" x14ac:dyDescent="0.15">
      <c r="A93" s="25" t="s">
        <v>1140</v>
      </c>
      <c r="B93" s="25" t="s">
        <v>339</v>
      </c>
      <c r="C93" s="25" t="s">
        <v>340</v>
      </c>
      <c r="D93" s="25" t="s">
        <v>341</v>
      </c>
      <c r="E93" s="26" t="s">
        <v>45</v>
      </c>
      <c r="F93" s="27" t="s">
        <v>45</v>
      </c>
      <c r="G93" s="28" t="s">
        <v>45</v>
      </c>
      <c r="H93" s="29"/>
      <c r="I93" s="29" t="s">
        <v>46</v>
      </c>
      <c r="J93" s="30">
        <v>10</v>
      </c>
      <c r="K93" s="31">
        <f>1628.5</f>
        <v>1628.5</v>
      </c>
      <c r="L93" s="32" t="s">
        <v>995</v>
      </c>
      <c r="M93" s="31">
        <f>1628.5</f>
        <v>1628.5</v>
      </c>
      <c r="N93" s="32" t="s">
        <v>995</v>
      </c>
      <c r="O93" s="31">
        <f>1552</f>
        <v>1552</v>
      </c>
      <c r="P93" s="32" t="s">
        <v>1002</v>
      </c>
      <c r="Q93" s="31">
        <f>1613.5</f>
        <v>1613.5</v>
      </c>
      <c r="R93" s="32" t="s">
        <v>1017</v>
      </c>
      <c r="S93" s="33">
        <f>1590.03</f>
        <v>1590.03</v>
      </c>
      <c r="T93" s="30">
        <f>625300</f>
        <v>625300</v>
      </c>
      <c r="U93" s="30">
        <f>22900</f>
        <v>22900</v>
      </c>
      <c r="V93" s="30">
        <f>997128450</f>
        <v>997128450</v>
      </c>
      <c r="W93" s="30">
        <f>36701830</f>
        <v>36701830</v>
      </c>
      <c r="X93" s="34">
        <f>20</f>
        <v>20</v>
      </c>
    </row>
    <row r="94" spans="1:24" ht="13.5" customHeight="1" x14ac:dyDescent="0.15">
      <c r="A94" s="25" t="s">
        <v>1140</v>
      </c>
      <c r="B94" s="25" t="s">
        <v>342</v>
      </c>
      <c r="C94" s="25" t="s">
        <v>343</v>
      </c>
      <c r="D94" s="25" t="s">
        <v>344</v>
      </c>
      <c r="E94" s="26" t="s">
        <v>45</v>
      </c>
      <c r="F94" s="27" t="s">
        <v>45</v>
      </c>
      <c r="G94" s="28" t="s">
        <v>45</v>
      </c>
      <c r="H94" s="29"/>
      <c r="I94" s="29" t="s">
        <v>46</v>
      </c>
      <c r="J94" s="30">
        <v>1</v>
      </c>
      <c r="K94" s="31">
        <f>19810</f>
        <v>19810</v>
      </c>
      <c r="L94" s="32" t="s">
        <v>995</v>
      </c>
      <c r="M94" s="31">
        <f>21250</f>
        <v>21250</v>
      </c>
      <c r="N94" s="32" t="s">
        <v>1002</v>
      </c>
      <c r="O94" s="31">
        <f>19055</f>
        <v>19055</v>
      </c>
      <c r="P94" s="32" t="s">
        <v>997</v>
      </c>
      <c r="Q94" s="31">
        <f>19300</f>
        <v>19300</v>
      </c>
      <c r="R94" s="32" t="s">
        <v>1017</v>
      </c>
      <c r="S94" s="33">
        <f>20136.5</f>
        <v>20136.5</v>
      </c>
      <c r="T94" s="30">
        <f>94225442</f>
        <v>94225442</v>
      </c>
      <c r="U94" s="30">
        <f>340129</f>
        <v>340129</v>
      </c>
      <c r="V94" s="30">
        <f>1896082891052</f>
        <v>1896082891052</v>
      </c>
      <c r="W94" s="30">
        <f>7022617257</f>
        <v>7022617257</v>
      </c>
      <c r="X94" s="34">
        <f>20</f>
        <v>20</v>
      </c>
    </row>
    <row r="95" spans="1:24" ht="13.5" customHeight="1" x14ac:dyDescent="0.15">
      <c r="A95" s="25" t="s">
        <v>1140</v>
      </c>
      <c r="B95" s="25" t="s">
        <v>345</v>
      </c>
      <c r="C95" s="25" t="s">
        <v>346</v>
      </c>
      <c r="D95" s="25" t="s">
        <v>347</v>
      </c>
      <c r="E95" s="26" t="s">
        <v>45</v>
      </c>
      <c r="F95" s="27" t="s">
        <v>45</v>
      </c>
      <c r="G95" s="28" t="s">
        <v>45</v>
      </c>
      <c r="H95" s="29"/>
      <c r="I95" s="29" t="s">
        <v>46</v>
      </c>
      <c r="J95" s="30">
        <v>1</v>
      </c>
      <c r="K95" s="31">
        <f>782</f>
        <v>782</v>
      </c>
      <c r="L95" s="32" t="s">
        <v>995</v>
      </c>
      <c r="M95" s="31">
        <f>795</f>
        <v>795</v>
      </c>
      <c r="N95" s="32" t="s">
        <v>997</v>
      </c>
      <c r="O95" s="31">
        <f>754</f>
        <v>754</v>
      </c>
      <c r="P95" s="32" t="s">
        <v>1002</v>
      </c>
      <c r="Q95" s="31">
        <f>790</f>
        <v>790</v>
      </c>
      <c r="R95" s="32" t="s">
        <v>1017</v>
      </c>
      <c r="S95" s="33">
        <f>774.75</f>
        <v>774.75</v>
      </c>
      <c r="T95" s="30">
        <f>33939838</f>
        <v>33939838</v>
      </c>
      <c r="U95" s="30">
        <f>25009</f>
        <v>25009</v>
      </c>
      <c r="V95" s="30">
        <f>26235900926</f>
        <v>26235900926</v>
      </c>
      <c r="W95" s="30">
        <f>19302894</f>
        <v>19302894</v>
      </c>
      <c r="X95" s="34">
        <f>20</f>
        <v>20</v>
      </c>
    </row>
    <row r="96" spans="1:24" ht="13.5" customHeight="1" x14ac:dyDescent="0.15">
      <c r="A96" s="25" t="s">
        <v>1140</v>
      </c>
      <c r="B96" s="25" t="s">
        <v>348</v>
      </c>
      <c r="C96" s="25" t="s">
        <v>349</v>
      </c>
      <c r="D96" s="25" t="s">
        <v>350</v>
      </c>
      <c r="E96" s="26" t="s">
        <v>45</v>
      </c>
      <c r="F96" s="27" t="s">
        <v>45</v>
      </c>
      <c r="G96" s="28" t="s">
        <v>45</v>
      </c>
      <c r="H96" s="29"/>
      <c r="I96" s="29" t="s">
        <v>46</v>
      </c>
      <c r="J96" s="30">
        <v>10</v>
      </c>
      <c r="K96" s="31">
        <f>4345</f>
        <v>4345</v>
      </c>
      <c r="L96" s="32" t="s">
        <v>995</v>
      </c>
      <c r="M96" s="31">
        <f>4732</f>
        <v>4732</v>
      </c>
      <c r="N96" s="32" t="s">
        <v>785</v>
      </c>
      <c r="O96" s="31">
        <f>4072</f>
        <v>4072</v>
      </c>
      <c r="P96" s="32" t="s">
        <v>997</v>
      </c>
      <c r="Q96" s="31">
        <f>4257</f>
        <v>4257</v>
      </c>
      <c r="R96" s="32" t="s">
        <v>1017</v>
      </c>
      <c r="S96" s="33">
        <f>4364.55</f>
        <v>4364.55</v>
      </c>
      <c r="T96" s="30">
        <f>191810</f>
        <v>191810</v>
      </c>
      <c r="U96" s="30">
        <f>60</f>
        <v>60</v>
      </c>
      <c r="V96" s="30">
        <f>840167940</f>
        <v>840167940</v>
      </c>
      <c r="W96" s="30">
        <f>258000</f>
        <v>258000</v>
      </c>
      <c r="X96" s="34">
        <f>20</f>
        <v>20</v>
      </c>
    </row>
    <row r="97" spans="1:24" ht="13.5" customHeight="1" x14ac:dyDescent="0.15">
      <c r="A97" s="25" t="s">
        <v>1140</v>
      </c>
      <c r="B97" s="25" t="s">
        <v>351</v>
      </c>
      <c r="C97" s="25" t="s">
        <v>352</v>
      </c>
      <c r="D97" s="25" t="s">
        <v>353</v>
      </c>
      <c r="E97" s="26" t="s">
        <v>45</v>
      </c>
      <c r="F97" s="27" t="s">
        <v>45</v>
      </c>
      <c r="G97" s="28" t="s">
        <v>45</v>
      </c>
      <c r="H97" s="29"/>
      <c r="I97" s="29" t="s">
        <v>46</v>
      </c>
      <c r="J97" s="30">
        <v>10</v>
      </c>
      <c r="K97" s="31">
        <f>11675</f>
        <v>11675</v>
      </c>
      <c r="L97" s="32" t="s">
        <v>995</v>
      </c>
      <c r="M97" s="31">
        <f>12430</f>
        <v>12430</v>
      </c>
      <c r="N97" s="32" t="s">
        <v>997</v>
      </c>
      <c r="O97" s="31">
        <f>11185</f>
        <v>11185</v>
      </c>
      <c r="P97" s="32" t="s">
        <v>785</v>
      </c>
      <c r="Q97" s="31">
        <f>12150</f>
        <v>12150</v>
      </c>
      <c r="R97" s="32" t="s">
        <v>1017</v>
      </c>
      <c r="S97" s="33">
        <f>11894.5</f>
        <v>11894.5</v>
      </c>
      <c r="T97" s="30">
        <f>47020</f>
        <v>47020</v>
      </c>
      <c r="U97" s="30" t="str">
        <f>"－"</f>
        <v>－</v>
      </c>
      <c r="V97" s="30">
        <f>557334550</f>
        <v>557334550</v>
      </c>
      <c r="W97" s="30" t="str">
        <f>"－"</f>
        <v>－</v>
      </c>
      <c r="X97" s="34">
        <f>20</f>
        <v>20</v>
      </c>
    </row>
    <row r="98" spans="1:24" ht="13.5" customHeight="1" x14ac:dyDescent="0.15">
      <c r="A98" s="25" t="s">
        <v>1140</v>
      </c>
      <c r="B98" s="25" t="s">
        <v>354</v>
      </c>
      <c r="C98" s="25" t="s">
        <v>355</v>
      </c>
      <c r="D98" s="25" t="s">
        <v>1119</v>
      </c>
      <c r="E98" s="26" t="s">
        <v>45</v>
      </c>
      <c r="F98" s="27" t="s">
        <v>45</v>
      </c>
      <c r="G98" s="28" t="s">
        <v>45</v>
      </c>
      <c r="H98" s="29"/>
      <c r="I98" s="29" t="s">
        <v>46</v>
      </c>
      <c r="J98" s="30">
        <v>1</v>
      </c>
      <c r="K98" s="31">
        <f>30970</f>
        <v>30970</v>
      </c>
      <c r="L98" s="32" t="s">
        <v>995</v>
      </c>
      <c r="M98" s="31">
        <f>33700</f>
        <v>33700</v>
      </c>
      <c r="N98" s="32" t="s">
        <v>80</v>
      </c>
      <c r="O98" s="31">
        <f>30970</f>
        <v>30970</v>
      </c>
      <c r="P98" s="32" t="s">
        <v>995</v>
      </c>
      <c r="Q98" s="31">
        <f>32450</f>
        <v>32450</v>
      </c>
      <c r="R98" s="32" t="s">
        <v>1017</v>
      </c>
      <c r="S98" s="33">
        <f>32596</f>
        <v>32596</v>
      </c>
      <c r="T98" s="30">
        <f>162059</f>
        <v>162059</v>
      </c>
      <c r="U98" s="30">
        <f>42880</f>
        <v>42880</v>
      </c>
      <c r="V98" s="30">
        <f>5306952053</f>
        <v>5306952053</v>
      </c>
      <c r="W98" s="30">
        <f>1408347213</f>
        <v>1408347213</v>
      </c>
      <c r="X98" s="34">
        <f>20</f>
        <v>20</v>
      </c>
    </row>
    <row r="99" spans="1:24" ht="13.5" customHeight="1" x14ac:dyDescent="0.15">
      <c r="A99" s="25" t="s">
        <v>1140</v>
      </c>
      <c r="B99" s="25" t="s">
        <v>357</v>
      </c>
      <c r="C99" s="25" t="s">
        <v>358</v>
      </c>
      <c r="D99" s="25" t="s">
        <v>359</v>
      </c>
      <c r="E99" s="26" t="s">
        <v>45</v>
      </c>
      <c r="F99" s="27" t="s">
        <v>45</v>
      </c>
      <c r="G99" s="28" t="s">
        <v>45</v>
      </c>
      <c r="H99" s="29"/>
      <c r="I99" s="29" t="s">
        <v>46</v>
      </c>
      <c r="J99" s="30">
        <v>1</v>
      </c>
      <c r="K99" s="31">
        <f>2590</f>
        <v>2590</v>
      </c>
      <c r="L99" s="32" t="s">
        <v>995</v>
      </c>
      <c r="M99" s="31">
        <f>2678</f>
        <v>2678</v>
      </c>
      <c r="N99" s="32" t="s">
        <v>1002</v>
      </c>
      <c r="O99" s="31">
        <f>2540</f>
        <v>2540</v>
      </c>
      <c r="P99" s="32" t="s">
        <v>997</v>
      </c>
      <c r="Q99" s="31">
        <f>2554</f>
        <v>2554</v>
      </c>
      <c r="R99" s="32" t="s">
        <v>1017</v>
      </c>
      <c r="S99" s="33">
        <f>2608.7</f>
        <v>2608.6999999999998</v>
      </c>
      <c r="T99" s="30">
        <f>675815</f>
        <v>675815</v>
      </c>
      <c r="U99" s="30">
        <f>570001</f>
        <v>570001</v>
      </c>
      <c r="V99" s="30">
        <f>1770876841</f>
        <v>1770876841</v>
      </c>
      <c r="W99" s="30">
        <f>1496423630</f>
        <v>1496423630</v>
      </c>
      <c r="X99" s="34">
        <f>20</f>
        <v>20</v>
      </c>
    </row>
    <row r="100" spans="1:24" ht="13.5" customHeight="1" x14ac:dyDescent="0.15">
      <c r="A100" s="25" t="s">
        <v>1140</v>
      </c>
      <c r="B100" s="25" t="s">
        <v>360</v>
      </c>
      <c r="C100" s="25" t="s">
        <v>361</v>
      </c>
      <c r="D100" s="25" t="s">
        <v>362</v>
      </c>
      <c r="E100" s="26" t="s">
        <v>45</v>
      </c>
      <c r="F100" s="27" t="s">
        <v>45</v>
      </c>
      <c r="G100" s="28" t="s">
        <v>45</v>
      </c>
      <c r="H100" s="29"/>
      <c r="I100" s="29" t="s">
        <v>46</v>
      </c>
      <c r="J100" s="30">
        <v>10</v>
      </c>
      <c r="K100" s="31">
        <f>21185</f>
        <v>21185</v>
      </c>
      <c r="L100" s="32" t="s">
        <v>995</v>
      </c>
      <c r="M100" s="31">
        <f>22715</f>
        <v>22715</v>
      </c>
      <c r="N100" s="32" t="s">
        <v>1002</v>
      </c>
      <c r="O100" s="31">
        <f>20360</f>
        <v>20360</v>
      </c>
      <c r="P100" s="32" t="s">
        <v>997</v>
      </c>
      <c r="Q100" s="31">
        <f>20620</f>
        <v>20620</v>
      </c>
      <c r="R100" s="32" t="s">
        <v>1017</v>
      </c>
      <c r="S100" s="33">
        <f>21516.75</f>
        <v>21516.75</v>
      </c>
      <c r="T100" s="30">
        <f>7256140</f>
        <v>7256140</v>
      </c>
      <c r="U100" s="30">
        <f>100</f>
        <v>100</v>
      </c>
      <c r="V100" s="30">
        <f>155966493600</f>
        <v>155966493600</v>
      </c>
      <c r="W100" s="30">
        <f>2166450</f>
        <v>2166450</v>
      </c>
      <c r="X100" s="34">
        <f>20</f>
        <v>20</v>
      </c>
    </row>
    <row r="101" spans="1:24" ht="13.5" customHeight="1" x14ac:dyDescent="0.15">
      <c r="A101" s="25" t="s">
        <v>1140</v>
      </c>
      <c r="B101" s="25" t="s">
        <v>363</v>
      </c>
      <c r="C101" s="25" t="s">
        <v>364</v>
      </c>
      <c r="D101" s="25" t="s">
        <v>365</v>
      </c>
      <c r="E101" s="26" t="s">
        <v>45</v>
      </c>
      <c r="F101" s="27" t="s">
        <v>45</v>
      </c>
      <c r="G101" s="28" t="s">
        <v>45</v>
      </c>
      <c r="H101" s="29"/>
      <c r="I101" s="29" t="s">
        <v>46</v>
      </c>
      <c r="J101" s="30">
        <v>10</v>
      </c>
      <c r="K101" s="31">
        <f>2076</f>
        <v>2076</v>
      </c>
      <c r="L101" s="32" t="s">
        <v>995</v>
      </c>
      <c r="M101" s="31">
        <f>2109.5</f>
        <v>2109.5</v>
      </c>
      <c r="N101" s="32" t="s">
        <v>997</v>
      </c>
      <c r="O101" s="31">
        <f>2001</f>
        <v>2001</v>
      </c>
      <c r="P101" s="32" t="s">
        <v>1002</v>
      </c>
      <c r="Q101" s="31">
        <f>2096.5</f>
        <v>2096.5</v>
      </c>
      <c r="R101" s="32" t="s">
        <v>1017</v>
      </c>
      <c r="S101" s="33">
        <f>2056.63</f>
        <v>2056.63</v>
      </c>
      <c r="T101" s="30">
        <f>2830840</f>
        <v>2830840</v>
      </c>
      <c r="U101" s="30">
        <f>40000</f>
        <v>40000</v>
      </c>
      <c r="V101" s="30">
        <f>5857927030</f>
        <v>5857927030</v>
      </c>
      <c r="W101" s="30">
        <f>82888000</f>
        <v>82888000</v>
      </c>
      <c r="X101" s="34">
        <f>20</f>
        <v>20</v>
      </c>
    </row>
    <row r="102" spans="1:24" ht="13.5" customHeight="1" x14ac:dyDescent="0.15">
      <c r="A102" s="25" t="s">
        <v>1140</v>
      </c>
      <c r="B102" s="25" t="s">
        <v>369</v>
      </c>
      <c r="C102" s="25" t="s">
        <v>1059</v>
      </c>
      <c r="D102" s="25" t="s">
        <v>1060</v>
      </c>
      <c r="E102" s="26" t="s">
        <v>45</v>
      </c>
      <c r="F102" s="27" t="s">
        <v>45</v>
      </c>
      <c r="G102" s="28" t="s">
        <v>45</v>
      </c>
      <c r="H102" s="29"/>
      <c r="I102" s="29" t="s">
        <v>46</v>
      </c>
      <c r="J102" s="30">
        <v>10</v>
      </c>
      <c r="K102" s="31">
        <f>1640.5</f>
        <v>1640.5</v>
      </c>
      <c r="L102" s="32" t="s">
        <v>995</v>
      </c>
      <c r="M102" s="31">
        <f>1750</f>
        <v>1750</v>
      </c>
      <c r="N102" s="32" t="s">
        <v>997</v>
      </c>
      <c r="O102" s="31">
        <f>1634.5</f>
        <v>1634.5</v>
      </c>
      <c r="P102" s="32" t="s">
        <v>1017</v>
      </c>
      <c r="Q102" s="31">
        <f>1639</f>
        <v>1639</v>
      </c>
      <c r="R102" s="32" t="s">
        <v>1017</v>
      </c>
      <c r="S102" s="33">
        <f>1666.63</f>
        <v>1666.63</v>
      </c>
      <c r="T102" s="30">
        <f>29680</f>
        <v>29680</v>
      </c>
      <c r="U102" s="30" t="str">
        <f>"－"</f>
        <v>－</v>
      </c>
      <c r="V102" s="30">
        <f>49408785</f>
        <v>49408785</v>
      </c>
      <c r="W102" s="30" t="str">
        <f>"－"</f>
        <v>－</v>
      </c>
      <c r="X102" s="34">
        <f>20</f>
        <v>20</v>
      </c>
    </row>
    <row r="103" spans="1:24" ht="13.5" customHeight="1" x14ac:dyDescent="0.15">
      <c r="A103" s="25" t="s">
        <v>1140</v>
      </c>
      <c r="B103" s="25" t="s">
        <v>372</v>
      </c>
      <c r="C103" s="25" t="s">
        <v>373</v>
      </c>
      <c r="D103" s="25" t="s">
        <v>374</v>
      </c>
      <c r="E103" s="26" t="s">
        <v>45</v>
      </c>
      <c r="F103" s="27" t="s">
        <v>45</v>
      </c>
      <c r="G103" s="28" t="s">
        <v>45</v>
      </c>
      <c r="H103" s="29"/>
      <c r="I103" s="29" t="s">
        <v>46</v>
      </c>
      <c r="J103" s="30">
        <v>1</v>
      </c>
      <c r="K103" s="31">
        <f>1910</f>
        <v>1910</v>
      </c>
      <c r="L103" s="32" t="s">
        <v>995</v>
      </c>
      <c r="M103" s="31">
        <f>1965</f>
        <v>1965</v>
      </c>
      <c r="N103" s="32" t="s">
        <v>80</v>
      </c>
      <c r="O103" s="31">
        <f>1890</f>
        <v>1890</v>
      </c>
      <c r="P103" s="32" t="s">
        <v>785</v>
      </c>
      <c r="Q103" s="31">
        <f>1895</f>
        <v>1895</v>
      </c>
      <c r="R103" s="32" t="s">
        <v>1017</v>
      </c>
      <c r="S103" s="33">
        <f>1927.6</f>
        <v>1927.6</v>
      </c>
      <c r="T103" s="30">
        <f>103779</f>
        <v>103779</v>
      </c>
      <c r="U103" s="30">
        <f>100003</f>
        <v>100003</v>
      </c>
      <c r="V103" s="30">
        <f>199553395</f>
        <v>199553395</v>
      </c>
      <c r="W103" s="30">
        <f>192265774</f>
        <v>192265774</v>
      </c>
      <c r="X103" s="34">
        <f>20</f>
        <v>20</v>
      </c>
    </row>
    <row r="104" spans="1:24" ht="13.5" customHeight="1" x14ac:dyDescent="0.15">
      <c r="A104" s="25" t="s">
        <v>1140</v>
      </c>
      <c r="B104" s="25" t="s">
        <v>375</v>
      </c>
      <c r="C104" s="25" t="s">
        <v>376</v>
      </c>
      <c r="D104" s="25" t="s">
        <v>377</v>
      </c>
      <c r="E104" s="26" t="s">
        <v>45</v>
      </c>
      <c r="F104" s="27" t="s">
        <v>45</v>
      </c>
      <c r="G104" s="28" t="s">
        <v>45</v>
      </c>
      <c r="H104" s="29"/>
      <c r="I104" s="29" t="s">
        <v>46</v>
      </c>
      <c r="J104" s="30">
        <v>1</v>
      </c>
      <c r="K104" s="31">
        <f>21150</f>
        <v>21150</v>
      </c>
      <c r="L104" s="32" t="s">
        <v>995</v>
      </c>
      <c r="M104" s="31">
        <f>22085</f>
        <v>22085</v>
      </c>
      <c r="N104" s="32" t="s">
        <v>1002</v>
      </c>
      <c r="O104" s="31">
        <f>21125</f>
        <v>21125</v>
      </c>
      <c r="P104" s="32" t="s">
        <v>1017</v>
      </c>
      <c r="Q104" s="31">
        <f>21200</f>
        <v>21200</v>
      </c>
      <c r="R104" s="32" t="s">
        <v>1017</v>
      </c>
      <c r="S104" s="33">
        <f>21587</f>
        <v>21587</v>
      </c>
      <c r="T104" s="30">
        <f>120677</f>
        <v>120677</v>
      </c>
      <c r="U104" s="30">
        <f>63131</f>
        <v>63131</v>
      </c>
      <c r="V104" s="30">
        <f>2604186806</f>
        <v>2604186806</v>
      </c>
      <c r="W104" s="30">
        <f>1363550376</f>
        <v>1363550376</v>
      </c>
      <c r="X104" s="34">
        <f>20</f>
        <v>20</v>
      </c>
    </row>
    <row r="105" spans="1:24" ht="13.5" customHeight="1" x14ac:dyDescent="0.15">
      <c r="A105" s="25" t="s">
        <v>1140</v>
      </c>
      <c r="B105" s="25" t="s">
        <v>378</v>
      </c>
      <c r="C105" s="25" t="s">
        <v>379</v>
      </c>
      <c r="D105" s="25" t="s">
        <v>380</v>
      </c>
      <c r="E105" s="26" t="s">
        <v>45</v>
      </c>
      <c r="F105" s="27" t="s">
        <v>45</v>
      </c>
      <c r="G105" s="28" t="s">
        <v>45</v>
      </c>
      <c r="H105" s="29"/>
      <c r="I105" s="29" t="s">
        <v>46</v>
      </c>
      <c r="J105" s="30">
        <v>1</v>
      </c>
      <c r="K105" s="31">
        <f>1931</f>
        <v>1931</v>
      </c>
      <c r="L105" s="32" t="s">
        <v>995</v>
      </c>
      <c r="M105" s="31">
        <f>2015</f>
        <v>2015</v>
      </c>
      <c r="N105" s="32" t="s">
        <v>1002</v>
      </c>
      <c r="O105" s="31">
        <f>1927</f>
        <v>1927</v>
      </c>
      <c r="P105" s="32" t="s">
        <v>1017</v>
      </c>
      <c r="Q105" s="31">
        <f>1935</f>
        <v>1935</v>
      </c>
      <c r="R105" s="32" t="s">
        <v>1017</v>
      </c>
      <c r="S105" s="33">
        <f>1969.45</f>
        <v>1969.45</v>
      </c>
      <c r="T105" s="30">
        <f>547909</f>
        <v>547909</v>
      </c>
      <c r="U105" s="30">
        <f>507229</f>
        <v>507229</v>
      </c>
      <c r="V105" s="30">
        <f>1083707540</f>
        <v>1083707540</v>
      </c>
      <c r="W105" s="30">
        <f>1003573692</f>
        <v>1003573692</v>
      </c>
      <c r="X105" s="34">
        <f>20</f>
        <v>20</v>
      </c>
    </row>
    <row r="106" spans="1:24" ht="13.5" customHeight="1" x14ac:dyDescent="0.15">
      <c r="A106" s="25" t="s">
        <v>1140</v>
      </c>
      <c r="B106" s="25" t="s">
        <v>381</v>
      </c>
      <c r="C106" s="25" t="s">
        <v>382</v>
      </c>
      <c r="D106" s="25" t="s">
        <v>383</v>
      </c>
      <c r="E106" s="26" t="s">
        <v>45</v>
      </c>
      <c r="F106" s="27" t="s">
        <v>45</v>
      </c>
      <c r="G106" s="28" t="s">
        <v>45</v>
      </c>
      <c r="H106" s="29"/>
      <c r="I106" s="29" t="s">
        <v>46</v>
      </c>
      <c r="J106" s="30">
        <v>1</v>
      </c>
      <c r="K106" s="31">
        <f>21515</f>
        <v>21515</v>
      </c>
      <c r="L106" s="32" t="s">
        <v>995</v>
      </c>
      <c r="M106" s="31">
        <f>22525</f>
        <v>22525</v>
      </c>
      <c r="N106" s="32" t="s">
        <v>1002</v>
      </c>
      <c r="O106" s="31">
        <f>21515</f>
        <v>21515</v>
      </c>
      <c r="P106" s="32" t="s">
        <v>995</v>
      </c>
      <c r="Q106" s="31">
        <f>21650</f>
        <v>21650</v>
      </c>
      <c r="R106" s="32" t="s">
        <v>1017</v>
      </c>
      <c r="S106" s="33">
        <f>22013.5</f>
        <v>22013.5</v>
      </c>
      <c r="T106" s="30">
        <f>37240</f>
        <v>37240</v>
      </c>
      <c r="U106" s="30">
        <f>21000</f>
        <v>21000</v>
      </c>
      <c r="V106" s="30">
        <f>822231000</f>
        <v>822231000</v>
      </c>
      <c r="W106" s="30">
        <f>465189000</f>
        <v>465189000</v>
      </c>
      <c r="X106" s="34">
        <f>20</f>
        <v>20</v>
      </c>
    </row>
    <row r="107" spans="1:24" ht="13.5" customHeight="1" x14ac:dyDescent="0.15">
      <c r="A107" s="25" t="s">
        <v>1140</v>
      </c>
      <c r="B107" s="25" t="s">
        <v>384</v>
      </c>
      <c r="C107" s="25" t="s">
        <v>385</v>
      </c>
      <c r="D107" s="25" t="s">
        <v>386</v>
      </c>
      <c r="E107" s="26" t="s">
        <v>45</v>
      </c>
      <c r="F107" s="27" t="s">
        <v>45</v>
      </c>
      <c r="G107" s="28" t="s">
        <v>45</v>
      </c>
      <c r="H107" s="29"/>
      <c r="I107" s="29" t="s">
        <v>46</v>
      </c>
      <c r="J107" s="30">
        <v>10</v>
      </c>
      <c r="K107" s="31">
        <f>1934.5</f>
        <v>1934.5</v>
      </c>
      <c r="L107" s="32" t="s">
        <v>995</v>
      </c>
      <c r="M107" s="31">
        <f>1969</f>
        <v>1969</v>
      </c>
      <c r="N107" s="32" t="s">
        <v>78</v>
      </c>
      <c r="O107" s="31">
        <f>1890</f>
        <v>1890</v>
      </c>
      <c r="P107" s="32" t="s">
        <v>997</v>
      </c>
      <c r="Q107" s="31">
        <f>1910</f>
        <v>1910</v>
      </c>
      <c r="R107" s="32" t="s">
        <v>1017</v>
      </c>
      <c r="S107" s="33">
        <f>1929.33</f>
        <v>1929.33</v>
      </c>
      <c r="T107" s="30">
        <f>2915060</f>
        <v>2915060</v>
      </c>
      <c r="U107" s="30">
        <f>901000</f>
        <v>901000</v>
      </c>
      <c r="V107" s="30">
        <f>5625133495</f>
        <v>5625133495</v>
      </c>
      <c r="W107" s="30">
        <f>1731082130</f>
        <v>1731082130</v>
      </c>
      <c r="X107" s="34">
        <f>20</f>
        <v>20</v>
      </c>
    </row>
    <row r="108" spans="1:24" ht="13.5" customHeight="1" x14ac:dyDescent="0.15">
      <c r="A108" s="25" t="s">
        <v>1140</v>
      </c>
      <c r="B108" s="25" t="s">
        <v>387</v>
      </c>
      <c r="C108" s="25" t="s">
        <v>388</v>
      </c>
      <c r="D108" s="25" t="s">
        <v>389</v>
      </c>
      <c r="E108" s="26" t="s">
        <v>45</v>
      </c>
      <c r="F108" s="27" t="s">
        <v>45</v>
      </c>
      <c r="G108" s="28" t="s">
        <v>45</v>
      </c>
      <c r="H108" s="29"/>
      <c r="I108" s="29" t="s">
        <v>46</v>
      </c>
      <c r="J108" s="30">
        <v>10</v>
      </c>
      <c r="K108" s="31" t="str">
        <f>"－"</f>
        <v>－</v>
      </c>
      <c r="L108" s="32"/>
      <c r="M108" s="31" t="str">
        <f>"－"</f>
        <v>－</v>
      </c>
      <c r="N108" s="32"/>
      <c r="O108" s="31" t="str">
        <f>"－"</f>
        <v>－</v>
      </c>
      <c r="P108" s="32"/>
      <c r="Q108" s="31" t="str">
        <f>"－"</f>
        <v>－</v>
      </c>
      <c r="R108" s="32"/>
      <c r="S108" s="33" t="str">
        <f t="shared" ref="S108:X108" si="1">"－"</f>
        <v>－</v>
      </c>
      <c r="T108" s="30" t="str">
        <f t="shared" si="1"/>
        <v>－</v>
      </c>
      <c r="U108" s="30" t="str">
        <f t="shared" si="1"/>
        <v>－</v>
      </c>
      <c r="V108" s="30" t="str">
        <f t="shared" si="1"/>
        <v>－</v>
      </c>
      <c r="W108" s="30" t="str">
        <f t="shared" si="1"/>
        <v>－</v>
      </c>
      <c r="X108" s="34" t="str">
        <f t="shared" si="1"/>
        <v>－</v>
      </c>
    </row>
    <row r="109" spans="1:24" ht="13.5" customHeight="1" x14ac:dyDescent="0.15">
      <c r="A109" s="25" t="s">
        <v>1140</v>
      </c>
      <c r="B109" s="25" t="s">
        <v>390</v>
      </c>
      <c r="C109" s="25" t="s">
        <v>391</v>
      </c>
      <c r="D109" s="25" t="s">
        <v>392</v>
      </c>
      <c r="E109" s="26" t="s">
        <v>45</v>
      </c>
      <c r="F109" s="27" t="s">
        <v>45</v>
      </c>
      <c r="G109" s="28" t="s">
        <v>45</v>
      </c>
      <c r="H109" s="29"/>
      <c r="I109" s="29" t="s">
        <v>46</v>
      </c>
      <c r="J109" s="30">
        <v>10</v>
      </c>
      <c r="K109" s="31">
        <f>1956.5</f>
        <v>1956.5</v>
      </c>
      <c r="L109" s="32" t="s">
        <v>995</v>
      </c>
      <c r="M109" s="31">
        <f>1989</f>
        <v>1989</v>
      </c>
      <c r="N109" s="32" t="s">
        <v>78</v>
      </c>
      <c r="O109" s="31">
        <f>1882.5</f>
        <v>1882.5</v>
      </c>
      <c r="P109" s="32" t="s">
        <v>997</v>
      </c>
      <c r="Q109" s="31">
        <f>1902</f>
        <v>1902</v>
      </c>
      <c r="R109" s="32" t="s">
        <v>1017</v>
      </c>
      <c r="S109" s="33">
        <f>1928.53</f>
        <v>1928.53</v>
      </c>
      <c r="T109" s="30">
        <f>1619970</f>
        <v>1619970</v>
      </c>
      <c r="U109" s="30">
        <f>274670</f>
        <v>274670</v>
      </c>
      <c r="V109" s="30">
        <f>3156409794</f>
        <v>3156409794</v>
      </c>
      <c r="W109" s="30">
        <f>537947454</f>
        <v>537947454</v>
      </c>
      <c r="X109" s="34">
        <f>20</f>
        <v>20</v>
      </c>
    </row>
    <row r="110" spans="1:24" ht="13.5" customHeight="1" x14ac:dyDescent="0.15">
      <c r="A110" s="25" t="s">
        <v>1140</v>
      </c>
      <c r="B110" s="25" t="s">
        <v>393</v>
      </c>
      <c r="C110" s="25" t="s">
        <v>1061</v>
      </c>
      <c r="D110" s="25" t="s">
        <v>1062</v>
      </c>
      <c r="E110" s="26" t="s">
        <v>45</v>
      </c>
      <c r="F110" s="27" t="s">
        <v>45</v>
      </c>
      <c r="G110" s="28" t="s">
        <v>45</v>
      </c>
      <c r="H110" s="29"/>
      <c r="I110" s="29" t="s">
        <v>46</v>
      </c>
      <c r="J110" s="30">
        <v>1</v>
      </c>
      <c r="K110" s="31">
        <f>21620</f>
        <v>21620</v>
      </c>
      <c r="L110" s="32" t="s">
        <v>785</v>
      </c>
      <c r="M110" s="31">
        <f>22115</f>
        <v>22115</v>
      </c>
      <c r="N110" s="32" t="s">
        <v>80</v>
      </c>
      <c r="O110" s="31">
        <f>21455</f>
        <v>21455</v>
      </c>
      <c r="P110" s="32" t="s">
        <v>255</v>
      </c>
      <c r="Q110" s="31">
        <f>21510</f>
        <v>21510</v>
      </c>
      <c r="R110" s="32" t="s">
        <v>1017</v>
      </c>
      <c r="S110" s="33">
        <f>21729</f>
        <v>21729</v>
      </c>
      <c r="T110" s="30">
        <f>261</f>
        <v>261</v>
      </c>
      <c r="U110" s="30" t="str">
        <f>"－"</f>
        <v>－</v>
      </c>
      <c r="V110" s="30">
        <f>5688000</f>
        <v>5688000</v>
      </c>
      <c r="W110" s="30" t="str">
        <f>"－"</f>
        <v>－</v>
      </c>
      <c r="X110" s="34">
        <f>15</f>
        <v>15</v>
      </c>
    </row>
    <row r="111" spans="1:24" ht="13.5" customHeight="1" x14ac:dyDescent="0.15">
      <c r="A111" s="25" t="s">
        <v>1140</v>
      </c>
      <c r="B111" s="25" t="s">
        <v>396</v>
      </c>
      <c r="C111" s="25" t="s">
        <v>397</v>
      </c>
      <c r="D111" s="25" t="s">
        <v>398</v>
      </c>
      <c r="E111" s="26" t="s">
        <v>45</v>
      </c>
      <c r="F111" s="27" t="s">
        <v>45</v>
      </c>
      <c r="G111" s="28" t="s">
        <v>45</v>
      </c>
      <c r="H111" s="29"/>
      <c r="I111" s="29" t="s">
        <v>46</v>
      </c>
      <c r="J111" s="30">
        <v>100</v>
      </c>
      <c r="K111" s="31">
        <f>249.5</f>
        <v>249.5</v>
      </c>
      <c r="L111" s="32" t="s">
        <v>995</v>
      </c>
      <c r="M111" s="31">
        <f>285.9</f>
        <v>285.89999999999998</v>
      </c>
      <c r="N111" s="32" t="s">
        <v>998</v>
      </c>
      <c r="O111" s="31">
        <f>249.5</f>
        <v>249.5</v>
      </c>
      <c r="P111" s="32" t="s">
        <v>995</v>
      </c>
      <c r="Q111" s="31">
        <f>273.6</f>
        <v>273.60000000000002</v>
      </c>
      <c r="R111" s="32" t="s">
        <v>1017</v>
      </c>
      <c r="S111" s="33">
        <f>272.6</f>
        <v>272.60000000000002</v>
      </c>
      <c r="T111" s="30">
        <f>197461400</f>
        <v>197461400</v>
      </c>
      <c r="U111" s="30">
        <f>102334900</f>
        <v>102334900</v>
      </c>
      <c r="V111" s="30">
        <f>54107954325</f>
        <v>54107954325</v>
      </c>
      <c r="W111" s="30">
        <f>27991428475</f>
        <v>27991428475</v>
      </c>
      <c r="X111" s="34">
        <f>20</f>
        <v>20</v>
      </c>
    </row>
    <row r="112" spans="1:24" ht="13.5" customHeight="1" x14ac:dyDescent="0.15">
      <c r="A112" s="25" t="s">
        <v>1140</v>
      </c>
      <c r="B112" s="25" t="s">
        <v>399</v>
      </c>
      <c r="C112" s="25" t="s">
        <v>400</v>
      </c>
      <c r="D112" s="25" t="s">
        <v>401</v>
      </c>
      <c r="E112" s="26" t="s">
        <v>45</v>
      </c>
      <c r="F112" s="27" t="s">
        <v>45</v>
      </c>
      <c r="G112" s="28" t="s">
        <v>45</v>
      </c>
      <c r="H112" s="29"/>
      <c r="I112" s="29" t="s">
        <v>46</v>
      </c>
      <c r="J112" s="30">
        <v>1</v>
      </c>
      <c r="K112" s="31">
        <f>34900</f>
        <v>34900</v>
      </c>
      <c r="L112" s="32" t="s">
        <v>995</v>
      </c>
      <c r="M112" s="31">
        <f>35700</f>
        <v>35700</v>
      </c>
      <c r="N112" s="32" t="s">
        <v>1002</v>
      </c>
      <c r="O112" s="31">
        <f>34720</f>
        <v>34720</v>
      </c>
      <c r="P112" s="32" t="s">
        <v>1001</v>
      </c>
      <c r="Q112" s="31">
        <f>34800</f>
        <v>34800</v>
      </c>
      <c r="R112" s="32" t="s">
        <v>1017</v>
      </c>
      <c r="S112" s="33">
        <f>35191</f>
        <v>35191</v>
      </c>
      <c r="T112" s="30">
        <f>1481</f>
        <v>1481</v>
      </c>
      <c r="U112" s="30" t="str">
        <f>"－"</f>
        <v>－</v>
      </c>
      <c r="V112" s="30">
        <f>52172200</f>
        <v>52172200</v>
      </c>
      <c r="W112" s="30" t="str">
        <f>"－"</f>
        <v>－</v>
      </c>
      <c r="X112" s="34">
        <f>20</f>
        <v>20</v>
      </c>
    </row>
    <row r="113" spans="1:24" ht="13.5" customHeight="1" x14ac:dyDescent="0.15">
      <c r="A113" s="25" t="s">
        <v>1140</v>
      </c>
      <c r="B113" s="25" t="s">
        <v>402</v>
      </c>
      <c r="C113" s="25" t="s">
        <v>403</v>
      </c>
      <c r="D113" s="25" t="s">
        <v>404</v>
      </c>
      <c r="E113" s="26" t="s">
        <v>45</v>
      </c>
      <c r="F113" s="27" t="s">
        <v>45</v>
      </c>
      <c r="G113" s="28" t="s">
        <v>45</v>
      </c>
      <c r="H113" s="29"/>
      <c r="I113" s="29" t="s">
        <v>46</v>
      </c>
      <c r="J113" s="30">
        <v>1</v>
      </c>
      <c r="K113" s="31">
        <f>16565</f>
        <v>16565</v>
      </c>
      <c r="L113" s="32" t="s">
        <v>995</v>
      </c>
      <c r="M113" s="31">
        <f>19195</f>
        <v>19195</v>
      </c>
      <c r="N113" s="32" t="s">
        <v>80</v>
      </c>
      <c r="O113" s="31">
        <f>16565</f>
        <v>16565</v>
      </c>
      <c r="P113" s="32" t="s">
        <v>995</v>
      </c>
      <c r="Q113" s="31">
        <f>18140</f>
        <v>18140</v>
      </c>
      <c r="R113" s="32" t="s">
        <v>1017</v>
      </c>
      <c r="S113" s="33">
        <f>18105</f>
        <v>18105</v>
      </c>
      <c r="T113" s="30">
        <f>24810</f>
        <v>24810</v>
      </c>
      <c r="U113" s="30" t="str">
        <f>"－"</f>
        <v>－</v>
      </c>
      <c r="V113" s="30">
        <f>452536935</f>
        <v>452536935</v>
      </c>
      <c r="W113" s="30" t="str">
        <f>"－"</f>
        <v>－</v>
      </c>
      <c r="X113" s="34">
        <f>20</f>
        <v>20</v>
      </c>
    </row>
    <row r="114" spans="1:24" ht="13.5" customHeight="1" x14ac:dyDescent="0.15">
      <c r="A114" s="25" t="s">
        <v>1140</v>
      </c>
      <c r="B114" s="25" t="s">
        <v>405</v>
      </c>
      <c r="C114" s="25" t="s">
        <v>406</v>
      </c>
      <c r="D114" s="25" t="s">
        <v>407</v>
      </c>
      <c r="E114" s="26" t="s">
        <v>45</v>
      </c>
      <c r="F114" s="27" t="s">
        <v>45</v>
      </c>
      <c r="G114" s="28" t="s">
        <v>45</v>
      </c>
      <c r="H114" s="29"/>
      <c r="I114" s="29" t="s">
        <v>46</v>
      </c>
      <c r="J114" s="30">
        <v>1</v>
      </c>
      <c r="K114" s="31">
        <f>25835</f>
        <v>25835</v>
      </c>
      <c r="L114" s="32" t="s">
        <v>995</v>
      </c>
      <c r="M114" s="31">
        <f>27170</f>
        <v>27170</v>
      </c>
      <c r="N114" s="32" t="s">
        <v>1002</v>
      </c>
      <c r="O114" s="31">
        <f>25835</f>
        <v>25835</v>
      </c>
      <c r="P114" s="32" t="s">
        <v>995</v>
      </c>
      <c r="Q114" s="31">
        <f>26200</f>
        <v>26200</v>
      </c>
      <c r="R114" s="32" t="s">
        <v>1017</v>
      </c>
      <c r="S114" s="33">
        <f>26504.5</f>
        <v>26504.5</v>
      </c>
      <c r="T114" s="30">
        <f>2844</f>
        <v>2844</v>
      </c>
      <c r="U114" s="30" t="str">
        <f>"－"</f>
        <v>－</v>
      </c>
      <c r="V114" s="30">
        <f>75370270</f>
        <v>75370270</v>
      </c>
      <c r="W114" s="30" t="str">
        <f>"－"</f>
        <v>－</v>
      </c>
      <c r="X114" s="34">
        <f>20</f>
        <v>20</v>
      </c>
    </row>
    <row r="115" spans="1:24" ht="13.5" customHeight="1" x14ac:dyDescent="0.15">
      <c r="A115" s="25" t="s">
        <v>1140</v>
      </c>
      <c r="B115" s="25" t="s">
        <v>408</v>
      </c>
      <c r="C115" s="25" t="s">
        <v>409</v>
      </c>
      <c r="D115" s="25" t="s">
        <v>410</v>
      </c>
      <c r="E115" s="26" t="s">
        <v>45</v>
      </c>
      <c r="F115" s="27" t="s">
        <v>45</v>
      </c>
      <c r="G115" s="28" t="s">
        <v>45</v>
      </c>
      <c r="H115" s="29"/>
      <c r="I115" s="29" t="s">
        <v>46</v>
      </c>
      <c r="J115" s="30">
        <v>1</v>
      </c>
      <c r="K115" s="31">
        <f>27870</f>
        <v>27870</v>
      </c>
      <c r="L115" s="32" t="s">
        <v>995</v>
      </c>
      <c r="M115" s="31">
        <f>28565</f>
        <v>28565</v>
      </c>
      <c r="N115" s="32" t="s">
        <v>1002</v>
      </c>
      <c r="O115" s="31">
        <f>27215</f>
        <v>27215</v>
      </c>
      <c r="P115" s="32" t="s">
        <v>1017</v>
      </c>
      <c r="Q115" s="31">
        <f>27295</f>
        <v>27295</v>
      </c>
      <c r="R115" s="32" t="s">
        <v>1017</v>
      </c>
      <c r="S115" s="33">
        <f>27999.75</f>
        <v>27999.75</v>
      </c>
      <c r="T115" s="30">
        <f>1626</f>
        <v>1626</v>
      </c>
      <c r="U115" s="30" t="str">
        <f>"－"</f>
        <v>－</v>
      </c>
      <c r="V115" s="30">
        <f>45477545</f>
        <v>45477545</v>
      </c>
      <c r="W115" s="30" t="str">
        <f>"－"</f>
        <v>－</v>
      </c>
      <c r="X115" s="34">
        <f>20</f>
        <v>20</v>
      </c>
    </row>
    <row r="116" spans="1:24" ht="13.5" customHeight="1" x14ac:dyDescent="0.15">
      <c r="A116" s="25" t="s">
        <v>1140</v>
      </c>
      <c r="B116" s="25" t="s">
        <v>411</v>
      </c>
      <c r="C116" s="25" t="s">
        <v>412</v>
      </c>
      <c r="D116" s="25" t="s">
        <v>413</v>
      </c>
      <c r="E116" s="26" t="s">
        <v>45</v>
      </c>
      <c r="F116" s="27" t="s">
        <v>45</v>
      </c>
      <c r="G116" s="28" t="s">
        <v>45</v>
      </c>
      <c r="H116" s="29"/>
      <c r="I116" s="29" t="s">
        <v>46</v>
      </c>
      <c r="J116" s="30">
        <v>1</v>
      </c>
      <c r="K116" s="31">
        <f>27405</f>
        <v>27405</v>
      </c>
      <c r="L116" s="32" t="s">
        <v>995</v>
      </c>
      <c r="M116" s="31">
        <f>28110</f>
        <v>28110</v>
      </c>
      <c r="N116" s="32" t="s">
        <v>1002</v>
      </c>
      <c r="O116" s="31">
        <f>26750</f>
        <v>26750</v>
      </c>
      <c r="P116" s="32" t="s">
        <v>1001</v>
      </c>
      <c r="Q116" s="31">
        <f>27500</f>
        <v>27500</v>
      </c>
      <c r="R116" s="32" t="s">
        <v>1017</v>
      </c>
      <c r="S116" s="33">
        <f>27470.5</f>
        <v>27470.5</v>
      </c>
      <c r="T116" s="30">
        <f>2828</f>
        <v>2828</v>
      </c>
      <c r="U116" s="30">
        <f>1</f>
        <v>1</v>
      </c>
      <c r="V116" s="30">
        <f>77632020</f>
        <v>77632020</v>
      </c>
      <c r="W116" s="30">
        <f>27790</f>
        <v>27790</v>
      </c>
      <c r="X116" s="34">
        <f>20</f>
        <v>20</v>
      </c>
    </row>
    <row r="117" spans="1:24" ht="13.5" customHeight="1" x14ac:dyDescent="0.15">
      <c r="A117" s="25" t="s">
        <v>1140</v>
      </c>
      <c r="B117" s="25" t="s">
        <v>414</v>
      </c>
      <c r="C117" s="25" t="s">
        <v>415</v>
      </c>
      <c r="D117" s="25" t="s">
        <v>416</v>
      </c>
      <c r="E117" s="26" t="s">
        <v>45</v>
      </c>
      <c r="F117" s="27" t="s">
        <v>45</v>
      </c>
      <c r="G117" s="28" t="s">
        <v>45</v>
      </c>
      <c r="H117" s="29"/>
      <c r="I117" s="29" t="s">
        <v>46</v>
      </c>
      <c r="J117" s="30">
        <v>1</v>
      </c>
      <c r="K117" s="31">
        <f>28220</f>
        <v>28220</v>
      </c>
      <c r="L117" s="32" t="s">
        <v>995</v>
      </c>
      <c r="M117" s="31">
        <f>32300</f>
        <v>32300</v>
      </c>
      <c r="N117" s="32" t="s">
        <v>997</v>
      </c>
      <c r="O117" s="31">
        <f>28220</f>
        <v>28220</v>
      </c>
      <c r="P117" s="32" t="s">
        <v>995</v>
      </c>
      <c r="Q117" s="31">
        <f>30300</f>
        <v>30300</v>
      </c>
      <c r="R117" s="32" t="s">
        <v>1017</v>
      </c>
      <c r="S117" s="33">
        <f>30291.25</f>
        <v>30291.25</v>
      </c>
      <c r="T117" s="30">
        <f>15030</f>
        <v>15030</v>
      </c>
      <c r="U117" s="30">
        <f>1</f>
        <v>1</v>
      </c>
      <c r="V117" s="30">
        <f>459703385</f>
        <v>459703385</v>
      </c>
      <c r="W117" s="30">
        <f>31350</f>
        <v>31350</v>
      </c>
      <c r="X117" s="34">
        <f>20</f>
        <v>20</v>
      </c>
    </row>
    <row r="118" spans="1:24" ht="13.5" customHeight="1" x14ac:dyDescent="0.15">
      <c r="A118" s="25" t="s">
        <v>1140</v>
      </c>
      <c r="B118" s="25" t="s">
        <v>417</v>
      </c>
      <c r="C118" s="25" t="s">
        <v>418</v>
      </c>
      <c r="D118" s="25" t="s">
        <v>419</v>
      </c>
      <c r="E118" s="26" t="s">
        <v>45</v>
      </c>
      <c r="F118" s="27" t="s">
        <v>45</v>
      </c>
      <c r="G118" s="28" t="s">
        <v>45</v>
      </c>
      <c r="H118" s="29"/>
      <c r="I118" s="29" t="s">
        <v>46</v>
      </c>
      <c r="J118" s="30">
        <v>1</v>
      </c>
      <c r="K118" s="31">
        <f>23105</f>
        <v>23105</v>
      </c>
      <c r="L118" s="32" t="s">
        <v>995</v>
      </c>
      <c r="M118" s="31">
        <f>24995</f>
        <v>24995</v>
      </c>
      <c r="N118" s="32" t="s">
        <v>998</v>
      </c>
      <c r="O118" s="31">
        <f>23105</f>
        <v>23105</v>
      </c>
      <c r="P118" s="32" t="s">
        <v>995</v>
      </c>
      <c r="Q118" s="31">
        <f>23630</f>
        <v>23630</v>
      </c>
      <c r="R118" s="32" t="s">
        <v>1017</v>
      </c>
      <c r="S118" s="33">
        <f>24056.75</f>
        <v>24056.75</v>
      </c>
      <c r="T118" s="30">
        <f>9433</f>
        <v>9433</v>
      </c>
      <c r="U118" s="30" t="str">
        <f>"－"</f>
        <v>－</v>
      </c>
      <c r="V118" s="30">
        <f>227297965</f>
        <v>227297965</v>
      </c>
      <c r="W118" s="30" t="str">
        <f>"－"</f>
        <v>－</v>
      </c>
      <c r="X118" s="34">
        <f>20</f>
        <v>20</v>
      </c>
    </row>
    <row r="119" spans="1:24" ht="13.5" customHeight="1" x14ac:dyDescent="0.15">
      <c r="A119" s="25" t="s">
        <v>1140</v>
      </c>
      <c r="B119" s="25" t="s">
        <v>420</v>
      </c>
      <c r="C119" s="25" t="s">
        <v>421</v>
      </c>
      <c r="D119" s="25" t="s">
        <v>422</v>
      </c>
      <c r="E119" s="26" t="s">
        <v>45</v>
      </c>
      <c r="F119" s="27" t="s">
        <v>45</v>
      </c>
      <c r="G119" s="28" t="s">
        <v>45</v>
      </c>
      <c r="H119" s="29"/>
      <c r="I119" s="29" t="s">
        <v>46</v>
      </c>
      <c r="J119" s="30">
        <v>1</v>
      </c>
      <c r="K119" s="31">
        <f>48410</f>
        <v>48410</v>
      </c>
      <c r="L119" s="32" t="s">
        <v>995</v>
      </c>
      <c r="M119" s="31">
        <f>49910</f>
        <v>49910</v>
      </c>
      <c r="N119" s="32" t="s">
        <v>1003</v>
      </c>
      <c r="O119" s="31">
        <f>46700</f>
        <v>46700</v>
      </c>
      <c r="P119" s="32" t="s">
        <v>1017</v>
      </c>
      <c r="Q119" s="31">
        <f>47080</f>
        <v>47080</v>
      </c>
      <c r="R119" s="32" t="s">
        <v>1017</v>
      </c>
      <c r="S119" s="33">
        <f>48473</f>
        <v>48473</v>
      </c>
      <c r="T119" s="30">
        <f>907</f>
        <v>907</v>
      </c>
      <c r="U119" s="30" t="str">
        <f>"－"</f>
        <v>－</v>
      </c>
      <c r="V119" s="30">
        <f>43812350</f>
        <v>43812350</v>
      </c>
      <c r="W119" s="30" t="str">
        <f>"－"</f>
        <v>－</v>
      </c>
      <c r="X119" s="34">
        <f>20</f>
        <v>20</v>
      </c>
    </row>
    <row r="120" spans="1:24" ht="13.5" customHeight="1" x14ac:dyDescent="0.15">
      <c r="A120" s="25" t="s">
        <v>1140</v>
      </c>
      <c r="B120" s="25" t="s">
        <v>423</v>
      </c>
      <c r="C120" s="25" t="s">
        <v>424</v>
      </c>
      <c r="D120" s="25" t="s">
        <v>425</v>
      </c>
      <c r="E120" s="26" t="s">
        <v>45</v>
      </c>
      <c r="F120" s="27" t="s">
        <v>45</v>
      </c>
      <c r="G120" s="28" t="s">
        <v>45</v>
      </c>
      <c r="H120" s="29"/>
      <c r="I120" s="29" t="s">
        <v>46</v>
      </c>
      <c r="J120" s="30">
        <v>1</v>
      </c>
      <c r="K120" s="31">
        <f>31520</f>
        <v>31520</v>
      </c>
      <c r="L120" s="32" t="s">
        <v>995</v>
      </c>
      <c r="M120" s="31">
        <f>32220</f>
        <v>32220</v>
      </c>
      <c r="N120" s="32" t="s">
        <v>78</v>
      </c>
      <c r="O120" s="31">
        <f>30360</f>
        <v>30360</v>
      </c>
      <c r="P120" s="32" t="s">
        <v>1001</v>
      </c>
      <c r="Q120" s="31">
        <f>30580</f>
        <v>30580</v>
      </c>
      <c r="R120" s="32" t="s">
        <v>1017</v>
      </c>
      <c r="S120" s="33">
        <f>31269</f>
        <v>31269</v>
      </c>
      <c r="T120" s="30">
        <f>8476</f>
        <v>8476</v>
      </c>
      <c r="U120" s="30">
        <f>1300</f>
        <v>1300</v>
      </c>
      <c r="V120" s="30">
        <f>265415190</f>
        <v>265415190</v>
      </c>
      <c r="W120" s="30">
        <f>41374970</f>
        <v>41374970</v>
      </c>
      <c r="X120" s="34">
        <f>20</f>
        <v>20</v>
      </c>
    </row>
    <row r="121" spans="1:24" ht="13.5" customHeight="1" x14ac:dyDescent="0.15">
      <c r="A121" s="25" t="s">
        <v>1140</v>
      </c>
      <c r="B121" s="25" t="s">
        <v>426</v>
      </c>
      <c r="C121" s="25" t="s">
        <v>427</v>
      </c>
      <c r="D121" s="25" t="s">
        <v>428</v>
      </c>
      <c r="E121" s="26" t="s">
        <v>45</v>
      </c>
      <c r="F121" s="27" t="s">
        <v>45</v>
      </c>
      <c r="G121" s="28" t="s">
        <v>45</v>
      </c>
      <c r="H121" s="29"/>
      <c r="I121" s="29" t="s">
        <v>46</v>
      </c>
      <c r="J121" s="30">
        <v>1</v>
      </c>
      <c r="K121" s="31">
        <f>30640</f>
        <v>30640</v>
      </c>
      <c r="L121" s="32" t="s">
        <v>995</v>
      </c>
      <c r="M121" s="31">
        <f>31410</f>
        <v>31410</v>
      </c>
      <c r="N121" s="32" t="s">
        <v>1002</v>
      </c>
      <c r="O121" s="31">
        <f>30170</f>
        <v>30170</v>
      </c>
      <c r="P121" s="32" t="s">
        <v>1017</v>
      </c>
      <c r="Q121" s="31">
        <f>30170</f>
        <v>30170</v>
      </c>
      <c r="R121" s="32" t="s">
        <v>1017</v>
      </c>
      <c r="S121" s="33">
        <f>30767.5</f>
        <v>30767.5</v>
      </c>
      <c r="T121" s="30">
        <f>10186</f>
        <v>10186</v>
      </c>
      <c r="U121" s="30">
        <f>6452</f>
        <v>6452</v>
      </c>
      <c r="V121" s="30">
        <f>315058228</f>
        <v>315058228</v>
      </c>
      <c r="W121" s="30">
        <f>199715138</f>
        <v>199715138</v>
      </c>
      <c r="X121" s="34">
        <f>20</f>
        <v>20</v>
      </c>
    </row>
    <row r="122" spans="1:24" ht="13.5" customHeight="1" x14ac:dyDescent="0.15">
      <c r="A122" s="25" t="s">
        <v>1140</v>
      </c>
      <c r="B122" s="25" t="s">
        <v>429</v>
      </c>
      <c r="C122" s="25" t="s">
        <v>430</v>
      </c>
      <c r="D122" s="25" t="s">
        <v>431</v>
      </c>
      <c r="E122" s="26" t="s">
        <v>45</v>
      </c>
      <c r="F122" s="27" t="s">
        <v>45</v>
      </c>
      <c r="G122" s="28" t="s">
        <v>45</v>
      </c>
      <c r="H122" s="29"/>
      <c r="I122" s="29" t="s">
        <v>46</v>
      </c>
      <c r="J122" s="30">
        <v>1</v>
      </c>
      <c r="K122" s="31">
        <f>7810</f>
        <v>7810</v>
      </c>
      <c r="L122" s="32" t="s">
        <v>995</v>
      </c>
      <c r="M122" s="31">
        <f>8565</f>
        <v>8565</v>
      </c>
      <c r="N122" s="32" t="s">
        <v>80</v>
      </c>
      <c r="O122" s="31">
        <f>7798</f>
        <v>7798</v>
      </c>
      <c r="P122" s="32" t="s">
        <v>995</v>
      </c>
      <c r="Q122" s="31">
        <f>7941</f>
        <v>7941</v>
      </c>
      <c r="R122" s="32" t="s">
        <v>1017</v>
      </c>
      <c r="S122" s="33">
        <f>8125.5</f>
        <v>8125.5</v>
      </c>
      <c r="T122" s="30">
        <f>29752</f>
        <v>29752</v>
      </c>
      <c r="U122" s="30" t="str">
        <f>"－"</f>
        <v>－</v>
      </c>
      <c r="V122" s="30">
        <f>243810242</f>
        <v>243810242</v>
      </c>
      <c r="W122" s="30" t="str">
        <f>"－"</f>
        <v>－</v>
      </c>
      <c r="X122" s="34">
        <f>20</f>
        <v>20</v>
      </c>
    </row>
    <row r="123" spans="1:24" ht="13.5" customHeight="1" x14ac:dyDescent="0.15">
      <c r="A123" s="25" t="s">
        <v>1140</v>
      </c>
      <c r="B123" s="25" t="s">
        <v>432</v>
      </c>
      <c r="C123" s="25" t="s">
        <v>433</v>
      </c>
      <c r="D123" s="25" t="s">
        <v>434</v>
      </c>
      <c r="E123" s="26" t="s">
        <v>45</v>
      </c>
      <c r="F123" s="27" t="s">
        <v>45</v>
      </c>
      <c r="G123" s="28" t="s">
        <v>45</v>
      </c>
      <c r="H123" s="29"/>
      <c r="I123" s="29" t="s">
        <v>46</v>
      </c>
      <c r="J123" s="30">
        <v>1</v>
      </c>
      <c r="K123" s="31">
        <f>18400</f>
        <v>18400</v>
      </c>
      <c r="L123" s="32" t="s">
        <v>995</v>
      </c>
      <c r="M123" s="31">
        <f>19270</f>
        <v>19270</v>
      </c>
      <c r="N123" s="32" t="s">
        <v>80</v>
      </c>
      <c r="O123" s="31">
        <f>18180</f>
        <v>18180</v>
      </c>
      <c r="P123" s="32" t="s">
        <v>1017</v>
      </c>
      <c r="Q123" s="31">
        <f>18295</f>
        <v>18295</v>
      </c>
      <c r="R123" s="32" t="s">
        <v>1017</v>
      </c>
      <c r="S123" s="33">
        <f>18848.75</f>
        <v>18848.75</v>
      </c>
      <c r="T123" s="30">
        <f>7133</f>
        <v>7133</v>
      </c>
      <c r="U123" s="30" t="str">
        <f>"－"</f>
        <v>－</v>
      </c>
      <c r="V123" s="30">
        <f>134431560</f>
        <v>134431560</v>
      </c>
      <c r="W123" s="30" t="str">
        <f>"－"</f>
        <v>－</v>
      </c>
      <c r="X123" s="34">
        <f>20</f>
        <v>20</v>
      </c>
    </row>
    <row r="124" spans="1:24" ht="13.5" customHeight="1" x14ac:dyDescent="0.15">
      <c r="A124" s="25" t="s">
        <v>1140</v>
      </c>
      <c r="B124" s="25" t="s">
        <v>435</v>
      </c>
      <c r="C124" s="25" t="s">
        <v>436</v>
      </c>
      <c r="D124" s="25" t="s">
        <v>437</v>
      </c>
      <c r="E124" s="26" t="s">
        <v>45</v>
      </c>
      <c r="F124" s="27" t="s">
        <v>45</v>
      </c>
      <c r="G124" s="28" t="s">
        <v>45</v>
      </c>
      <c r="H124" s="29"/>
      <c r="I124" s="29" t="s">
        <v>46</v>
      </c>
      <c r="J124" s="30">
        <v>1</v>
      </c>
      <c r="K124" s="31">
        <f>70200</f>
        <v>70200</v>
      </c>
      <c r="L124" s="32" t="s">
        <v>995</v>
      </c>
      <c r="M124" s="31">
        <f>74500</f>
        <v>74500</v>
      </c>
      <c r="N124" s="32" t="s">
        <v>80</v>
      </c>
      <c r="O124" s="31">
        <f>70200</f>
        <v>70200</v>
      </c>
      <c r="P124" s="32" t="s">
        <v>995</v>
      </c>
      <c r="Q124" s="31">
        <f>70770</f>
        <v>70770</v>
      </c>
      <c r="R124" s="32" t="s">
        <v>1017</v>
      </c>
      <c r="S124" s="33">
        <f>72545.5</f>
        <v>72545.5</v>
      </c>
      <c r="T124" s="30">
        <f>16430</f>
        <v>16430</v>
      </c>
      <c r="U124" s="30" t="str">
        <f>"－"</f>
        <v>－</v>
      </c>
      <c r="V124" s="30">
        <f>1197718400</f>
        <v>1197718400</v>
      </c>
      <c r="W124" s="30" t="str">
        <f>"－"</f>
        <v>－</v>
      </c>
      <c r="X124" s="34">
        <f>20</f>
        <v>20</v>
      </c>
    </row>
    <row r="125" spans="1:24" ht="13.5" customHeight="1" x14ac:dyDescent="0.15">
      <c r="A125" s="25" t="s">
        <v>1140</v>
      </c>
      <c r="B125" s="25" t="s">
        <v>438</v>
      </c>
      <c r="C125" s="25" t="s">
        <v>439</v>
      </c>
      <c r="D125" s="25" t="s">
        <v>440</v>
      </c>
      <c r="E125" s="26" t="s">
        <v>45</v>
      </c>
      <c r="F125" s="27" t="s">
        <v>45</v>
      </c>
      <c r="G125" s="28" t="s">
        <v>45</v>
      </c>
      <c r="H125" s="29"/>
      <c r="I125" s="29" t="s">
        <v>46</v>
      </c>
      <c r="J125" s="30">
        <v>1</v>
      </c>
      <c r="K125" s="31">
        <f>26150</f>
        <v>26150</v>
      </c>
      <c r="L125" s="32" t="s">
        <v>995</v>
      </c>
      <c r="M125" s="31">
        <f>26895</f>
        <v>26895</v>
      </c>
      <c r="N125" s="32" t="s">
        <v>1002</v>
      </c>
      <c r="O125" s="31">
        <f>25620</f>
        <v>25620</v>
      </c>
      <c r="P125" s="32" t="s">
        <v>1017</v>
      </c>
      <c r="Q125" s="31">
        <f>25690</f>
        <v>25690</v>
      </c>
      <c r="R125" s="32" t="s">
        <v>1017</v>
      </c>
      <c r="S125" s="33">
        <f>26326.25</f>
        <v>26326.25</v>
      </c>
      <c r="T125" s="30">
        <f>23473</f>
        <v>23473</v>
      </c>
      <c r="U125" s="30" t="str">
        <f>"－"</f>
        <v>－</v>
      </c>
      <c r="V125" s="30">
        <f>612588110</f>
        <v>612588110</v>
      </c>
      <c r="W125" s="30" t="str">
        <f>"－"</f>
        <v>－</v>
      </c>
      <c r="X125" s="34">
        <f>20</f>
        <v>20</v>
      </c>
    </row>
    <row r="126" spans="1:24" ht="13.5" customHeight="1" x14ac:dyDescent="0.15">
      <c r="A126" s="25" t="s">
        <v>1140</v>
      </c>
      <c r="B126" s="25" t="s">
        <v>441</v>
      </c>
      <c r="C126" s="25" t="s">
        <v>442</v>
      </c>
      <c r="D126" s="25" t="s">
        <v>443</v>
      </c>
      <c r="E126" s="26" t="s">
        <v>45</v>
      </c>
      <c r="F126" s="27" t="s">
        <v>45</v>
      </c>
      <c r="G126" s="28" t="s">
        <v>45</v>
      </c>
      <c r="H126" s="29"/>
      <c r="I126" s="29" t="s">
        <v>46</v>
      </c>
      <c r="J126" s="30">
        <v>1</v>
      </c>
      <c r="K126" s="31">
        <f>13145</f>
        <v>13145</v>
      </c>
      <c r="L126" s="32" t="s">
        <v>995</v>
      </c>
      <c r="M126" s="31">
        <f>15010</f>
        <v>15010</v>
      </c>
      <c r="N126" s="32" t="s">
        <v>998</v>
      </c>
      <c r="O126" s="31">
        <f>13145</f>
        <v>13145</v>
      </c>
      <c r="P126" s="32" t="s">
        <v>995</v>
      </c>
      <c r="Q126" s="31">
        <f>14335</f>
        <v>14335</v>
      </c>
      <c r="R126" s="32" t="s">
        <v>1017</v>
      </c>
      <c r="S126" s="33">
        <f>14307</f>
        <v>14307</v>
      </c>
      <c r="T126" s="30">
        <f>101523</f>
        <v>101523</v>
      </c>
      <c r="U126" s="30">
        <f>14000</f>
        <v>14000</v>
      </c>
      <c r="V126" s="30">
        <f>1453135085</f>
        <v>1453135085</v>
      </c>
      <c r="W126" s="30">
        <f>196258900</f>
        <v>196258900</v>
      </c>
      <c r="X126" s="34">
        <f>20</f>
        <v>20</v>
      </c>
    </row>
    <row r="127" spans="1:24" ht="13.5" customHeight="1" x14ac:dyDescent="0.15">
      <c r="A127" s="25" t="s">
        <v>1140</v>
      </c>
      <c r="B127" s="25" t="s">
        <v>444</v>
      </c>
      <c r="C127" s="25" t="s">
        <v>445</v>
      </c>
      <c r="D127" s="25" t="s">
        <v>446</v>
      </c>
      <c r="E127" s="26" t="s">
        <v>45</v>
      </c>
      <c r="F127" s="27" t="s">
        <v>45</v>
      </c>
      <c r="G127" s="28" t="s">
        <v>45</v>
      </c>
      <c r="H127" s="29"/>
      <c r="I127" s="29" t="s">
        <v>46</v>
      </c>
      <c r="J127" s="30">
        <v>1</v>
      </c>
      <c r="K127" s="31">
        <f>18090</f>
        <v>18090</v>
      </c>
      <c r="L127" s="32" t="s">
        <v>995</v>
      </c>
      <c r="M127" s="31">
        <f>20410</f>
        <v>20410</v>
      </c>
      <c r="N127" s="32" t="s">
        <v>80</v>
      </c>
      <c r="O127" s="31">
        <f>18090</f>
        <v>18090</v>
      </c>
      <c r="P127" s="32" t="s">
        <v>995</v>
      </c>
      <c r="Q127" s="31">
        <f>19530</f>
        <v>19530</v>
      </c>
      <c r="R127" s="32" t="s">
        <v>1017</v>
      </c>
      <c r="S127" s="33">
        <f>19450</f>
        <v>19450</v>
      </c>
      <c r="T127" s="30">
        <f>23254</f>
        <v>23254</v>
      </c>
      <c r="U127" s="30">
        <f>15002</f>
        <v>15002</v>
      </c>
      <c r="V127" s="30">
        <f>447827610</f>
        <v>447827610</v>
      </c>
      <c r="W127" s="30">
        <f>286373400</f>
        <v>286373400</v>
      </c>
      <c r="X127" s="34">
        <f>20</f>
        <v>20</v>
      </c>
    </row>
    <row r="128" spans="1:24" ht="13.5" customHeight="1" x14ac:dyDescent="0.15">
      <c r="A128" s="25" t="s">
        <v>1140</v>
      </c>
      <c r="B128" s="25" t="s">
        <v>447</v>
      </c>
      <c r="C128" s="25" t="s">
        <v>448</v>
      </c>
      <c r="D128" s="25" t="s">
        <v>449</v>
      </c>
      <c r="E128" s="26" t="s">
        <v>45</v>
      </c>
      <c r="F128" s="27" t="s">
        <v>45</v>
      </c>
      <c r="G128" s="28" t="s">
        <v>45</v>
      </c>
      <c r="H128" s="29"/>
      <c r="I128" s="29" t="s">
        <v>46</v>
      </c>
      <c r="J128" s="30">
        <v>1</v>
      </c>
      <c r="K128" s="31">
        <f>32450</f>
        <v>32450</v>
      </c>
      <c r="L128" s="32" t="s">
        <v>995</v>
      </c>
      <c r="M128" s="31">
        <f>35140</f>
        <v>35140</v>
      </c>
      <c r="N128" s="32" t="s">
        <v>1002</v>
      </c>
      <c r="O128" s="31">
        <f>32450</f>
        <v>32450</v>
      </c>
      <c r="P128" s="32" t="s">
        <v>995</v>
      </c>
      <c r="Q128" s="31">
        <f>34000</f>
        <v>34000</v>
      </c>
      <c r="R128" s="32" t="s">
        <v>1017</v>
      </c>
      <c r="S128" s="33">
        <f>34004</f>
        <v>34004</v>
      </c>
      <c r="T128" s="30">
        <f>8700</f>
        <v>8700</v>
      </c>
      <c r="U128" s="30">
        <f>2960</f>
        <v>2960</v>
      </c>
      <c r="V128" s="30">
        <f>294843658</f>
        <v>294843658</v>
      </c>
      <c r="W128" s="30">
        <f>100032608</f>
        <v>100032608</v>
      </c>
      <c r="X128" s="34">
        <f>20</f>
        <v>20</v>
      </c>
    </row>
    <row r="129" spans="1:24" ht="13.5" customHeight="1" x14ac:dyDescent="0.15">
      <c r="A129" s="25" t="s">
        <v>1140</v>
      </c>
      <c r="B129" s="25" t="s">
        <v>450</v>
      </c>
      <c r="C129" s="25" t="s">
        <v>1063</v>
      </c>
      <c r="D129" s="25" t="s">
        <v>1064</v>
      </c>
      <c r="E129" s="26" t="s">
        <v>45</v>
      </c>
      <c r="F129" s="27" t="s">
        <v>45</v>
      </c>
      <c r="G129" s="28" t="s">
        <v>45</v>
      </c>
      <c r="H129" s="29"/>
      <c r="I129" s="29" t="s">
        <v>46</v>
      </c>
      <c r="J129" s="30">
        <v>10</v>
      </c>
      <c r="K129" s="31">
        <f>1591.5</f>
        <v>1591.5</v>
      </c>
      <c r="L129" s="32" t="s">
        <v>995</v>
      </c>
      <c r="M129" s="31">
        <f>1750</f>
        <v>1750</v>
      </c>
      <c r="N129" s="32" t="s">
        <v>80</v>
      </c>
      <c r="O129" s="31">
        <f>1591.5</f>
        <v>1591.5</v>
      </c>
      <c r="P129" s="32" t="s">
        <v>995</v>
      </c>
      <c r="Q129" s="31">
        <f>1706.5</f>
        <v>1706.5</v>
      </c>
      <c r="R129" s="32" t="s">
        <v>1017</v>
      </c>
      <c r="S129" s="33">
        <f>1687.85</f>
        <v>1687.85</v>
      </c>
      <c r="T129" s="30">
        <f>790010</f>
        <v>790010</v>
      </c>
      <c r="U129" s="30">
        <f>504210</f>
        <v>504210</v>
      </c>
      <c r="V129" s="30">
        <f>1313636461</f>
        <v>1313636461</v>
      </c>
      <c r="W129" s="30">
        <f>831375216</f>
        <v>831375216</v>
      </c>
      <c r="X129" s="34">
        <f>20</f>
        <v>20</v>
      </c>
    </row>
    <row r="130" spans="1:24" ht="13.5" customHeight="1" x14ac:dyDescent="0.15">
      <c r="A130" s="25" t="s">
        <v>1140</v>
      </c>
      <c r="B130" s="25" t="s">
        <v>453</v>
      </c>
      <c r="C130" s="25" t="s">
        <v>1065</v>
      </c>
      <c r="D130" s="25" t="s">
        <v>1066</v>
      </c>
      <c r="E130" s="26" t="s">
        <v>45</v>
      </c>
      <c r="F130" s="27" t="s">
        <v>45</v>
      </c>
      <c r="G130" s="28" t="s">
        <v>45</v>
      </c>
      <c r="H130" s="29"/>
      <c r="I130" s="29" t="s">
        <v>46</v>
      </c>
      <c r="J130" s="30">
        <v>10</v>
      </c>
      <c r="K130" s="31">
        <f>2654</f>
        <v>2654</v>
      </c>
      <c r="L130" s="32" t="s">
        <v>995</v>
      </c>
      <c r="M130" s="31">
        <f>2773</f>
        <v>2773</v>
      </c>
      <c r="N130" s="32" t="s">
        <v>80</v>
      </c>
      <c r="O130" s="31">
        <f>2654</f>
        <v>2654</v>
      </c>
      <c r="P130" s="32" t="s">
        <v>995</v>
      </c>
      <c r="Q130" s="31">
        <f>2674</f>
        <v>2674</v>
      </c>
      <c r="R130" s="32" t="s">
        <v>1017</v>
      </c>
      <c r="S130" s="33">
        <f>2710.03</f>
        <v>2710.03</v>
      </c>
      <c r="T130" s="30">
        <f>8980</f>
        <v>8980</v>
      </c>
      <c r="U130" s="30" t="str">
        <f>"－"</f>
        <v>－</v>
      </c>
      <c r="V130" s="30">
        <f>24214825</f>
        <v>24214825</v>
      </c>
      <c r="W130" s="30" t="str">
        <f>"－"</f>
        <v>－</v>
      </c>
      <c r="X130" s="34">
        <f>17</f>
        <v>17</v>
      </c>
    </row>
    <row r="131" spans="1:24" ht="13.5" customHeight="1" x14ac:dyDescent="0.15">
      <c r="A131" s="25" t="s">
        <v>1140</v>
      </c>
      <c r="B131" s="25" t="s">
        <v>456</v>
      </c>
      <c r="C131" s="25" t="s">
        <v>1067</v>
      </c>
      <c r="D131" s="25" t="s">
        <v>1068</v>
      </c>
      <c r="E131" s="26" t="s">
        <v>45</v>
      </c>
      <c r="F131" s="27" t="s">
        <v>45</v>
      </c>
      <c r="G131" s="28" t="s">
        <v>45</v>
      </c>
      <c r="H131" s="29"/>
      <c r="I131" s="29" t="s">
        <v>46</v>
      </c>
      <c r="J131" s="30">
        <v>10</v>
      </c>
      <c r="K131" s="31">
        <f>2935</f>
        <v>2935</v>
      </c>
      <c r="L131" s="32" t="s">
        <v>995</v>
      </c>
      <c r="M131" s="31">
        <f>3053</f>
        <v>3053</v>
      </c>
      <c r="N131" s="32" t="s">
        <v>1002</v>
      </c>
      <c r="O131" s="31">
        <f>2935</f>
        <v>2935</v>
      </c>
      <c r="P131" s="32" t="s">
        <v>995</v>
      </c>
      <c r="Q131" s="31">
        <f>2968</f>
        <v>2968</v>
      </c>
      <c r="R131" s="32" t="s">
        <v>997</v>
      </c>
      <c r="S131" s="33">
        <f>2983.61</f>
        <v>2983.61</v>
      </c>
      <c r="T131" s="30">
        <f>24630</f>
        <v>24630</v>
      </c>
      <c r="U131" s="30" t="str">
        <f>"－"</f>
        <v>－</v>
      </c>
      <c r="V131" s="30">
        <f>73509410</f>
        <v>73509410</v>
      </c>
      <c r="W131" s="30" t="str">
        <f>"－"</f>
        <v>－</v>
      </c>
      <c r="X131" s="34">
        <f>14</f>
        <v>14</v>
      </c>
    </row>
    <row r="132" spans="1:24" ht="13.5" customHeight="1" x14ac:dyDescent="0.15">
      <c r="A132" s="25" t="s">
        <v>1140</v>
      </c>
      <c r="B132" s="25" t="s">
        <v>459</v>
      </c>
      <c r="C132" s="25" t="s">
        <v>1069</v>
      </c>
      <c r="D132" s="25" t="s">
        <v>1070</v>
      </c>
      <c r="E132" s="26" t="s">
        <v>45</v>
      </c>
      <c r="F132" s="27" t="s">
        <v>45</v>
      </c>
      <c r="G132" s="28" t="s">
        <v>45</v>
      </c>
      <c r="H132" s="29"/>
      <c r="I132" s="29" t="s">
        <v>46</v>
      </c>
      <c r="J132" s="30">
        <v>10</v>
      </c>
      <c r="K132" s="31">
        <f>1825.5</f>
        <v>1825.5</v>
      </c>
      <c r="L132" s="32" t="s">
        <v>995</v>
      </c>
      <c r="M132" s="31">
        <f>1909</f>
        <v>1909</v>
      </c>
      <c r="N132" s="32" t="s">
        <v>1002</v>
      </c>
      <c r="O132" s="31">
        <f>1825.5</f>
        <v>1825.5</v>
      </c>
      <c r="P132" s="32" t="s">
        <v>995</v>
      </c>
      <c r="Q132" s="31">
        <f>1858.5</f>
        <v>1858.5</v>
      </c>
      <c r="R132" s="32" t="s">
        <v>997</v>
      </c>
      <c r="S132" s="33">
        <f>1874.33</f>
        <v>1874.33</v>
      </c>
      <c r="T132" s="30">
        <f>2870</f>
        <v>2870</v>
      </c>
      <c r="U132" s="30" t="str">
        <f>"－"</f>
        <v>－</v>
      </c>
      <c r="V132" s="30">
        <f>5350750</f>
        <v>5350750</v>
      </c>
      <c r="W132" s="30" t="str">
        <f>"－"</f>
        <v>－</v>
      </c>
      <c r="X132" s="34">
        <f>15</f>
        <v>15</v>
      </c>
    </row>
    <row r="133" spans="1:24" ht="13.5" customHeight="1" x14ac:dyDescent="0.15">
      <c r="A133" s="25" t="s">
        <v>1140</v>
      </c>
      <c r="B133" s="25" t="s">
        <v>462</v>
      </c>
      <c r="C133" s="25" t="s">
        <v>463</v>
      </c>
      <c r="D133" s="25" t="s">
        <v>464</v>
      </c>
      <c r="E133" s="26" t="s">
        <v>45</v>
      </c>
      <c r="F133" s="27" t="s">
        <v>45</v>
      </c>
      <c r="G133" s="28" t="s">
        <v>45</v>
      </c>
      <c r="H133" s="29"/>
      <c r="I133" s="29" t="s">
        <v>46</v>
      </c>
      <c r="J133" s="30">
        <v>10</v>
      </c>
      <c r="K133" s="31">
        <f>472.2</f>
        <v>472.2</v>
      </c>
      <c r="L133" s="32" t="s">
        <v>995</v>
      </c>
      <c r="M133" s="31">
        <f>480</f>
        <v>480</v>
      </c>
      <c r="N133" s="32" t="s">
        <v>1002</v>
      </c>
      <c r="O133" s="31">
        <f>458.9</f>
        <v>458.9</v>
      </c>
      <c r="P133" s="32" t="s">
        <v>255</v>
      </c>
      <c r="Q133" s="31">
        <f>461.8</f>
        <v>461.8</v>
      </c>
      <c r="R133" s="32" t="s">
        <v>1017</v>
      </c>
      <c r="S133" s="33">
        <f>470.17</f>
        <v>470.17</v>
      </c>
      <c r="T133" s="30">
        <f>37962660</f>
        <v>37962660</v>
      </c>
      <c r="U133" s="30">
        <f>792910</f>
        <v>792910</v>
      </c>
      <c r="V133" s="30">
        <f>17829230664</f>
        <v>17829230664</v>
      </c>
      <c r="W133" s="30">
        <f>372290332</f>
        <v>372290332</v>
      </c>
      <c r="X133" s="34">
        <f>20</f>
        <v>20</v>
      </c>
    </row>
    <row r="134" spans="1:24" ht="13.5" customHeight="1" x14ac:dyDescent="0.15">
      <c r="A134" s="25" t="s">
        <v>1140</v>
      </c>
      <c r="B134" s="25" t="s">
        <v>465</v>
      </c>
      <c r="C134" s="25" t="s">
        <v>466</v>
      </c>
      <c r="D134" s="25" t="s">
        <v>467</v>
      </c>
      <c r="E134" s="26" t="s">
        <v>45</v>
      </c>
      <c r="F134" s="27" t="s">
        <v>45</v>
      </c>
      <c r="G134" s="28" t="s">
        <v>45</v>
      </c>
      <c r="H134" s="29"/>
      <c r="I134" s="29" t="s">
        <v>46</v>
      </c>
      <c r="J134" s="30">
        <v>10</v>
      </c>
      <c r="K134" s="31">
        <f>286.2</f>
        <v>286.2</v>
      </c>
      <c r="L134" s="32" t="s">
        <v>995</v>
      </c>
      <c r="M134" s="31">
        <f>287.8</f>
        <v>287.8</v>
      </c>
      <c r="N134" s="32" t="s">
        <v>78</v>
      </c>
      <c r="O134" s="31">
        <f>282.6</f>
        <v>282.60000000000002</v>
      </c>
      <c r="P134" s="32" t="s">
        <v>1001</v>
      </c>
      <c r="Q134" s="31">
        <f>284.2</f>
        <v>284.2</v>
      </c>
      <c r="R134" s="32" t="s">
        <v>1017</v>
      </c>
      <c r="S134" s="33">
        <f>285.84</f>
        <v>285.83999999999997</v>
      </c>
      <c r="T134" s="30">
        <f>7611860</f>
        <v>7611860</v>
      </c>
      <c r="U134" s="30">
        <f>5671480</f>
        <v>5671480</v>
      </c>
      <c r="V134" s="30">
        <f>2173594985</f>
        <v>2173594985</v>
      </c>
      <c r="W134" s="30">
        <f>1618603586</f>
        <v>1618603586</v>
      </c>
      <c r="X134" s="34">
        <f>20</f>
        <v>20</v>
      </c>
    </row>
    <row r="135" spans="1:24" ht="13.5" customHeight="1" x14ac:dyDescent="0.15">
      <c r="A135" s="25" t="s">
        <v>1140</v>
      </c>
      <c r="B135" s="25" t="s">
        <v>468</v>
      </c>
      <c r="C135" s="25" t="s">
        <v>1120</v>
      </c>
      <c r="D135" s="25" t="s">
        <v>470</v>
      </c>
      <c r="E135" s="26" t="s">
        <v>45</v>
      </c>
      <c r="F135" s="27" t="s">
        <v>45</v>
      </c>
      <c r="G135" s="28" t="s">
        <v>45</v>
      </c>
      <c r="H135" s="29"/>
      <c r="I135" s="29" t="s">
        <v>46</v>
      </c>
      <c r="J135" s="30">
        <v>1</v>
      </c>
      <c r="K135" s="31">
        <f>4050</f>
        <v>4050</v>
      </c>
      <c r="L135" s="32" t="s">
        <v>995</v>
      </c>
      <c r="M135" s="31">
        <f>4095</f>
        <v>4095</v>
      </c>
      <c r="N135" s="32" t="s">
        <v>1002</v>
      </c>
      <c r="O135" s="31">
        <f>3920</f>
        <v>3920</v>
      </c>
      <c r="P135" s="32" t="s">
        <v>255</v>
      </c>
      <c r="Q135" s="31">
        <f>3955</f>
        <v>3955</v>
      </c>
      <c r="R135" s="32" t="s">
        <v>1017</v>
      </c>
      <c r="S135" s="33">
        <f>4017.25</f>
        <v>4017.25</v>
      </c>
      <c r="T135" s="30">
        <f>114361</f>
        <v>114361</v>
      </c>
      <c r="U135" s="30">
        <f>76696</f>
        <v>76696</v>
      </c>
      <c r="V135" s="30">
        <f>453030893</f>
        <v>453030893</v>
      </c>
      <c r="W135" s="30">
        <f>302094248</f>
        <v>302094248</v>
      </c>
      <c r="X135" s="34">
        <f>20</f>
        <v>20</v>
      </c>
    </row>
    <row r="136" spans="1:24" ht="13.5" customHeight="1" x14ac:dyDescent="0.15">
      <c r="A136" s="25" t="s">
        <v>1140</v>
      </c>
      <c r="B136" s="25" t="s">
        <v>471</v>
      </c>
      <c r="C136" s="25" t="s">
        <v>472</v>
      </c>
      <c r="D136" s="25" t="s">
        <v>473</v>
      </c>
      <c r="E136" s="26" t="s">
        <v>45</v>
      </c>
      <c r="F136" s="27" t="s">
        <v>45</v>
      </c>
      <c r="G136" s="28" t="s">
        <v>45</v>
      </c>
      <c r="H136" s="29"/>
      <c r="I136" s="29" t="s">
        <v>46</v>
      </c>
      <c r="J136" s="30">
        <v>1</v>
      </c>
      <c r="K136" s="31">
        <f>2398</f>
        <v>2398</v>
      </c>
      <c r="L136" s="32" t="s">
        <v>995</v>
      </c>
      <c r="M136" s="31">
        <f>2453</f>
        <v>2453</v>
      </c>
      <c r="N136" s="32" t="s">
        <v>784</v>
      </c>
      <c r="O136" s="31">
        <f>2361</f>
        <v>2361</v>
      </c>
      <c r="P136" s="32" t="s">
        <v>1001</v>
      </c>
      <c r="Q136" s="31">
        <f>2394</f>
        <v>2394</v>
      </c>
      <c r="R136" s="32" t="s">
        <v>1017</v>
      </c>
      <c r="S136" s="33">
        <f>2410.2</f>
        <v>2410.1999999999998</v>
      </c>
      <c r="T136" s="30">
        <f>116459</f>
        <v>116459</v>
      </c>
      <c r="U136" s="30">
        <f>55428</f>
        <v>55428</v>
      </c>
      <c r="V136" s="30">
        <f>278219701</f>
        <v>278219701</v>
      </c>
      <c r="W136" s="30">
        <f>131072724</f>
        <v>131072724</v>
      </c>
      <c r="X136" s="34">
        <f>20</f>
        <v>20</v>
      </c>
    </row>
    <row r="137" spans="1:24" ht="13.5" customHeight="1" x14ac:dyDescent="0.15">
      <c r="A137" s="25" t="s">
        <v>1140</v>
      </c>
      <c r="B137" s="25" t="s">
        <v>474</v>
      </c>
      <c r="C137" s="25" t="s">
        <v>475</v>
      </c>
      <c r="D137" s="25" t="s">
        <v>476</v>
      </c>
      <c r="E137" s="26" t="s">
        <v>45</v>
      </c>
      <c r="F137" s="27" t="s">
        <v>45</v>
      </c>
      <c r="G137" s="28" t="s">
        <v>45</v>
      </c>
      <c r="H137" s="29"/>
      <c r="I137" s="29" t="s">
        <v>46</v>
      </c>
      <c r="J137" s="30">
        <v>1</v>
      </c>
      <c r="K137" s="31">
        <f>2767</f>
        <v>2767</v>
      </c>
      <c r="L137" s="32" t="s">
        <v>995</v>
      </c>
      <c r="M137" s="31">
        <f>2807</f>
        <v>2807</v>
      </c>
      <c r="N137" s="32" t="s">
        <v>1002</v>
      </c>
      <c r="O137" s="31">
        <f>2610</f>
        <v>2610</v>
      </c>
      <c r="P137" s="32" t="s">
        <v>997</v>
      </c>
      <c r="Q137" s="31">
        <f>2626</f>
        <v>2626</v>
      </c>
      <c r="R137" s="32" t="s">
        <v>1017</v>
      </c>
      <c r="S137" s="33">
        <f>2728.4</f>
        <v>2728.4</v>
      </c>
      <c r="T137" s="30">
        <f>165180</f>
        <v>165180</v>
      </c>
      <c r="U137" s="30">
        <f>49287</f>
        <v>49287</v>
      </c>
      <c r="V137" s="30">
        <f>444476731</f>
        <v>444476731</v>
      </c>
      <c r="W137" s="30">
        <f>129171852</f>
        <v>129171852</v>
      </c>
      <c r="X137" s="34">
        <f>20</f>
        <v>20</v>
      </c>
    </row>
    <row r="138" spans="1:24" ht="13.5" customHeight="1" x14ac:dyDescent="0.15">
      <c r="A138" s="25" t="s">
        <v>1140</v>
      </c>
      <c r="B138" s="25" t="s">
        <v>477</v>
      </c>
      <c r="C138" s="25" t="s">
        <v>478</v>
      </c>
      <c r="D138" s="25" t="s">
        <v>479</v>
      </c>
      <c r="E138" s="26" t="s">
        <v>45</v>
      </c>
      <c r="F138" s="27" t="s">
        <v>45</v>
      </c>
      <c r="G138" s="28" t="s">
        <v>45</v>
      </c>
      <c r="H138" s="29"/>
      <c r="I138" s="29" t="s">
        <v>46</v>
      </c>
      <c r="J138" s="30">
        <v>1</v>
      </c>
      <c r="K138" s="31">
        <f>10825</f>
        <v>10825</v>
      </c>
      <c r="L138" s="32" t="s">
        <v>995</v>
      </c>
      <c r="M138" s="31">
        <f>11060</f>
        <v>11060</v>
      </c>
      <c r="N138" s="32" t="s">
        <v>1000</v>
      </c>
      <c r="O138" s="31">
        <f>10610</f>
        <v>10610</v>
      </c>
      <c r="P138" s="32" t="s">
        <v>997</v>
      </c>
      <c r="Q138" s="31">
        <f>10720</f>
        <v>10720</v>
      </c>
      <c r="R138" s="32" t="s">
        <v>1017</v>
      </c>
      <c r="S138" s="33">
        <f>10836.5</f>
        <v>10836.5</v>
      </c>
      <c r="T138" s="30">
        <f>110997</f>
        <v>110997</v>
      </c>
      <c r="U138" s="30">
        <f>47000</f>
        <v>47000</v>
      </c>
      <c r="V138" s="30">
        <f>1198308681</f>
        <v>1198308681</v>
      </c>
      <c r="W138" s="30">
        <f>506441331</f>
        <v>506441331</v>
      </c>
      <c r="X138" s="34">
        <f>20</f>
        <v>20</v>
      </c>
    </row>
    <row r="139" spans="1:24" ht="13.5" customHeight="1" x14ac:dyDescent="0.15">
      <c r="A139" s="25" t="s">
        <v>1140</v>
      </c>
      <c r="B139" s="25" t="s">
        <v>480</v>
      </c>
      <c r="C139" s="25" t="s">
        <v>481</v>
      </c>
      <c r="D139" s="25" t="s">
        <v>482</v>
      </c>
      <c r="E139" s="26" t="s">
        <v>45</v>
      </c>
      <c r="F139" s="27" t="s">
        <v>45</v>
      </c>
      <c r="G139" s="28" t="s">
        <v>45</v>
      </c>
      <c r="H139" s="29"/>
      <c r="I139" s="29" t="s">
        <v>46</v>
      </c>
      <c r="J139" s="30">
        <v>1</v>
      </c>
      <c r="K139" s="31">
        <f>2980</f>
        <v>2980</v>
      </c>
      <c r="L139" s="32" t="s">
        <v>995</v>
      </c>
      <c r="M139" s="31">
        <f>3475</f>
        <v>3475</v>
      </c>
      <c r="N139" s="32" t="s">
        <v>997</v>
      </c>
      <c r="O139" s="31">
        <f>2979</f>
        <v>2979</v>
      </c>
      <c r="P139" s="32" t="s">
        <v>995</v>
      </c>
      <c r="Q139" s="31">
        <f>3360</f>
        <v>3360</v>
      </c>
      <c r="R139" s="32" t="s">
        <v>1017</v>
      </c>
      <c r="S139" s="33">
        <f>3225.95</f>
        <v>3225.95</v>
      </c>
      <c r="T139" s="30">
        <f>6672543</f>
        <v>6672543</v>
      </c>
      <c r="U139" s="30">
        <f>6413</f>
        <v>6413</v>
      </c>
      <c r="V139" s="30">
        <f>21716900293</f>
        <v>21716900293</v>
      </c>
      <c r="W139" s="30">
        <f>21038624</f>
        <v>21038624</v>
      </c>
      <c r="X139" s="34">
        <f>20</f>
        <v>20</v>
      </c>
    </row>
    <row r="140" spans="1:24" ht="13.5" customHeight="1" x14ac:dyDescent="0.15">
      <c r="A140" s="25" t="s">
        <v>1140</v>
      </c>
      <c r="B140" s="25" t="s">
        <v>483</v>
      </c>
      <c r="C140" s="25" t="s">
        <v>484</v>
      </c>
      <c r="D140" s="25" t="s">
        <v>485</v>
      </c>
      <c r="E140" s="26" t="s">
        <v>45</v>
      </c>
      <c r="F140" s="27" t="s">
        <v>45</v>
      </c>
      <c r="G140" s="28" t="s">
        <v>45</v>
      </c>
      <c r="H140" s="29"/>
      <c r="I140" s="29" t="s">
        <v>46</v>
      </c>
      <c r="J140" s="30">
        <v>1</v>
      </c>
      <c r="K140" s="31">
        <f>26520</f>
        <v>26520</v>
      </c>
      <c r="L140" s="32" t="s">
        <v>995</v>
      </c>
      <c r="M140" s="31">
        <f>26860</f>
        <v>26860</v>
      </c>
      <c r="N140" s="32" t="s">
        <v>998</v>
      </c>
      <c r="O140" s="31">
        <f>26115</f>
        <v>26115</v>
      </c>
      <c r="P140" s="32" t="s">
        <v>1017</v>
      </c>
      <c r="Q140" s="31">
        <f>26170</f>
        <v>26170</v>
      </c>
      <c r="R140" s="32" t="s">
        <v>1017</v>
      </c>
      <c r="S140" s="33">
        <f>26561.5</f>
        <v>26561.5</v>
      </c>
      <c r="T140" s="30">
        <f>3048</f>
        <v>3048</v>
      </c>
      <c r="U140" s="30" t="str">
        <f>"－"</f>
        <v>－</v>
      </c>
      <c r="V140" s="30">
        <f>80753000</f>
        <v>80753000</v>
      </c>
      <c r="W140" s="30" t="str">
        <f>"－"</f>
        <v>－</v>
      </c>
      <c r="X140" s="34">
        <f>20</f>
        <v>20</v>
      </c>
    </row>
    <row r="141" spans="1:24" ht="13.5" customHeight="1" x14ac:dyDescent="0.15">
      <c r="A141" s="25" t="s">
        <v>1140</v>
      </c>
      <c r="B141" s="25" t="s">
        <v>486</v>
      </c>
      <c r="C141" s="25" t="s">
        <v>487</v>
      </c>
      <c r="D141" s="25" t="s">
        <v>488</v>
      </c>
      <c r="E141" s="26" t="s">
        <v>45</v>
      </c>
      <c r="F141" s="27" t="s">
        <v>45</v>
      </c>
      <c r="G141" s="28" t="s">
        <v>45</v>
      </c>
      <c r="H141" s="29"/>
      <c r="I141" s="29" t="s">
        <v>46</v>
      </c>
      <c r="J141" s="30">
        <v>10</v>
      </c>
      <c r="K141" s="31">
        <f>3277</f>
        <v>3277</v>
      </c>
      <c r="L141" s="32" t="s">
        <v>995</v>
      </c>
      <c r="M141" s="31">
        <f>3294</f>
        <v>3294</v>
      </c>
      <c r="N141" s="32" t="s">
        <v>995</v>
      </c>
      <c r="O141" s="31">
        <f>3080</f>
        <v>3080</v>
      </c>
      <c r="P141" s="32" t="s">
        <v>1005</v>
      </c>
      <c r="Q141" s="31">
        <f>3155</f>
        <v>3155</v>
      </c>
      <c r="R141" s="32" t="s">
        <v>1017</v>
      </c>
      <c r="S141" s="33">
        <f>3165.05</f>
        <v>3165.05</v>
      </c>
      <c r="T141" s="30">
        <f>17000</f>
        <v>17000</v>
      </c>
      <c r="U141" s="30" t="str">
        <f>"－"</f>
        <v>－</v>
      </c>
      <c r="V141" s="30">
        <f>53686200</f>
        <v>53686200</v>
      </c>
      <c r="W141" s="30" t="str">
        <f>"－"</f>
        <v>－</v>
      </c>
      <c r="X141" s="34">
        <f>20</f>
        <v>20</v>
      </c>
    </row>
    <row r="142" spans="1:24" ht="13.5" customHeight="1" x14ac:dyDescent="0.15">
      <c r="A142" s="25" t="s">
        <v>1140</v>
      </c>
      <c r="B142" s="25" t="s">
        <v>489</v>
      </c>
      <c r="C142" s="25" t="s">
        <v>490</v>
      </c>
      <c r="D142" s="25" t="s">
        <v>491</v>
      </c>
      <c r="E142" s="26" t="s">
        <v>45</v>
      </c>
      <c r="F142" s="27" t="s">
        <v>45</v>
      </c>
      <c r="G142" s="28" t="s">
        <v>45</v>
      </c>
      <c r="H142" s="29"/>
      <c r="I142" s="29" t="s">
        <v>46</v>
      </c>
      <c r="J142" s="30">
        <v>1</v>
      </c>
      <c r="K142" s="31">
        <f>13190</f>
        <v>13190</v>
      </c>
      <c r="L142" s="32" t="s">
        <v>995</v>
      </c>
      <c r="M142" s="31">
        <f>13190</f>
        <v>13190</v>
      </c>
      <c r="N142" s="32" t="s">
        <v>995</v>
      </c>
      <c r="O142" s="31">
        <f>12175</f>
        <v>12175</v>
      </c>
      <c r="P142" s="32" t="s">
        <v>794</v>
      </c>
      <c r="Q142" s="31">
        <f>12665</f>
        <v>12665</v>
      </c>
      <c r="R142" s="32" t="s">
        <v>1017</v>
      </c>
      <c r="S142" s="33">
        <f>12589.5</f>
        <v>12589.5</v>
      </c>
      <c r="T142" s="30">
        <f>3216</f>
        <v>3216</v>
      </c>
      <c r="U142" s="30" t="str">
        <f>"－"</f>
        <v>－</v>
      </c>
      <c r="V142" s="30">
        <f>40602275</f>
        <v>40602275</v>
      </c>
      <c r="W142" s="30" t="str">
        <f>"－"</f>
        <v>－</v>
      </c>
      <c r="X142" s="34">
        <f>20</f>
        <v>20</v>
      </c>
    </row>
    <row r="143" spans="1:24" ht="13.5" customHeight="1" x14ac:dyDescent="0.15">
      <c r="A143" s="25" t="s">
        <v>1140</v>
      </c>
      <c r="B143" s="25" t="s">
        <v>492</v>
      </c>
      <c r="C143" s="25" t="s">
        <v>493</v>
      </c>
      <c r="D143" s="25" t="s">
        <v>494</v>
      </c>
      <c r="E143" s="26" t="s">
        <v>45</v>
      </c>
      <c r="F143" s="27" t="s">
        <v>45</v>
      </c>
      <c r="G143" s="28" t="s">
        <v>45</v>
      </c>
      <c r="H143" s="29"/>
      <c r="I143" s="29" t="s">
        <v>46</v>
      </c>
      <c r="J143" s="30">
        <v>1</v>
      </c>
      <c r="K143" s="31">
        <f>16610</f>
        <v>16610</v>
      </c>
      <c r="L143" s="32" t="s">
        <v>995</v>
      </c>
      <c r="M143" s="31">
        <f>17660</f>
        <v>17660</v>
      </c>
      <c r="N143" s="32" t="s">
        <v>1017</v>
      </c>
      <c r="O143" s="31">
        <f>16290</f>
        <v>16290</v>
      </c>
      <c r="P143" s="32" t="s">
        <v>794</v>
      </c>
      <c r="Q143" s="31">
        <f>17560</f>
        <v>17560</v>
      </c>
      <c r="R143" s="32" t="s">
        <v>1017</v>
      </c>
      <c r="S143" s="33">
        <f>16886.5</f>
        <v>16886.5</v>
      </c>
      <c r="T143" s="30">
        <f>4040</f>
        <v>4040</v>
      </c>
      <c r="U143" s="30" t="str">
        <f>"－"</f>
        <v>－</v>
      </c>
      <c r="V143" s="30">
        <f>68304010</f>
        <v>68304010</v>
      </c>
      <c r="W143" s="30" t="str">
        <f>"－"</f>
        <v>－</v>
      </c>
      <c r="X143" s="34">
        <f>20</f>
        <v>20</v>
      </c>
    </row>
    <row r="144" spans="1:24" ht="13.5" customHeight="1" x14ac:dyDescent="0.15">
      <c r="A144" s="25" t="s">
        <v>1140</v>
      </c>
      <c r="B144" s="25" t="s">
        <v>495</v>
      </c>
      <c r="C144" s="25" t="s">
        <v>496</v>
      </c>
      <c r="D144" s="25" t="s">
        <v>497</v>
      </c>
      <c r="E144" s="26" t="s">
        <v>45</v>
      </c>
      <c r="F144" s="27" t="s">
        <v>45</v>
      </c>
      <c r="G144" s="28" t="s">
        <v>45</v>
      </c>
      <c r="H144" s="29"/>
      <c r="I144" s="29" t="s">
        <v>46</v>
      </c>
      <c r="J144" s="30">
        <v>1</v>
      </c>
      <c r="K144" s="31">
        <f>18845</f>
        <v>18845</v>
      </c>
      <c r="L144" s="32" t="s">
        <v>995</v>
      </c>
      <c r="M144" s="31">
        <f>19550</f>
        <v>19550</v>
      </c>
      <c r="N144" s="32" t="s">
        <v>789</v>
      </c>
      <c r="O144" s="31">
        <f>18845</f>
        <v>18845</v>
      </c>
      <c r="P144" s="32" t="s">
        <v>995</v>
      </c>
      <c r="Q144" s="31">
        <f>19225</f>
        <v>19225</v>
      </c>
      <c r="R144" s="32" t="s">
        <v>1017</v>
      </c>
      <c r="S144" s="33">
        <f>19155.56</f>
        <v>19155.560000000001</v>
      </c>
      <c r="T144" s="30">
        <f>94</f>
        <v>94</v>
      </c>
      <c r="U144" s="30" t="str">
        <f>"－"</f>
        <v>－</v>
      </c>
      <c r="V144" s="30">
        <f>1804730</f>
        <v>1804730</v>
      </c>
      <c r="W144" s="30" t="str">
        <f>"－"</f>
        <v>－</v>
      </c>
      <c r="X144" s="34">
        <f>9</f>
        <v>9</v>
      </c>
    </row>
    <row r="145" spans="1:24" ht="13.5" customHeight="1" x14ac:dyDescent="0.15">
      <c r="A145" s="25" t="s">
        <v>1140</v>
      </c>
      <c r="B145" s="25" t="s">
        <v>498</v>
      </c>
      <c r="C145" s="25" t="s">
        <v>499</v>
      </c>
      <c r="D145" s="25" t="s">
        <v>500</v>
      </c>
      <c r="E145" s="26" t="s">
        <v>45</v>
      </c>
      <c r="F145" s="27" t="s">
        <v>45</v>
      </c>
      <c r="G145" s="28" t="s">
        <v>45</v>
      </c>
      <c r="H145" s="29"/>
      <c r="I145" s="29" t="s">
        <v>46</v>
      </c>
      <c r="J145" s="30">
        <v>10</v>
      </c>
      <c r="K145" s="31">
        <f>52770</f>
        <v>52770</v>
      </c>
      <c r="L145" s="32" t="s">
        <v>995</v>
      </c>
      <c r="M145" s="31">
        <f>52970</f>
        <v>52970</v>
      </c>
      <c r="N145" s="32" t="s">
        <v>784</v>
      </c>
      <c r="O145" s="31">
        <f>52020</f>
        <v>52020</v>
      </c>
      <c r="P145" s="32" t="s">
        <v>997</v>
      </c>
      <c r="Q145" s="31">
        <f>52250</f>
        <v>52250</v>
      </c>
      <c r="R145" s="32" t="s">
        <v>1017</v>
      </c>
      <c r="S145" s="33">
        <f>52516</f>
        <v>52516</v>
      </c>
      <c r="T145" s="30">
        <f>2090</f>
        <v>2090</v>
      </c>
      <c r="U145" s="30">
        <f>10</f>
        <v>10</v>
      </c>
      <c r="V145" s="30">
        <f>110065400</f>
        <v>110065400</v>
      </c>
      <c r="W145" s="30">
        <f>523100</f>
        <v>523100</v>
      </c>
      <c r="X145" s="34">
        <f>20</f>
        <v>20</v>
      </c>
    </row>
    <row r="146" spans="1:24" ht="13.5" customHeight="1" x14ac:dyDescent="0.15">
      <c r="A146" s="25" t="s">
        <v>1140</v>
      </c>
      <c r="B146" s="25" t="s">
        <v>501</v>
      </c>
      <c r="C146" s="25" t="s">
        <v>1121</v>
      </c>
      <c r="D146" s="25" t="s">
        <v>503</v>
      </c>
      <c r="E146" s="26" t="s">
        <v>45</v>
      </c>
      <c r="F146" s="27" t="s">
        <v>45</v>
      </c>
      <c r="G146" s="28" t="s">
        <v>45</v>
      </c>
      <c r="H146" s="29"/>
      <c r="I146" s="29" t="s">
        <v>46</v>
      </c>
      <c r="J146" s="30">
        <v>100</v>
      </c>
      <c r="K146" s="31">
        <f>303</f>
        <v>303</v>
      </c>
      <c r="L146" s="32" t="s">
        <v>995</v>
      </c>
      <c r="M146" s="31">
        <f>319.8</f>
        <v>319.8</v>
      </c>
      <c r="N146" s="32" t="s">
        <v>1002</v>
      </c>
      <c r="O146" s="31">
        <f>302.2</f>
        <v>302.2</v>
      </c>
      <c r="P146" s="32" t="s">
        <v>995</v>
      </c>
      <c r="Q146" s="31">
        <f>312</f>
        <v>312</v>
      </c>
      <c r="R146" s="32" t="s">
        <v>1017</v>
      </c>
      <c r="S146" s="33">
        <f>312.33</f>
        <v>312.33</v>
      </c>
      <c r="T146" s="30">
        <f>33737500</f>
        <v>33737500</v>
      </c>
      <c r="U146" s="30">
        <f>514100</f>
        <v>514100</v>
      </c>
      <c r="V146" s="30">
        <f>10553853995</f>
        <v>10553853995</v>
      </c>
      <c r="W146" s="30">
        <f>160380575</f>
        <v>160380575</v>
      </c>
      <c r="X146" s="34">
        <f>20</f>
        <v>20</v>
      </c>
    </row>
    <row r="147" spans="1:24" ht="13.5" customHeight="1" x14ac:dyDescent="0.15">
      <c r="A147" s="25" t="s">
        <v>1140</v>
      </c>
      <c r="B147" s="25" t="s">
        <v>504</v>
      </c>
      <c r="C147" s="25" t="s">
        <v>1122</v>
      </c>
      <c r="D147" s="25" t="s">
        <v>506</v>
      </c>
      <c r="E147" s="26" t="s">
        <v>45</v>
      </c>
      <c r="F147" s="27" t="s">
        <v>45</v>
      </c>
      <c r="G147" s="28" t="s">
        <v>45</v>
      </c>
      <c r="H147" s="29"/>
      <c r="I147" s="29" t="s">
        <v>46</v>
      </c>
      <c r="J147" s="30">
        <v>10</v>
      </c>
      <c r="K147" s="31">
        <f>43180</f>
        <v>43180</v>
      </c>
      <c r="L147" s="32" t="s">
        <v>995</v>
      </c>
      <c r="M147" s="31">
        <f>44000</f>
        <v>44000</v>
      </c>
      <c r="N147" s="32" t="s">
        <v>1002</v>
      </c>
      <c r="O147" s="31">
        <f>42690</f>
        <v>42690</v>
      </c>
      <c r="P147" s="32" t="s">
        <v>255</v>
      </c>
      <c r="Q147" s="31">
        <f>42900</f>
        <v>42900</v>
      </c>
      <c r="R147" s="32" t="s">
        <v>1017</v>
      </c>
      <c r="S147" s="33">
        <f>43277.5</f>
        <v>43277.5</v>
      </c>
      <c r="T147" s="30">
        <f>2180</f>
        <v>2180</v>
      </c>
      <c r="U147" s="30" t="str">
        <f t="shared" ref="U147:U155" si="2">"－"</f>
        <v>－</v>
      </c>
      <c r="V147" s="30">
        <f>94411300</f>
        <v>94411300</v>
      </c>
      <c r="W147" s="30" t="str">
        <f t="shared" ref="W147:W155" si="3">"－"</f>
        <v>－</v>
      </c>
      <c r="X147" s="34">
        <f>20</f>
        <v>20</v>
      </c>
    </row>
    <row r="148" spans="1:24" ht="13.5" customHeight="1" x14ac:dyDescent="0.15">
      <c r="A148" s="25" t="s">
        <v>1140</v>
      </c>
      <c r="B148" s="25" t="s">
        <v>507</v>
      </c>
      <c r="C148" s="25" t="s">
        <v>508</v>
      </c>
      <c r="D148" s="25" t="s">
        <v>1123</v>
      </c>
      <c r="E148" s="26" t="s">
        <v>45</v>
      </c>
      <c r="F148" s="27" t="s">
        <v>45</v>
      </c>
      <c r="G148" s="28" t="s">
        <v>45</v>
      </c>
      <c r="H148" s="29"/>
      <c r="I148" s="29" t="s">
        <v>46</v>
      </c>
      <c r="J148" s="30">
        <v>10</v>
      </c>
      <c r="K148" s="31">
        <f>4634</f>
        <v>4634</v>
      </c>
      <c r="L148" s="32" t="s">
        <v>995</v>
      </c>
      <c r="M148" s="31">
        <f>4696</f>
        <v>4696</v>
      </c>
      <c r="N148" s="32" t="s">
        <v>1002</v>
      </c>
      <c r="O148" s="31">
        <f>4502</f>
        <v>4502</v>
      </c>
      <c r="P148" s="32" t="s">
        <v>255</v>
      </c>
      <c r="Q148" s="31">
        <f>4540</f>
        <v>4540</v>
      </c>
      <c r="R148" s="32" t="s">
        <v>1017</v>
      </c>
      <c r="S148" s="33">
        <f>4605.7</f>
        <v>4605.7</v>
      </c>
      <c r="T148" s="30">
        <f>53910</f>
        <v>53910</v>
      </c>
      <c r="U148" s="30" t="str">
        <f t="shared" si="2"/>
        <v>－</v>
      </c>
      <c r="V148" s="30">
        <f>248118300</f>
        <v>248118300</v>
      </c>
      <c r="W148" s="30" t="str">
        <f t="shared" si="3"/>
        <v>－</v>
      </c>
      <c r="X148" s="34">
        <f>20</f>
        <v>20</v>
      </c>
    </row>
    <row r="149" spans="1:24" ht="13.5" customHeight="1" x14ac:dyDescent="0.15">
      <c r="A149" s="25" t="s">
        <v>1140</v>
      </c>
      <c r="B149" s="25" t="s">
        <v>510</v>
      </c>
      <c r="C149" s="25" t="s">
        <v>1124</v>
      </c>
      <c r="D149" s="25" t="s">
        <v>1125</v>
      </c>
      <c r="E149" s="26" t="s">
        <v>45</v>
      </c>
      <c r="F149" s="27" t="s">
        <v>45</v>
      </c>
      <c r="G149" s="28" t="s">
        <v>45</v>
      </c>
      <c r="H149" s="29"/>
      <c r="I149" s="29" t="s">
        <v>46</v>
      </c>
      <c r="J149" s="30">
        <v>10</v>
      </c>
      <c r="K149" s="31">
        <f>1801</f>
        <v>1801</v>
      </c>
      <c r="L149" s="32" t="s">
        <v>995</v>
      </c>
      <c r="M149" s="31">
        <f>1850</f>
        <v>1850</v>
      </c>
      <c r="N149" s="32" t="s">
        <v>1002</v>
      </c>
      <c r="O149" s="31">
        <f>1780</f>
        <v>1780</v>
      </c>
      <c r="P149" s="32" t="s">
        <v>1001</v>
      </c>
      <c r="Q149" s="31">
        <f>1805</f>
        <v>1805</v>
      </c>
      <c r="R149" s="32" t="s">
        <v>1017</v>
      </c>
      <c r="S149" s="33">
        <f>1817.25</f>
        <v>1817.25</v>
      </c>
      <c r="T149" s="30">
        <f>411990</f>
        <v>411990</v>
      </c>
      <c r="U149" s="30" t="str">
        <f t="shared" si="2"/>
        <v>－</v>
      </c>
      <c r="V149" s="30">
        <f>745845280</f>
        <v>745845280</v>
      </c>
      <c r="W149" s="30" t="str">
        <f t="shared" si="3"/>
        <v>－</v>
      </c>
      <c r="X149" s="34">
        <f>20</f>
        <v>20</v>
      </c>
    </row>
    <row r="150" spans="1:24" ht="13.5" customHeight="1" x14ac:dyDescent="0.15">
      <c r="A150" s="25" t="s">
        <v>1140</v>
      </c>
      <c r="B150" s="25" t="s">
        <v>513</v>
      </c>
      <c r="C150" s="25" t="s">
        <v>514</v>
      </c>
      <c r="D150" s="25" t="s">
        <v>515</v>
      </c>
      <c r="E150" s="26" t="s">
        <v>45</v>
      </c>
      <c r="F150" s="27" t="s">
        <v>45</v>
      </c>
      <c r="G150" s="28" t="s">
        <v>45</v>
      </c>
      <c r="H150" s="29"/>
      <c r="I150" s="29" t="s">
        <v>46</v>
      </c>
      <c r="J150" s="30">
        <v>100</v>
      </c>
      <c r="K150" s="31">
        <f>239.8</f>
        <v>239.8</v>
      </c>
      <c r="L150" s="32" t="s">
        <v>995</v>
      </c>
      <c r="M150" s="31">
        <f>240</f>
        <v>240</v>
      </c>
      <c r="N150" s="32" t="s">
        <v>995</v>
      </c>
      <c r="O150" s="31">
        <f>228</f>
        <v>228</v>
      </c>
      <c r="P150" s="32" t="s">
        <v>794</v>
      </c>
      <c r="Q150" s="31">
        <f>233.6</f>
        <v>233.6</v>
      </c>
      <c r="R150" s="32" t="s">
        <v>1017</v>
      </c>
      <c r="S150" s="33">
        <f>233.58</f>
        <v>233.58</v>
      </c>
      <c r="T150" s="30">
        <f>141000</f>
        <v>141000</v>
      </c>
      <c r="U150" s="30" t="str">
        <f t="shared" si="2"/>
        <v>－</v>
      </c>
      <c r="V150" s="30">
        <f>32973050</f>
        <v>32973050</v>
      </c>
      <c r="W150" s="30" t="str">
        <f t="shared" si="3"/>
        <v>－</v>
      </c>
      <c r="X150" s="34">
        <f>20</f>
        <v>20</v>
      </c>
    </row>
    <row r="151" spans="1:24" ht="13.5" customHeight="1" x14ac:dyDescent="0.15">
      <c r="A151" s="25" t="s">
        <v>1140</v>
      </c>
      <c r="B151" s="25" t="s">
        <v>516</v>
      </c>
      <c r="C151" s="25" t="s">
        <v>517</v>
      </c>
      <c r="D151" s="25" t="s">
        <v>518</v>
      </c>
      <c r="E151" s="26" t="s">
        <v>45</v>
      </c>
      <c r="F151" s="27" t="s">
        <v>45</v>
      </c>
      <c r="G151" s="28" t="s">
        <v>45</v>
      </c>
      <c r="H151" s="29"/>
      <c r="I151" s="29" t="s">
        <v>46</v>
      </c>
      <c r="J151" s="30">
        <v>10</v>
      </c>
      <c r="K151" s="31">
        <f>1642</f>
        <v>1642</v>
      </c>
      <c r="L151" s="32" t="s">
        <v>995</v>
      </c>
      <c r="M151" s="31">
        <f>1719.5</f>
        <v>1719.5</v>
      </c>
      <c r="N151" s="32" t="s">
        <v>784</v>
      </c>
      <c r="O151" s="31">
        <f>1630.5</f>
        <v>1630.5</v>
      </c>
      <c r="P151" s="32" t="s">
        <v>1003</v>
      </c>
      <c r="Q151" s="31">
        <f>1693</f>
        <v>1693</v>
      </c>
      <c r="R151" s="32" t="s">
        <v>1017</v>
      </c>
      <c r="S151" s="33">
        <f>1674.77</f>
        <v>1674.77</v>
      </c>
      <c r="T151" s="30">
        <f>1540</f>
        <v>1540</v>
      </c>
      <c r="U151" s="30" t="str">
        <f t="shared" si="2"/>
        <v>－</v>
      </c>
      <c r="V151" s="30">
        <f>2567730</f>
        <v>2567730</v>
      </c>
      <c r="W151" s="30" t="str">
        <f t="shared" si="3"/>
        <v>－</v>
      </c>
      <c r="X151" s="34">
        <f>13</f>
        <v>13</v>
      </c>
    </row>
    <row r="152" spans="1:24" ht="13.5" customHeight="1" x14ac:dyDescent="0.15">
      <c r="A152" s="25" t="s">
        <v>1140</v>
      </c>
      <c r="B152" s="25" t="s">
        <v>519</v>
      </c>
      <c r="C152" s="25" t="s">
        <v>520</v>
      </c>
      <c r="D152" s="25" t="s">
        <v>521</v>
      </c>
      <c r="E152" s="26" t="s">
        <v>45</v>
      </c>
      <c r="F152" s="27" t="s">
        <v>45</v>
      </c>
      <c r="G152" s="28" t="s">
        <v>45</v>
      </c>
      <c r="H152" s="29"/>
      <c r="I152" s="29" t="s">
        <v>46</v>
      </c>
      <c r="J152" s="30">
        <v>10</v>
      </c>
      <c r="K152" s="31">
        <f>598.9</f>
        <v>598.9</v>
      </c>
      <c r="L152" s="32" t="s">
        <v>995</v>
      </c>
      <c r="M152" s="31">
        <f>666</f>
        <v>666</v>
      </c>
      <c r="N152" s="32" t="s">
        <v>997</v>
      </c>
      <c r="O152" s="31">
        <f>597.7</f>
        <v>597.70000000000005</v>
      </c>
      <c r="P152" s="32" t="s">
        <v>995</v>
      </c>
      <c r="Q152" s="31">
        <f>658.7</f>
        <v>658.7</v>
      </c>
      <c r="R152" s="32" t="s">
        <v>1017</v>
      </c>
      <c r="S152" s="33">
        <f>634.89</f>
        <v>634.89</v>
      </c>
      <c r="T152" s="30">
        <f>56650</f>
        <v>56650</v>
      </c>
      <c r="U152" s="30" t="str">
        <f t="shared" si="2"/>
        <v>－</v>
      </c>
      <c r="V152" s="30">
        <f>35798923</f>
        <v>35798923</v>
      </c>
      <c r="W152" s="30" t="str">
        <f t="shared" si="3"/>
        <v>－</v>
      </c>
      <c r="X152" s="34">
        <f>20</f>
        <v>20</v>
      </c>
    </row>
    <row r="153" spans="1:24" ht="13.5" customHeight="1" x14ac:dyDescent="0.15">
      <c r="A153" s="25" t="s">
        <v>1140</v>
      </c>
      <c r="B153" s="25" t="s">
        <v>522</v>
      </c>
      <c r="C153" s="25" t="s">
        <v>523</v>
      </c>
      <c r="D153" s="25" t="s">
        <v>524</v>
      </c>
      <c r="E153" s="26" t="s">
        <v>45</v>
      </c>
      <c r="F153" s="27" t="s">
        <v>45</v>
      </c>
      <c r="G153" s="28" t="s">
        <v>45</v>
      </c>
      <c r="H153" s="29"/>
      <c r="I153" s="29" t="s">
        <v>46</v>
      </c>
      <c r="J153" s="30">
        <v>10</v>
      </c>
      <c r="K153" s="31">
        <f>2078.5</f>
        <v>2078.5</v>
      </c>
      <c r="L153" s="32" t="s">
        <v>995</v>
      </c>
      <c r="M153" s="31">
        <f>2143.5</f>
        <v>2143.5</v>
      </c>
      <c r="N153" s="32" t="s">
        <v>1017</v>
      </c>
      <c r="O153" s="31">
        <f>2070.5</f>
        <v>2070.5</v>
      </c>
      <c r="P153" s="32" t="s">
        <v>255</v>
      </c>
      <c r="Q153" s="31">
        <f>2143.5</f>
        <v>2143.5</v>
      </c>
      <c r="R153" s="32" t="s">
        <v>1017</v>
      </c>
      <c r="S153" s="33">
        <f>2100.03</f>
        <v>2100.0300000000002</v>
      </c>
      <c r="T153" s="30">
        <f>1960</f>
        <v>1960</v>
      </c>
      <c r="U153" s="30" t="str">
        <f t="shared" si="2"/>
        <v>－</v>
      </c>
      <c r="V153" s="30">
        <f>4110905</f>
        <v>4110905</v>
      </c>
      <c r="W153" s="30" t="str">
        <f t="shared" si="3"/>
        <v>－</v>
      </c>
      <c r="X153" s="34">
        <f>17</f>
        <v>17</v>
      </c>
    </row>
    <row r="154" spans="1:24" ht="13.5" customHeight="1" x14ac:dyDescent="0.15">
      <c r="A154" s="25" t="s">
        <v>1140</v>
      </c>
      <c r="B154" s="25" t="s">
        <v>525</v>
      </c>
      <c r="C154" s="25" t="s">
        <v>526</v>
      </c>
      <c r="D154" s="25" t="s">
        <v>527</v>
      </c>
      <c r="E154" s="26" t="s">
        <v>45</v>
      </c>
      <c r="F154" s="27" t="s">
        <v>45</v>
      </c>
      <c r="G154" s="28" t="s">
        <v>45</v>
      </c>
      <c r="H154" s="29"/>
      <c r="I154" s="29" t="s">
        <v>46</v>
      </c>
      <c r="J154" s="30">
        <v>10</v>
      </c>
      <c r="K154" s="31">
        <f>977.1</f>
        <v>977.1</v>
      </c>
      <c r="L154" s="32" t="s">
        <v>995</v>
      </c>
      <c r="M154" s="31">
        <f>998.7</f>
        <v>998.7</v>
      </c>
      <c r="N154" s="32" t="s">
        <v>1005</v>
      </c>
      <c r="O154" s="31">
        <f>969.3</f>
        <v>969.3</v>
      </c>
      <c r="P154" s="32" t="s">
        <v>1001</v>
      </c>
      <c r="Q154" s="31">
        <f>976</f>
        <v>976</v>
      </c>
      <c r="R154" s="32" t="s">
        <v>1017</v>
      </c>
      <c r="S154" s="33">
        <f>981.82</f>
        <v>981.82</v>
      </c>
      <c r="T154" s="30">
        <f>27180</f>
        <v>27180</v>
      </c>
      <c r="U154" s="30" t="str">
        <f t="shared" si="2"/>
        <v>－</v>
      </c>
      <c r="V154" s="30">
        <f>26756076</f>
        <v>26756076</v>
      </c>
      <c r="W154" s="30" t="str">
        <f t="shared" si="3"/>
        <v>－</v>
      </c>
      <c r="X154" s="34">
        <f>20</f>
        <v>20</v>
      </c>
    </row>
    <row r="155" spans="1:24" ht="13.5" customHeight="1" x14ac:dyDescent="0.15">
      <c r="A155" s="25" t="s">
        <v>1140</v>
      </c>
      <c r="B155" s="25" t="s">
        <v>528</v>
      </c>
      <c r="C155" s="25" t="s">
        <v>529</v>
      </c>
      <c r="D155" s="25" t="s">
        <v>530</v>
      </c>
      <c r="E155" s="26" t="s">
        <v>45</v>
      </c>
      <c r="F155" s="27" t="s">
        <v>45</v>
      </c>
      <c r="G155" s="28" t="s">
        <v>45</v>
      </c>
      <c r="H155" s="29"/>
      <c r="I155" s="29" t="s">
        <v>46</v>
      </c>
      <c r="J155" s="30">
        <v>10</v>
      </c>
      <c r="K155" s="31">
        <f>647.7</f>
        <v>647.70000000000005</v>
      </c>
      <c r="L155" s="32" t="s">
        <v>995</v>
      </c>
      <c r="M155" s="31">
        <f>665.4</f>
        <v>665.4</v>
      </c>
      <c r="N155" s="32" t="s">
        <v>1003</v>
      </c>
      <c r="O155" s="31">
        <f>633.7</f>
        <v>633.70000000000005</v>
      </c>
      <c r="P155" s="32" t="s">
        <v>1001</v>
      </c>
      <c r="Q155" s="31">
        <f>647.4</f>
        <v>647.4</v>
      </c>
      <c r="R155" s="32" t="s">
        <v>1017</v>
      </c>
      <c r="S155" s="33">
        <f>649.37</f>
        <v>649.37</v>
      </c>
      <c r="T155" s="30">
        <f>348620</f>
        <v>348620</v>
      </c>
      <c r="U155" s="30" t="str">
        <f t="shared" si="2"/>
        <v>－</v>
      </c>
      <c r="V155" s="30">
        <f>225450940</f>
        <v>225450940</v>
      </c>
      <c r="W155" s="30" t="str">
        <f t="shared" si="3"/>
        <v>－</v>
      </c>
      <c r="X155" s="34">
        <f>20</f>
        <v>20</v>
      </c>
    </row>
    <row r="156" spans="1:24" ht="13.5" customHeight="1" x14ac:dyDescent="0.15">
      <c r="A156" s="25" t="s">
        <v>1140</v>
      </c>
      <c r="B156" s="25" t="s">
        <v>531</v>
      </c>
      <c r="C156" s="25" t="s">
        <v>532</v>
      </c>
      <c r="D156" s="25" t="s">
        <v>533</v>
      </c>
      <c r="E156" s="26" t="s">
        <v>45</v>
      </c>
      <c r="F156" s="27" t="s">
        <v>45</v>
      </c>
      <c r="G156" s="28" t="s">
        <v>45</v>
      </c>
      <c r="H156" s="29"/>
      <c r="I156" s="29" t="s">
        <v>46</v>
      </c>
      <c r="J156" s="30">
        <v>100</v>
      </c>
      <c r="K156" s="31">
        <f>1.3</f>
        <v>1.3</v>
      </c>
      <c r="L156" s="32" t="s">
        <v>995</v>
      </c>
      <c r="M156" s="31">
        <f>1.3</f>
        <v>1.3</v>
      </c>
      <c r="N156" s="32" t="s">
        <v>995</v>
      </c>
      <c r="O156" s="31">
        <f>1.1</f>
        <v>1.1000000000000001</v>
      </c>
      <c r="P156" s="32" t="s">
        <v>1003</v>
      </c>
      <c r="Q156" s="31">
        <f>1.2</f>
        <v>1.2</v>
      </c>
      <c r="R156" s="32" t="s">
        <v>1017</v>
      </c>
      <c r="S156" s="33">
        <f>1.18</f>
        <v>1.18</v>
      </c>
      <c r="T156" s="30">
        <f>1298274100</f>
        <v>1298274100</v>
      </c>
      <c r="U156" s="30">
        <f>120200</f>
        <v>120200</v>
      </c>
      <c r="V156" s="30">
        <f>1558344360</f>
        <v>1558344360</v>
      </c>
      <c r="W156" s="30">
        <f>156260</f>
        <v>156260</v>
      </c>
      <c r="X156" s="34">
        <f>20</f>
        <v>20</v>
      </c>
    </row>
    <row r="157" spans="1:24" ht="13.5" customHeight="1" x14ac:dyDescent="0.15">
      <c r="A157" s="25" t="s">
        <v>1140</v>
      </c>
      <c r="B157" s="25" t="s">
        <v>534</v>
      </c>
      <c r="C157" s="25" t="s">
        <v>535</v>
      </c>
      <c r="D157" s="25" t="s">
        <v>536</v>
      </c>
      <c r="E157" s="26" t="s">
        <v>45</v>
      </c>
      <c r="F157" s="27" t="s">
        <v>45</v>
      </c>
      <c r="G157" s="28" t="s">
        <v>45</v>
      </c>
      <c r="H157" s="29"/>
      <c r="I157" s="29" t="s">
        <v>46</v>
      </c>
      <c r="J157" s="30">
        <v>10</v>
      </c>
      <c r="K157" s="31">
        <f>1438</f>
        <v>1438</v>
      </c>
      <c r="L157" s="32" t="s">
        <v>995</v>
      </c>
      <c r="M157" s="31">
        <f>1644.5</f>
        <v>1644.5</v>
      </c>
      <c r="N157" s="32" t="s">
        <v>997</v>
      </c>
      <c r="O157" s="31">
        <f>1438</f>
        <v>1438</v>
      </c>
      <c r="P157" s="32" t="s">
        <v>995</v>
      </c>
      <c r="Q157" s="31">
        <f>1599.5</f>
        <v>1599.5</v>
      </c>
      <c r="R157" s="32" t="s">
        <v>1017</v>
      </c>
      <c r="S157" s="33">
        <f>1547.75</f>
        <v>1547.75</v>
      </c>
      <c r="T157" s="30">
        <f>181040</f>
        <v>181040</v>
      </c>
      <c r="U157" s="30" t="str">
        <f t="shared" ref="U157:U164" si="4">"－"</f>
        <v>－</v>
      </c>
      <c r="V157" s="30">
        <f>280546800</f>
        <v>280546800</v>
      </c>
      <c r="W157" s="30" t="str">
        <f t="shared" ref="W157:W164" si="5">"－"</f>
        <v>－</v>
      </c>
      <c r="X157" s="34">
        <f>20</f>
        <v>20</v>
      </c>
    </row>
    <row r="158" spans="1:24" ht="13.5" customHeight="1" x14ac:dyDescent="0.15">
      <c r="A158" s="25" t="s">
        <v>1140</v>
      </c>
      <c r="B158" s="25" t="s">
        <v>537</v>
      </c>
      <c r="C158" s="25" t="s">
        <v>538</v>
      </c>
      <c r="D158" s="25" t="s">
        <v>539</v>
      </c>
      <c r="E158" s="26" t="s">
        <v>45</v>
      </c>
      <c r="F158" s="27" t="s">
        <v>45</v>
      </c>
      <c r="G158" s="28" t="s">
        <v>45</v>
      </c>
      <c r="H158" s="29"/>
      <c r="I158" s="29" t="s">
        <v>46</v>
      </c>
      <c r="J158" s="30">
        <v>1</v>
      </c>
      <c r="K158" s="31">
        <f>8114</f>
        <v>8114</v>
      </c>
      <c r="L158" s="32" t="s">
        <v>995</v>
      </c>
      <c r="M158" s="31">
        <f>9121</f>
        <v>9121</v>
      </c>
      <c r="N158" s="32" t="s">
        <v>794</v>
      </c>
      <c r="O158" s="31">
        <f>8114</f>
        <v>8114</v>
      </c>
      <c r="P158" s="32" t="s">
        <v>995</v>
      </c>
      <c r="Q158" s="31">
        <f>8447</f>
        <v>8447</v>
      </c>
      <c r="R158" s="32" t="s">
        <v>1017</v>
      </c>
      <c r="S158" s="33">
        <f>8714.63</f>
        <v>8714.6299999999992</v>
      </c>
      <c r="T158" s="30">
        <f>1326</f>
        <v>1326</v>
      </c>
      <c r="U158" s="30" t="str">
        <f t="shared" si="4"/>
        <v>－</v>
      </c>
      <c r="V158" s="30">
        <f>11617031</f>
        <v>11617031</v>
      </c>
      <c r="W158" s="30" t="str">
        <f t="shared" si="5"/>
        <v>－</v>
      </c>
      <c r="X158" s="34">
        <f>19</f>
        <v>19</v>
      </c>
    </row>
    <row r="159" spans="1:24" ht="13.5" customHeight="1" x14ac:dyDescent="0.15">
      <c r="A159" s="25" t="s">
        <v>1140</v>
      </c>
      <c r="B159" s="25" t="s">
        <v>540</v>
      </c>
      <c r="C159" s="25" t="s">
        <v>541</v>
      </c>
      <c r="D159" s="25" t="s">
        <v>542</v>
      </c>
      <c r="E159" s="26" t="s">
        <v>45</v>
      </c>
      <c r="F159" s="27" t="s">
        <v>45</v>
      </c>
      <c r="G159" s="28" t="s">
        <v>45</v>
      </c>
      <c r="H159" s="29"/>
      <c r="I159" s="29" t="s">
        <v>46</v>
      </c>
      <c r="J159" s="30">
        <v>100</v>
      </c>
      <c r="K159" s="31">
        <f>429.5</f>
        <v>429.5</v>
      </c>
      <c r="L159" s="32" t="s">
        <v>995</v>
      </c>
      <c r="M159" s="31">
        <f>454.5</f>
        <v>454.5</v>
      </c>
      <c r="N159" s="32" t="s">
        <v>1017</v>
      </c>
      <c r="O159" s="31">
        <f>426.7</f>
        <v>426.7</v>
      </c>
      <c r="P159" s="32" t="s">
        <v>787</v>
      </c>
      <c r="Q159" s="31">
        <f>450.4</f>
        <v>450.4</v>
      </c>
      <c r="R159" s="32" t="s">
        <v>1017</v>
      </c>
      <c r="S159" s="33">
        <f>434.98</f>
        <v>434.98</v>
      </c>
      <c r="T159" s="30">
        <f>52700</f>
        <v>52700</v>
      </c>
      <c r="U159" s="30" t="str">
        <f t="shared" si="4"/>
        <v>－</v>
      </c>
      <c r="V159" s="30">
        <f>23068720</f>
        <v>23068720</v>
      </c>
      <c r="W159" s="30" t="str">
        <f t="shared" si="5"/>
        <v>－</v>
      </c>
      <c r="X159" s="34">
        <f>19</f>
        <v>19</v>
      </c>
    </row>
    <row r="160" spans="1:24" ht="13.5" customHeight="1" x14ac:dyDescent="0.15">
      <c r="A160" s="25" t="s">
        <v>1140</v>
      </c>
      <c r="B160" s="25" t="s">
        <v>543</v>
      </c>
      <c r="C160" s="25" t="s">
        <v>544</v>
      </c>
      <c r="D160" s="25" t="s">
        <v>545</v>
      </c>
      <c r="E160" s="26" t="s">
        <v>45</v>
      </c>
      <c r="F160" s="27" t="s">
        <v>45</v>
      </c>
      <c r="G160" s="28" t="s">
        <v>45</v>
      </c>
      <c r="H160" s="29"/>
      <c r="I160" s="29" t="s">
        <v>46</v>
      </c>
      <c r="J160" s="30">
        <v>10</v>
      </c>
      <c r="K160" s="31">
        <f>4945</f>
        <v>4945</v>
      </c>
      <c r="L160" s="32" t="s">
        <v>995</v>
      </c>
      <c r="M160" s="31">
        <f>5035</f>
        <v>5035</v>
      </c>
      <c r="N160" s="32" t="s">
        <v>1002</v>
      </c>
      <c r="O160" s="31">
        <f>4830</f>
        <v>4830</v>
      </c>
      <c r="P160" s="32" t="s">
        <v>255</v>
      </c>
      <c r="Q160" s="31">
        <f>4960</f>
        <v>4960</v>
      </c>
      <c r="R160" s="32" t="s">
        <v>1017</v>
      </c>
      <c r="S160" s="33">
        <f>4935.25</f>
        <v>4935.25</v>
      </c>
      <c r="T160" s="30">
        <f>25910</f>
        <v>25910</v>
      </c>
      <c r="U160" s="30" t="str">
        <f t="shared" si="4"/>
        <v>－</v>
      </c>
      <c r="V160" s="30">
        <f>127800950</f>
        <v>127800950</v>
      </c>
      <c r="W160" s="30" t="str">
        <f t="shared" si="5"/>
        <v>－</v>
      </c>
      <c r="X160" s="34">
        <f>20</f>
        <v>20</v>
      </c>
    </row>
    <row r="161" spans="1:24" ht="13.5" customHeight="1" x14ac:dyDescent="0.15">
      <c r="A161" s="25" t="s">
        <v>1140</v>
      </c>
      <c r="B161" s="25" t="s">
        <v>546</v>
      </c>
      <c r="C161" s="25" t="s">
        <v>547</v>
      </c>
      <c r="D161" s="25" t="s">
        <v>548</v>
      </c>
      <c r="E161" s="26" t="s">
        <v>45</v>
      </c>
      <c r="F161" s="27" t="s">
        <v>45</v>
      </c>
      <c r="G161" s="28" t="s">
        <v>45</v>
      </c>
      <c r="H161" s="29"/>
      <c r="I161" s="29" t="s">
        <v>46</v>
      </c>
      <c r="J161" s="30">
        <v>10</v>
      </c>
      <c r="K161" s="31">
        <f>2761</f>
        <v>2761</v>
      </c>
      <c r="L161" s="32" t="s">
        <v>995</v>
      </c>
      <c r="M161" s="31">
        <f>2875.5</f>
        <v>2875.5</v>
      </c>
      <c r="N161" s="32" t="s">
        <v>78</v>
      </c>
      <c r="O161" s="31">
        <f>2563</f>
        <v>2563</v>
      </c>
      <c r="P161" s="32" t="s">
        <v>255</v>
      </c>
      <c r="Q161" s="31">
        <f>2626</f>
        <v>2626</v>
      </c>
      <c r="R161" s="32" t="s">
        <v>1017</v>
      </c>
      <c r="S161" s="33">
        <f>2720.5</f>
        <v>2720.5</v>
      </c>
      <c r="T161" s="30">
        <f>33020</f>
        <v>33020</v>
      </c>
      <c r="U161" s="30" t="str">
        <f t="shared" si="4"/>
        <v>－</v>
      </c>
      <c r="V161" s="30">
        <f>89590080</f>
        <v>89590080</v>
      </c>
      <c r="W161" s="30" t="str">
        <f t="shared" si="5"/>
        <v>－</v>
      </c>
      <c r="X161" s="34">
        <f>20</f>
        <v>20</v>
      </c>
    </row>
    <row r="162" spans="1:24" ht="13.5" customHeight="1" x14ac:dyDescent="0.15">
      <c r="A162" s="25" t="s">
        <v>1140</v>
      </c>
      <c r="B162" s="25" t="s">
        <v>549</v>
      </c>
      <c r="C162" s="25" t="s">
        <v>550</v>
      </c>
      <c r="D162" s="25" t="s">
        <v>551</v>
      </c>
      <c r="E162" s="26" t="s">
        <v>45</v>
      </c>
      <c r="F162" s="27" t="s">
        <v>45</v>
      </c>
      <c r="G162" s="28" t="s">
        <v>45</v>
      </c>
      <c r="H162" s="29"/>
      <c r="I162" s="29" t="s">
        <v>46</v>
      </c>
      <c r="J162" s="30">
        <v>100</v>
      </c>
      <c r="K162" s="31">
        <f>81.5</f>
        <v>81.5</v>
      </c>
      <c r="L162" s="32" t="s">
        <v>995</v>
      </c>
      <c r="M162" s="31">
        <f>83.2</f>
        <v>83.2</v>
      </c>
      <c r="N162" s="32" t="s">
        <v>1003</v>
      </c>
      <c r="O162" s="31">
        <f>78.2</f>
        <v>78.2</v>
      </c>
      <c r="P162" s="32" t="s">
        <v>1001</v>
      </c>
      <c r="Q162" s="31">
        <f>80.5</f>
        <v>80.5</v>
      </c>
      <c r="R162" s="32" t="s">
        <v>1017</v>
      </c>
      <c r="S162" s="33">
        <f>80.9</f>
        <v>80.900000000000006</v>
      </c>
      <c r="T162" s="30">
        <f>11883900</f>
        <v>11883900</v>
      </c>
      <c r="U162" s="30" t="str">
        <f t="shared" si="4"/>
        <v>－</v>
      </c>
      <c r="V162" s="30">
        <f>958056970</f>
        <v>958056970</v>
      </c>
      <c r="W162" s="30" t="str">
        <f t="shared" si="5"/>
        <v>－</v>
      </c>
      <c r="X162" s="34">
        <f>20</f>
        <v>20</v>
      </c>
    </row>
    <row r="163" spans="1:24" ht="13.5" customHeight="1" x14ac:dyDescent="0.15">
      <c r="A163" s="25" t="s">
        <v>1140</v>
      </c>
      <c r="B163" s="25" t="s">
        <v>552</v>
      </c>
      <c r="C163" s="25" t="s">
        <v>553</v>
      </c>
      <c r="D163" s="25" t="s">
        <v>554</v>
      </c>
      <c r="E163" s="26" t="s">
        <v>45</v>
      </c>
      <c r="F163" s="27" t="s">
        <v>45</v>
      </c>
      <c r="G163" s="28" t="s">
        <v>45</v>
      </c>
      <c r="H163" s="29"/>
      <c r="I163" s="29" t="s">
        <v>46</v>
      </c>
      <c r="J163" s="30">
        <v>100</v>
      </c>
      <c r="K163" s="31">
        <f>163.9</f>
        <v>163.9</v>
      </c>
      <c r="L163" s="32" t="s">
        <v>995</v>
      </c>
      <c r="M163" s="31">
        <f>172.5</f>
        <v>172.5</v>
      </c>
      <c r="N163" s="32" t="s">
        <v>1017</v>
      </c>
      <c r="O163" s="31">
        <f>163.4</f>
        <v>163.4</v>
      </c>
      <c r="P163" s="32" t="s">
        <v>790</v>
      </c>
      <c r="Q163" s="31">
        <f>172.1</f>
        <v>172.1</v>
      </c>
      <c r="R163" s="32" t="s">
        <v>1017</v>
      </c>
      <c r="S163" s="33">
        <f>167.32</f>
        <v>167.32</v>
      </c>
      <c r="T163" s="30">
        <f>1002800</f>
        <v>1002800</v>
      </c>
      <c r="U163" s="30" t="str">
        <f t="shared" si="4"/>
        <v>－</v>
      </c>
      <c r="V163" s="30">
        <f>168531260</f>
        <v>168531260</v>
      </c>
      <c r="W163" s="30" t="str">
        <f t="shared" si="5"/>
        <v>－</v>
      </c>
      <c r="X163" s="34">
        <f>20</f>
        <v>20</v>
      </c>
    </row>
    <row r="164" spans="1:24" ht="13.5" customHeight="1" x14ac:dyDescent="0.15">
      <c r="A164" s="25" t="s">
        <v>1140</v>
      </c>
      <c r="B164" s="25" t="s">
        <v>555</v>
      </c>
      <c r="C164" s="25" t="s">
        <v>556</v>
      </c>
      <c r="D164" s="25" t="s">
        <v>557</v>
      </c>
      <c r="E164" s="26" t="s">
        <v>45</v>
      </c>
      <c r="F164" s="27" t="s">
        <v>45</v>
      </c>
      <c r="G164" s="28" t="s">
        <v>45</v>
      </c>
      <c r="H164" s="29"/>
      <c r="I164" s="29" t="s">
        <v>46</v>
      </c>
      <c r="J164" s="30">
        <v>10</v>
      </c>
      <c r="K164" s="31">
        <f>4929</f>
        <v>4929</v>
      </c>
      <c r="L164" s="32" t="s">
        <v>995</v>
      </c>
      <c r="M164" s="31">
        <f>4929</f>
        <v>4929</v>
      </c>
      <c r="N164" s="32" t="s">
        <v>995</v>
      </c>
      <c r="O164" s="31">
        <f>4651</f>
        <v>4651</v>
      </c>
      <c r="P164" s="32" t="s">
        <v>1001</v>
      </c>
      <c r="Q164" s="31">
        <f>4718</f>
        <v>4718</v>
      </c>
      <c r="R164" s="32" t="s">
        <v>1017</v>
      </c>
      <c r="S164" s="33">
        <f>4796.84</f>
        <v>4796.84</v>
      </c>
      <c r="T164" s="30">
        <f>6270</f>
        <v>6270</v>
      </c>
      <c r="U164" s="30" t="str">
        <f t="shared" si="4"/>
        <v>－</v>
      </c>
      <c r="V164" s="30">
        <f>29907610</f>
        <v>29907610</v>
      </c>
      <c r="W164" s="30" t="str">
        <f t="shared" si="5"/>
        <v>－</v>
      </c>
      <c r="X164" s="34">
        <f>19</f>
        <v>19</v>
      </c>
    </row>
    <row r="165" spans="1:24" ht="13.5" customHeight="1" x14ac:dyDescent="0.15">
      <c r="A165" s="25" t="s">
        <v>1140</v>
      </c>
      <c r="B165" s="25" t="s">
        <v>558</v>
      </c>
      <c r="C165" s="25" t="s">
        <v>559</v>
      </c>
      <c r="D165" s="25" t="s">
        <v>1126</v>
      </c>
      <c r="E165" s="26" t="s">
        <v>45</v>
      </c>
      <c r="F165" s="27" t="s">
        <v>45</v>
      </c>
      <c r="G165" s="28" t="s">
        <v>45</v>
      </c>
      <c r="H165" s="29"/>
      <c r="I165" s="29" t="s">
        <v>46</v>
      </c>
      <c r="J165" s="30">
        <v>10</v>
      </c>
      <c r="K165" s="31">
        <f>2555</f>
        <v>2555</v>
      </c>
      <c r="L165" s="32" t="s">
        <v>995</v>
      </c>
      <c r="M165" s="31">
        <f>2719</f>
        <v>2719</v>
      </c>
      <c r="N165" s="32" t="s">
        <v>998</v>
      </c>
      <c r="O165" s="31">
        <f>2552</f>
        <v>2552</v>
      </c>
      <c r="P165" s="32" t="s">
        <v>995</v>
      </c>
      <c r="Q165" s="31">
        <f>2638</f>
        <v>2638</v>
      </c>
      <c r="R165" s="32" t="s">
        <v>1017</v>
      </c>
      <c r="S165" s="33">
        <f>2646.9</f>
        <v>2646.9</v>
      </c>
      <c r="T165" s="30">
        <f>2490200</f>
        <v>2490200</v>
      </c>
      <c r="U165" s="30">
        <f>2085700</f>
        <v>2085700</v>
      </c>
      <c r="V165" s="30">
        <f>6570712555</f>
        <v>6570712555</v>
      </c>
      <c r="W165" s="30">
        <f>5503448110</f>
        <v>5503448110</v>
      </c>
      <c r="X165" s="34">
        <f>20</f>
        <v>20</v>
      </c>
    </row>
    <row r="166" spans="1:24" ht="13.5" customHeight="1" x14ac:dyDescent="0.15">
      <c r="A166" s="25" t="s">
        <v>1140</v>
      </c>
      <c r="B166" s="25" t="s">
        <v>561</v>
      </c>
      <c r="C166" s="25" t="s">
        <v>1127</v>
      </c>
      <c r="D166" s="25" t="s">
        <v>1128</v>
      </c>
      <c r="E166" s="26" t="s">
        <v>45</v>
      </c>
      <c r="F166" s="27" t="s">
        <v>45</v>
      </c>
      <c r="G166" s="28" t="s">
        <v>45</v>
      </c>
      <c r="H166" s="29"/>
      <c r="I166" s="29" t="s">
        <v>46</v>
      </c>
      <c r="J166" s="30">
        <v>10</v>
      </c>
      <c r="K166" s="31">
        <f>393.5</f>
        <v>393.5</v>
      </c>
      <c r="L166" s="32" t="s">
        <v>995</v>
      </c>
      <c r="M166" s="31">
        <f>446.1</f>
        <v>446.1</v>
      </c>
      <c r="N166" s="32" t="s">
        <v>997</v>
      </c>
      <c r="O166" s="31">
        <f>393.3</f>
        <v>393.3</v>
      </c>
      <c r="P166" s="32" t="s">
        <v>995</v>
      </c>
      <c r="Q166" s="31">
        <f>435.6</f>
        <v>435.6</v>
      </c>
      <c r="R166" s="32" t="s">
        <v>1017</v>
      </c>
      <c r="S166" s="33">
        <f>421.82</f>
        <v>421.82</v>
      </c>
      <c r="T166" s="30">
        <f>25544000</f>
        <v>25544000</v>
      </c>
      <c r="U166" s="30">
        <f>12380</f>
        <v>12380</v>
      </c>
      <c r="V166" s="30">
        <f>10815009588</f>
        <v>10815009588</v>
      </c>
      <c r="W166" s="30">
        <f>5248362</f>
        <v>5248362</v>
      </c>
      <c r="X166" s="34">
        <f>20</f>
        <v>20</v>
      </c>
    </row>
    <row r="167" spans="1:24" ht="13.5" customHeight="1" x14ac:dyDescent="0.15">
      <c r="A167" s="25" t="s">
        <v>1140</v>
      </c>
      <c r="B167" s="25" t="s">
        <v>564</v>
      </c>
      <c r="C167" s="25" t="s">
        <v>565</v>
      </c>
      <c r="D167" s="25" t="s">
        <v>566</v>
      </c>
      <c r="E167" s="26" t="s">
        <v>45</v>
      </c>
      <c r="F167" s="27" t="s">
        <v>45</v>
      </c>
      <c r="G167" s="28" t="s">
        <v>45</v>
      </c>
      <c r="H167" s="29"/>
      <c r="I167" s="29" t="s">
        <v>567</v>
      </c>
      <c r="J167" s="30">
        <v>1</v>
      </c>
      <c r="K167" s="31">
        <f>5110</f>
        <v>5110</v>
      </c>
      <c r="L167" s="32" t="s">
        <v>995</v>
      </c>
      <c r="M167" s="31">
        <f>5420</f>
        <v>5420</v>
      </c>
      <c r="N167" s="32" t="s">
        <v>785</v>
      </c>
      <c r="O167" s="31">
        <f>4705</f>
        <v>4705</v>
      </c>
      <c r="P167" s="32" t="s">
        <v>997</v>
      </c>
      <c r="Q167" s="31">
        <f>4940</f>
        <v>4940</v>
      </c>
      <c r="R167" s="32" t="s">
        <v>1017</v>
      </c>
      <c r="S167" s="33">
        <f>5013</f>
        <v>5013</v>
      </c>
      <c r="T167" s="30">
        <f>25972</f>
        <v>25972</v>
      </c>
      <c r="U167" s="30" t="str">
        <f>"－"</f>
        <v>－</v>
      </c>
      <c r="V167" s="30">
        <f>130456555</f>
        <v>130456555</v>
      </c>
      <c r="W167" s="30" t="str">
        <f>"－"</f>
        <v>－</v>
      </c>
      <c r="X167" s="34">
        <f>20</f>
        <v>20</v>
      </c>
    </row>
    <row r="168" spans="1:24" ht="13.5" customHeight="1" x14ac:dyDescent="0.15">
      <c r="A168" s="25" t="s">
        <v>1140</v>
      </c>
      <c r="B168" s="25" t="s">
        <v>568</v>
      </c>
      <c r="C168" s="25" t="s">
        <v>569</v>
      </c>
      <c r="D168" s="25" t="s">
        <v>570</v>
      </c>
      <c r="E168" s="26" t="s">
        <v>45</v>
      </c>
      <c r="F168" s="27" t="s">
        <v>45</v>
      </c>
      <c r="G168" s="28" t="s">
        <v>45</v>
      </c>
      <c r="H168" s="29"/>
      <c r="I168" s="29" t="s">
        <v>567</v>
      </c>
      <c r="J168" s="30">
        <v>1</v>
      </c>
      <c r="K168" s="31">
        <f>8806</f>
        <v>8806</v>
      </c>
      <c r="L168" s="32" t="s">
        <v>995</v>
      </c>
      <c r="M168" s="31">
        <f>9379</f>
        <v>9379</v>
      </c>
      <c r="N168" s="32" t="s">
        <v>997</v>
      </c>
      <c r="O168" s="31">
        <f>8434</f>
        <v>8434</v>
      </c>
      <c r="P168" s="32" t="s">
        <v>785</v>
      </c>
      <c r="Q168" s="31">
        <f>9131</f>
        <v>9131</v>
      </c>
      <c r="R168" s="32" t="s">
        <v>1017</v>
      </c>
      <c r="S168" s="33">
        <f>8947.1</f>
        <v>8947.1</v>
      </c>
      <c r="T168" s="30">
        <f>13648</f>
        <v>13648</v>
      </c>
      <c r="U168" s="30" t="str">
        <f>"－"</f>
        <v>－</v>
      </c>
      <c r="V168" s="30">
        <f>121785820</f>
        <v>121785820</v>
      </c>
      <c r="W168" s="30" t="str">
        <f>"－"</f>
        <v>－</v>
      </c>
      <c r="X168" s="34">
        <f>20</f>
        <v>20</v>
      </c>
    </row>
    <row r="169" spans="1:24" ht="13.5" customHeight="1" x14ac:dyDescent="0.15">
      <c r="A169" s="25" t="s">
        <v>1140</v>
      </c>
      <c r="B169" s="25" t="s">
        <v>571</v>
      </c>
      <c r="C169" s="25" t="s">
        <v>572</v>
      </c>
      <c r="D169" s="25" t="s">
        <v>573</v>
      </c>
      <c r="E169" s="26" t="s">
        <v>45</v>
      </c>
      <c r="F169" s="27" t="s">
        <v>45</v>
      </c>
      <c r="G169" s="28" t="s">
        <v>45</v>
      </c>
      <c r="H169" s="29"/>
      <c r="I169" s="29" t="s">
        <v>567</v>
      </c>
      <c r="J169" s="30">
        <v>1</v>
      </c>
      <c r="K169" s="31">
        <f>12260</f>
        <v>12260</v>
      </c>
      <c r="L169" s="32" t="s">
        <v>785</v>
      </c>
      <c r="M169" s="31">
        <f>12995</f>
        <v>12995</v>
      </c>
      <c r="N169" s="32" t="s">
        <v>1002</v>
      </c>
      <c r="O169" s="31">
        <f>11290</f>
        <v>11290</v>
      </c>
      <c r="P169" s="32" t="s">
        <v>997</v>
      </c>
      <c r="Q169" s="31">
        <f>11300</f>
        <v>11300</v>
      </c>
      <c r="R169" s="32" t="s">
        <v>1017</v>
      </c>
      <c r="S169" s="33">
        <f>12157.14</f>
        <v>12157.14</v>
      </c>
      <c r="T169" s="30">
        <f>355</f>
        <v>355</v>
      </c>
      <c r="U169" s="30" t="str">
        <f>"－"</f>
        <v>－</v>
      </c>
      <c r="V169" s="30">
        <f>4396785</f>
        <v>4396785</v>
      </c>
      <c r="W169" s="30" t="str">
        <f>"－"</f>
        <v>－</v>
      </c>
      <c r="X169" s="34">
        <f>14</f>
        <v>14</v>
      </c>
    </row>
    <row r="170" spans="1:24" ht="13.5" customHeight="1" x14ac:dyDescent="0.15">
      <c r="A170" s="25" t="s">
        <v>1140</v>
      </c>
      <c r="B170" s="25" t="s">
        <v>574</v>
      </c>
      <c r="C170" s="25" t="s">
        <v>575</v>
      </c>
      <c r="D170" s="25" t="s">
        <v>576</v>
      </c>
      <c r="E170" s="26" t="s">
        <v>45</v>
      </c>
      <c r="F170" s="27" t="s">
        <v>45</v>
      </c>
      <c r="G170" s="28" t="s">
        <v>45</v>
      </c>
      <c r="H170" s="29"/>
      <c r="I170" s="29" t="s">
        <v>567</v>
      </c>
      <c r="J170" s="30">
        <v>1</v>
      </c>
      <c r="K170" s="31">
        <f>8056</f>
        <v>8056</v>
      </c>
      <c r="L170" s="32" t="s">
        <v>995</v>
      </c>
      <c r="M170" s="31">
        <f>8338</f>
        <v>8338</v>
      </c>
      <c r="N170" s="32" t="s">
        <v>255</v>
      </c>
      <c r="O170" s="31">
        <f>7999</f>
        <v>7999</v>
      </c>
      <c r="P170" s="32" t="s">
        <v>1002</v>
      </c>
      <c r="Q170" s="31">
        <f>8279</f>
        <v>8279</v>
      </c>
      <c r="R170" s="32" t="s">
        <v>1017</v>
      </c>
      <c r="S170" s="33">
        <f>8138.75</f>
        <v>8138.75</v>
      </c>
      <c r="T170" s="30">
        <f>5744</f>
        <v>5744</v>
      </c>
      <c r="U170" s="30" t="str">
        <f>"－"</f>
        <v>－</v>
      </c>
      <c r="V170" s="30">
        <f>46966060</f>
        <v>46966060</v>
      </c>
      <c r="W170" s="30" t="str">
        <f>"－"</f>
        <v>－</v>
      </c>
      <c r="X170" s="34">
        <f>20</f>
        <v>20</v>
      </c>
    </row>
    <row r="171" spans="1:24" ht="13.5" customHeight="1" x14ac:dyDescent="0.15">
      <c r="A171" s="25" t="s">
        <v>1140</v>
      </c>
      <c r="B171" s="25" t="s">
        <v>577</v>
      </c>
      <c r="C171" s="25" t="s">
        <v>578</v>
      </c>
      <c r="D171" s="25" t="s">
        <v>579</v>
      </c>
      <c r="E171" s="26" t="s">
        <v>45</v>
      </c>
      <c r="F171" s="27" t="s">
        <v>45</v>
      </c>
      <c r="G171" s="28" t="s">
        <v>45</v>
      </c>
      <c r="H171" s="29"/>
      <c r="I171" s="29" t="s">
        <v>567</v>
      </c>
      <c r="J171" s="30">
        <v>1</v>
      </c>
      <c r="K171" s="31">
        <f>34410</f>
        <v>34410</v>
      </c>
      <c r="L171" s="32" t="s">
        <v>995</v>
      </c>
      <c r="M171" s="31">
        <f>35250</f>
        <v>35250</v>
      </c>
      <c r="N171" s="32" t="s">
        <v>998</v>
      </c>
      <c r="O171" s="31">
        <f>33410</f>
        <v>33410</v>
      </c>
      <c r="P171" s="32" t="s">
        <v>1017</v>
      </c>
      <c r="Q171" s="31">
        <f>33540</f>
        <v>33540</v>
      </c>
      <c r="R171" s="32" t="s">
        <v>1017</v>
      </c>
      <c r="S171" s="33">
        <f>34482.5</f>
        <v>34482.5</v>
      </c>
      <c r="T171" s="30">
        <f>22527</f>
        <v>22527</v>
      </c>
      <c r="U171" s="30">
        <f>59</f>
        <v>59</v>
      </c>
      <c r="V171" s="30">
        <f>777160890</f>
        <v>777160890</v>
      </c>
      <c r="W171" s="30">
        <f>2023860</f>
        <v>2023860</v>
      </c>
      <c r="X171" s="34">
        <f>20</f>
        <v>20</v>
      </c>
    </row>
    <row r="172" spans="1:24" ht="13.5" customHeight="1" x14ac:dyDescent="0.15">
      <c r="A172" s="25" t="s">
        <v>1140</v>
      </c>
      <c r="B172" s="25" t="s">
        <v>580</v>
      </c>
      <c r="C172" s="25" t="s">
        <v>581</v>
      </c>
      <c r="D172" s="25" t="s">
        <v>582</v>
      </c>
      <c r="E172" s="26" t="s">
        <v>45</v>
      </c>
      <c r="F172" s="27" t="s">
        <v>45</v>
      </c>
      <c r="G172" s="28" t="s">
        <v>45</v>
      </c>
      <c r="H172" s="29"/>
      <c r="I172" s="29" t="s">
        <v>567</v>
      </c>
      <c r="J172" s="30">
        <v>1</v>
      </c>
      <c r="K172" s="31">
        <f>3750</f>
        <v>3750</v>
      </c>
      <c r="L172" s="32" t="s">
        <v>995</v>
      </c>
      <c r="M172" s="31">
        <f>3780</f>
        <v>3780</v>
      </c>
      <c r="N172" s="32" t="s">
        <v>1017</v>
      </c>
      <c r="O172" s="31">
        <f>3670</f>
        <v>3670</v>
      </c>
      <c r="P172" s="32" t="s">
        <v>998</v>
      </c>
      <c r="Q172" s="31">
        <f>3750</f>
        <v>3750</v>
      </c>
      <c r="R172" s="32" t="s">
        <v>1017</v>
      </c>
      <c r="S172" s="33">
        <f>3704.75</f>
        <v>3704.75</v>
      </c>
      <c r="T172" s="30">
        <f>7078</f>
        <v>7078</v>
      </c>
      <c r="U172" s="30" t="str">
        <f>"－"</f>
        <v>－</v>
      </c>
      <c r="V172" s="30">
        <f>26307410</f>
        <v>26307410</v>
      </c>
      <c r="W172" s="30" t="str">
        <f>"－"</f>
        <v>－</v>
      </c>
      <c r="X172" s="34">
        <f>20</f>
        <v>20</v>
      </c>
    </row>
    <row r="173" spans="1:24" ht="13.5" customHeight="1" x14ac:dyDescent="0.15">
      <c r="A173" s="25" t="s">
        <v>1140</v>
      </c>
      <c r="B173" s="25" t="s">
        <v>583</v>
      </c>
      <c r="C173" s="25" t="s">
        <v>584</v>
      </c>
      <c r="D173" s="25" t="s">
        <v>585</v>
      </c>
      <c r="E173" s="26" t="s">
        <v>45</v>
      </c>
      <c r="F173" s="27" t="s">
        <v>45</v>
      </c>
      <c r="G173" s="28" t="s">
        <v>45</v>
      </c>
      <c r="H173" s="29"/>
      <c r="I173" s="29" t="s">
        <v>567</v>
      </c>
      <c r="J173" s="30">
        <v>1</v>
      </c>
      <c r="K173" s="31">
        <f>1915</f>
        <v>1915</v>
      </c>
      <c r="L173" s="32" t="s">
        <v>995</v>
      </c>
      <c r="M173" s="31">
        <f>2285</f>
        <v>2285</v>
      </c>
      <c r="N173" s="32" t="s">
        <v>997</v>
      </c>
      <c r="O173" s="31">
        <f>1911</f>
        <v>1911</v>
      </c>
      <c r="P173" s="32" t="s">
        <v>995</v>
      </c>
      <c r="Q173" s="31">
        <f>2208</f>
        <v>2208</v>
      </c>
      <c r="R173" s="32" t="s">
        <v>1017</v>
      </c>
      <c r="S173" s="33">
        <f>2145.85</f>
        <v>2145.85</v>
      </c>
      <c r="T173" s="30">
        <f>15764436</f>
        <v>15764436</v>
      </c>
      <c r="U173" s="30">
        <f>303915</f>
        <v>303915</v>
      </c>
      <c r="V173" s="30">
        <f>33820693857</f>
        <v>33820693857</v>
      </c>
      <c r="W173" s="30">
        <f>653491924</f>
        <v>653491924</v>
      </c>
      <c r="X173" s="34">
        <f>20</f>
        <v>20</v>
      </c>
    </row>
    <row r="174" spans="1:24" ht="13.5" customHeight="1" x14ac:dyDescent="0.15">
      <c r="A174" s="25" t="s">
        <v>1140</v>
      </c>
      <c r="B174" s="25" t="s">
        <v>586</v>
      </c>
      <c r="C174" s="25" t="s">
        <v>587</v>
      </c>
      <c r="D174" s="25" t="s">
        <v>588</v>
      </c>
      <c r="E174" s="26" t="s">
        <v>45</v>
      </c>
      <c r="F174" s="27" t="s">
        <v>45</v>
      </c>
      <c r="G174" s="28" t="s">
        <v>45</v>
      </c>
      <c r="H174" s="29"/>
      <c r="I174" s="29" t="s">
        <v>567</v>
      </c>
      <c r="J174" s="30">
        <v>1</v>
      </c>
      <c r="K174" s="31">
        <f>1112</f>
        <v>1112</v>
      </c>
      <c r="L174" s="32" t="s">
        <v>995</v>
      </c>
      <c r="M174" s="31">
        <f>1112</f>
        <v>1112</v>
      </c>
      <c r="N174" s="32" t="s">
        <v>995</v>
      </c>
      <c r="O174" s="31">
        <f>1008</f>
        <v>1008</v>
      </c>
      <c r="P174" s="32" t="s">
        <v>1002</v>
      </c>
      <c r="Q174" s="31">
        <f>1038</f>
        <v>1038</v>
      </c>
      <c r="R174" s="32" t="s">
        <v>1017</v>
      </c>
      <c r="S174" s="33">
        <f>1048.25</f>
        <v>1048.25</v>
      </c>
      <c r="T174" s="30">
        <f>2363002</f>
        <v>2363002</v>
      </c>
      <c r="U174" s="30" t="str">
        <f>"－"</f>
        <v>－</v>
      </c>
      <c r="V174" s="30">
        <f>2473591439</f>
        <v>2473591439</v>
      </c>
      <c r="W174" s="30" t="str">
        <f>"－"</f>
        <v>－</v>
      </c>
      <c r="X174" s="34">
        <f>20</f>
        <v>20</v>
      </c>
    </row>
    <row r="175" spans="1:24" ht="13.5" customHeight="1" x14ac:dyDescent="0.15">
      <c r="A175" s="25" t="s">
        <v>1140</v>
      </c>
      <c r="B175" s="25" t="s">
        <v>589</v>
      </c>
      <c r="C175" s="25" t="s">
        <v>590</v>
      </c>
      <c r="D175" s="25" t="s">
        <v>591</v>
      </c>
      <c r="E175" s="26" t="s">
        <v>45</v>
      </c>
      <c r="F175" s="27" t="s">
        <v>45</v>
      </c>
      <c r="G175" s="28" t="s">
        <v>45</v>
      </c>
      <c r="H175" s="29"/>
      <c r="I175" s="29" t="s">
        <v>567</v>
      </c>
      <c r="J175" s="30">
        <v>1</v>
      </c>
      <c r="K175" s="31">
        <f>24915</f>
        <v>24915</v>
      </c>
      <c r="L175" s="32" t="s">
        <v>995</v>
      </c>
      <c r="M175" s="31">
        <f>25275</f>
        <v>25275</v>
      </c>
      <c r="N175" s="32" t="s">
        <v>1002</v>
      </c>
      <c r="O175" s="31">
        <f>23215</f>
        <v>23215</v>
      </c>
      <c r="P175" s="32" t="s">
        <v>997</v>
      </c>
      <c r="Q175" s="31">
        <f>23510</f>
        <v>23510</v>
      </c>
      <c r="R175" s="32" t="s">
        <v>1017</v>
      </c>
      <c r="S175" s="33">
        <f>24532.5</f>
        <v>24532.5</v>
      </c>
      <c r="T175" s="30">
        <f>39415</f>
        <v>39415</v>
      </c>
      <c r="U175" s="30">
        <f>35</f>
        <v>35</v>
      </c>
      <c r="V175" s="30">
        <f>957590790</f>
        <v>957590790</v>
      </c>
      <c r="W175" s="30">
        <f>881615</f>
        <v>881615</v>
      </c>
      <c r="X175" s="34">
        <f>20</f>
        <v>20</v>
      </c>
    </row>
    <row r="176" spans="1:24" ht="13.5" customHeight="1" x14ac:dyDescent="0.15">
      <c r="A176" s="25" t="s">
        <v>1140</v>
      </c>
      <c r="B176" s="25" t="s">
        <v>592</v>
      </c>
      <c r="C176" s="25" t="s">
        <v>593</v>
      </c>
      <c r="D176" s="25" t="s">
        <v>594</v>
      </c>
      <c r="E176" s="26" t="s">
        <v>45</v>
      </c>
      <c r="F176" s="27" t="s">
        <v>45</v>
      </c>
      <c r="G176" s="28" t="s">
        <v>45</v>
      </c>
      <c r="H176" s="29"/>
      <c r="I176" s="29" t="s">
        <v>567</v>
      </c>
      <c r="J176" s="30">
        <v>1</v>
      </c>
      <c r="K176" s="31">
        <f>2809</f>
        <v>2809</v>
      </c>
      <c r="L176" s="32" t="s">
        <v>995</v>
      </c>
      <c r="M176" s="31">
        <f>2929</f>
        <v>2929</v>
      </c>
      <c r="N176" s="32" t="s">
        <v>997</v>
      </c>
      <c r="O176" s="31">
        <f>2789</f>
        <v>2789</v>
      </c>
      <c r="P176" s="32" t="s">
        <v>1002</v>
      </c>
      <c r="Q176" s="31">
        <f>2906</f>
        <v>2906</v>
      </c>
      <c r="R176" s="32" t="s">
        <v>1017</v>
      </c>
      <c r="S176" s="33">
        <f>2845</f>
        <v>2845</v>
      </c>
      <c r="T176" s="30">
        <f>198788</f>
        <v>198788</v>
      </c>
      <c r="U176" s="30">
        <f>206</f>
        <v>206</v>
      </c>
      <c r="V176" s="30">
        <f>566526777</f>
        <v>566526777</v>
      </c>
      <c r="W176" s="30">
        <f>581926</f>
        <v>581926</v>
      </c>
      <c r="X176" s="34">
        <f>20</f>
        <v>20</v>
      </c>
    </row>
    <row r="177" spans="1:24" ht="13.5" customHeight="1" x14ac:dyDescent="0.15">
      <c r="A177" s="25" t="s">
        <v>1140</v>
      </c>
      <c r="B177" s="25" t="s">
        <v>595</v>
      </c>
      <c r="C177" s="25" t="s">
        <v>596</v>
      </c>
      <c r="D177" s="25" t="s">
        <v>597</v>
      </c>
      <c r="E177" s="26" t="s">
        <v>45</v>
      </c>
      <c r="F177" s="27" t="s">
        <v>45</v>
      </c>
      <c r="G177" s="28" t="s">
        <v>45</v>
      </c>
      <c r="H177" s="29"/>
      <c r="I177" s="29" t="s">
        <v>567</v>
      </c>
      <c r="J177" s="30">
        <v>1</v>
      </c>
      <c r="K177" s="31">
        <f>8057</f>
        <v>8057</v>
      </c>
      <c r="L177" s="32" t="s">
        <v>995</v>
      </c>
      <c r="M177" s="31">
        <f>8222</f>
        <v>8222</v>
      </c>
      <c r="N177" s="32" t="s">
        <v>78</v>
      </c>
      <c r="O177" s="31">
        <f>7547</f>
        <v>7547</v>
      </c>
      <c r="P177" s="32" t="s">
        <v>1001</v>
      </c>
      <c r="Q177" s="31">
        <f>7813</f>
        <v>7813</v>
      </c>
      <c r="R177" s="32" t="s">
        <v>1017</v>
      </c>
      <c r="S177" s="33">
        <f>7907.45</f>
        <v>7907.45</v>
      </c>
      <c r="T177" s="30">
        <f>41347</f>
        <v>41347</v>
      </c>
      <c r="U177" s="30" t="str">
        <f t="shared" ref="U177:U187" si="6">"－"</f>
        <v>－</v>
      </c>
      <c r="V177" s="30">
        <f>325082786</f>
        <v>325082786</v>
      </c>
      <c r="W177" s="30" t="str">
        <f t="shared" ref="W177:W187" si="7">"－"</f>
        <v>－</v>
      </c>
      <c r="X177" s="34">
        <f>20</f>
        <v>20</v>
      </c>
    </row>
    <row r="178" spans="1:24" ht="13.5" customHeight="1" x14ac:dyDescent="0.15">
      <c r="A178" s="25" t="s">
        <v>1140</v>
      </c>
      <c r="B178" s="25" t="s">
        <v>598</v>
      </c>
      <c r="C178" s="25" t="s">
        <v>599</v>
      </c>
      <c r="D178" s="25" t="s">
        <v>600</v>
      </c>
      <c r="E178" s="26" t="s">
        <v>45</v>
      </c>
      <c r="F178" s="27" t="s">
        <v>45</v>
      </c>
      <c r="G178" s="28" t="s">
        <v>45</v>
      </c>
      <c r="H178" s="29"/>
      <c r="I178" s="29" t="s">
        <v>567</v>
      </c>
      <c r="J178" s="30">
        <v>1</v>
      </c>
      <c r="K178" s="31">
        <f>17750</f>
        <v>17750</v>
      </c>
      <c r="L178" s="32" t="s">
        <v>995</v>
      </c>
      <c r="M178" s="31">
        <f>18100</f>
        <v>18100</v>
      </c>
      <c r="N178" s="32" t="s">
        <v>785</v>
      </c>
      <c r="O178" s="31">
        <f>17550</f>
        <v>17550</v>
      </c>
      <c r="P178" s="32" t="s">
        <v>1001</v>
      </c>
      <c r="Q178" s="31">
        <f>18005</f>
        <v>18005</v>
      </c>
      <c r="R178" s="32" t="s">
        <v>1017</v>
      </c>
      <c r="S178" s="33">
        <f>17843.44</f>
        <v>17843.439999999999</v>
      </c>
      <c r="T178" s="30">
        <f>538</f>
        <v>538</v>
      </c>
      <c r="U178" s="30" t="str">
        <f t="shared" si="6"/>
        <v>－</v>
      </c>
      <c r="V178" s="30">
        <f>9577965</f>
        <v>9577965</v>
      </c>
      <c r="W178" s="30" t="str">
        <f t="shared" si="7"/>
        <v>－</v>
      </c>
      <c r="X178" s="34">
        <f>16</f>
        <v>16</v>
      </c>
    </row>
    <row r="179" spans="1:24" ht="13.5" customHeight="1" x14ac:dyDescent="0.15">
      <c r="A179" s="25" t="s">
        <v>1140</v>
      </c>
      <c r="B179" s="25" t="s">
        <v>601</v>
      </c>
      <c r="C179" s="25" t="s">
        <v>602</v>
      </c>
      <c r="D179" s="25" t="s">
        <v>603</v>
      </c>
      <c r="E179" s="26" t="s">
        <v>45</v>
      </c>
      <c r="F179" s="27" t="s">
        <v>45</v>
      </c>
      <c r="G179" s="28" t="s">
        <v>45</v>
      </c>
      <c r="H179" s="29"/>
      <c r="I179" s="29" t="s">
        <v>567</v>
      </c>
      <c r="J179" s="30">
        <v>1</v>
      </c>
      <c r="K179" s="31">
        <f>26130</f>
        <v>26130</v>
      </c>
      <c r="L179" s="32" t="s">
        <v>995</v>
      </c>
      <c r="M179" s="31">
        <f>26285</f>
        <v>26285</v>
      </c>
      <c r="N179" s="32" t="s">
        <v>784</v>
      </c>
      <c r="O179" s="31">
        <f>25145</f>
        <v>25145</v>
      </c>
      <c r="P179" s="32" t="s">
        <v>1001</v>
      </c>
      <c r="Q179" s="31">
        <f>25375</f>
        <v>25375</v>
      </c>
      <c r="R179" s="32" t="s">
        <v>1017</v>
      </c>
      <c r="S179" s="33">
        <f>25760.5</f>
        <v>25760.5</v>
      </c>
      <c r="T179" s="30">
        <f>24242</f>
        <v>24242</v>
      </c>
      <c r="U179" s="30" t="str">
        <f t="shared" si="6"/>
        <v>－</v>
      </c>
      <c r="V179" s="30">
        <f>618974230</f>
        <v>618974230</v>
      </c>
      <c r="W179" s="30" t="str">
        <f t="shared" si="7"/>
        <v>－</v>
      </c>
      <c r="X179" s="34">
        <f>20</f>
        <v>20</v>
      </c>
    </row>
    <row r="180" spans="1:24" ht="13.5" customHeight="1" x14ac:dyDescent="0.15">
      <c r="A180" s="25" t="s">
        <v>1140</v>
      </c>
      <c r="B180" s="25" t="s">
        <v>604</v>
      </c>
      <c r="C180" s="25" t="s">
        <v>605</v>
      </c>
      <c r="D180" s="25" t="s">
        <v>606</v>
      </c>
      <c r="E180" s="26" t="s">
        <v>45</v>
      </c>
      <c r="F180" s="27" t="s">
        <v>45</v>
      </c>
      <c r="G180" s="28" t="s">
        <v>45</v>
      </c>
      <c r="H180" s="29"/>
      <c r="I180" s="29" t="s">
        <v>567</v>
      </c>
      <c r="J180" s="30">
        <v>1</v>
      </c>
      <c r="K180" s="31">
        <f>15810</f>
        <v>15810</v>
      </c>
      <c r="L180" s="32" t="s">
        <v>995</v>
      </c>
      <c r="M180" s="31">
        <f>16255</f>
        <v>16255</v>
      </c>
      <c r="N180" s="32" t="s">
        <v>785</v>
      </c>
      <c r="O180" s="31">
        <f>15500</f>
        <v>15500</v>
      </c>
      <c r="P180" s="32" t="s">
        <v>997</v>
      </c>
      <c r="Q180" s="31">
        <f>15650</f>
        <v>15650</v>
      </c>
      <c r="R180" s="32" t="s">
        <v>1017</v>
      </c>
      <c r="S180" s="33">
        <f>15989.71</f>
        <v>15989.71</v>
      </c>
      <c r="T180" s="30">
        <f>145</f>
        <v>145</v>
      </c>
      <c r="U180" s="30" t="str">
        <f t="shared" si="6"/>
        <v>－</v>
      </c>
      <c r="V180" s="30">
        <f>2311640</f>
        <v>2311640</v>
      </c>
      <c r="W180" s="30" t="str">
        <f t="shared" si="7"/>
        <v>－</v>
      </c>
      <c r="X180" s="34">
        <f>17</f>
        <v>17</v>
      </c>
    </row>
    <row r="181" spans="1:24" ht="13.5" customHeight="1" x14ac:dyDescent="0.15">
      <c r="A181" s="25" t="s">
        <v>1140</v>
      </c>
      <c r="B181" s="25" t="s">
        <v>607</v>
      </c>
      <c r="C181" s="25" t="s">
        <v>608</v>
      </c>
      <c r="D181" s="25" t="s">
        <v>609</v>
      </c>
      <c r="E181" s="26" t="s">
        <v>45</v>
      </c>
      <c r="F181" s="27" t="s">
        <v>45</v>
      </c>
      <c r="G181" s="28" t="s">
        <v>45</v>
      </c>
      <c r="H181" s="29"/>
      <c r="I181" s="29" t="s">
        <v>567</v>
      </c>
      <c r="J181" s="30">
        <v>1</v>
      </c>
      <c r="K181" s="31">
        <f>22440</f>
        <v>22440</v>
      </c>
      <c r="L181" s="32" t="s">
        <v>995</v>
      </c>
      <c r="M181" s="31">
        <f>24730</f>
        <v>24730</v>
      </c>
      <c r="N181" s="32" t="s">
        <v>790</v>
      </c>
      <c r="O181" s="31">
        <f>22240</f>
        <v>22240</v>
      </c>
      <c r="P181" s="32" t="s">
        <v>995</v>
      </c>
      <c r="Q181" s="31">
        <f>23150</f>
        <v>23150</v>
      </c>
      <c r="R181" s="32" t="s">
        <v>1017</v>
      </c>
      <c r="S181" s="33">
        <f>23416</f>
        <v>23416</v>
      </c>
      <c r="T181" s="30">
        <f>54746</f>
        <v>54746</v>
      </c>
      <c r="U181" s="30" t="str">
        <f t="shared" si="6"/>
        <v>－</v>
      </c>
      <c r="V181" s="30">
        <f>1289763615</f>
        <v>1289763615</v>
      </c>
      <c r="W181" s="30" t="str">
        <f t="shared" si="7"/>
        <v>－</v>
      </c>
      <c r="X181" s="34">
        <f>20</f>
        <v>20</v>
      </c>
    </row>
    <row r="182" spans="1:24" ht="13.5" customHeight="1" x14ac:dyDescent="0.15">
      <c r="A182" s="25" t="s">
        <v>1140</v>
      </c>
      <c r="B182" s="25" t="s">
        <v>610</v>
      </c>
      <c r="C182" s="25" t="s">
        <v>611</v>
      </c>
      <c r="D182" s="25" t="s">
        <v>612</v>
      </c>
      <c r="E182" s="26" t="s">
        <v>45</v>
      </c>
      <c r="F182" s="27" t="s">
        <v>45</v>
      </c>
      <c r="G182" s="28" t="s">
        <v>45</v>
      </c>
      <c r="H182" s="29"/>
      <c r="I182" s="29" t="s">
        <v>567</v>
      </c>
      <c r="J182" s="30">
        <v>1</v>
      </c>
      <c r="K182" s="31">
        <f>4225</f>
        <v>4225</v>
      </c>
      <c r="L182" s="32" t="s">
        <v>995</v>
      </c>
      <c r="M182" s="31">
        <f>4305</f>
        <v>4305</v>
      </c>
      <c r="N182" s="32" t="s">
        <v>997</v>
      </c>
      <c r="O182" s="31">
        <f>4035</f>
        <v>4035</v>
      </c>
      <c r="P182" s="32" t="s">
        <v>790</v>
      </c>
      <c r="Q182" s="31">
        <f>4300</f>
        <v>4300</v>
      </c>
      <c r="R182" s="32" t="s">
        <v>1017</v>
      </c>
      <c r="S182" s="33">
        <f>4216.25</f>
        <v>4216.25</v>
      </c>
      <c r="T182" s="30">
        <f>10138</f>
        <v>10138</v>
      </c>
      <c r="U182" s="30" t="str">
        <f t="shared" si="6"/>
        <v>－</v>
      </c>
      <c r="V182" s="30">
        <f>42908370</f>
        <v>42908370</v>
      </c>
      <c r="W182" s="30" t="str">
        <f t="shared" si="7"/>
        <v>－</v>
      </c>
      <c r="X182" s="34">
        <f>20</f>
        <v>20</v>
      </c>
    </row>
    <row r="183" spans="1:24" ht="13.5" customHeight="1" x14ac:dyDescent="0.15">
      <c r="A183" s="25" t="s">
        <v>1140</v>
      </c>
      <c r="B183" s="25" t="s">
        <v>613</v>
      </c>
      <c r="C183" s="25" t="s">
        <v>614</v>
      </c>
      <c r="D183" s="25" t="s">
        <v>615</v>
      </c>
      <c r="E183" s="26" t="s">
        <v>45</v>
      </c>
      <c r="F183" s="27" t="s">
        <v>45</v>
      </c>
      <c r="G183" s="28" t="s">
        <v>45</v>
      </c>
      <c r="H183" s="29"/>
      <c r="I183" s="29" t="s">
        <v>567</v>
      </c>
      <c r="J183" s="30">
        <v>1</v>
      </c>
      <c r="K183" s="31">
        <f>22540</f>
        <v>22540</v>
      </c>
      <c r="L183" s="32" t="s">
        <v>995</v>
      </c>
      <c r="M183" s="31">
        <f>24735</f>
        <v>24735</v>
      </c>
      <c r="N183" s="32" t="s">
        <v>80</v>
      </c>
      <c r="O183" s="31">
        <f>22515</f>
        <v>22515</v>
      </c>
      <c r="P183" s="32" t="s">
        <v>995</v>
      </c>
      <c r="Q183" s="31">
        <f>23855</f>
        <v>23855</v>
      </c>
      <c r="R183" s="32" t="s">
        <v>1017</v>
      </c>
      <c r="S183" s="33">
        <f>23799</f>
        <v>23799</v>
      </c>
      <c r="T183" s="30">
        <f>1494</f>
        <v>1494</v>
      </c>
      <c r="U183" s="30" t="str">
        <f t="shared" si="6"/>
        <v>－</v>
      </c>
      <c r="V183" s="30">
        <f>35377530</f>
        <v>35377530</v>
      </c>
      <c r="W183" s="30" t="str">
        <f t="shared" si="7"/>
        <v>－</v>
      </c>
      <c r="X183" s="34">
        <f>20</f>
        <v>20</v>
      </c>
    </row>
    <row r="184" spans="1:24" ht="13.5" customHeight="1" x14ac:dyDescent="0.15">
      <c r="A184" s="25" t="s">
        <v>1140</v>
      </c>
      <c r="B184" s="25" t="s">
        <v>616</v>
      </c>
      <c r="C184" s="25" t="s">
        <v>617</v>
      </c>
      <c r="D184" s="25" t="s">
        <v>618</v>
      </c>
      <c r="E184" s="26" t="s">
        <v>45</v>
      </c>
      <c r="F184" s="27" t="s">
        <v>45</v>
      </c>
      <c r="G184" s="28" t="s">
        <v>45</v>
      </c>
      <c r="H184" s="29"/>
      <c r="I184" s="29" t="s">
        <v>567</v>
      </c>
      <c r="J184" s="30">
        <v>1</v>
      </c>
      <c r="K184" s="31">
        <f>16280</f>
        <v>16280</v>
      </c>
      <c r="L184" s="32" t="s">
        <v>785</v>
      </c>
      <c r="M184" s="31">
        <f>16495</f>
        <v>16495</v>
      </c>
      <c r="N184" s="32" t="s">
        <v>80</v>
      </c>
      <c r="O184" s="31">
        <f>16280</f>
        <v>16280</v>
      </c>
      <c r="P184" s="32" t="s">
        <v>785</v>
      </c>
      <c r="Q184" s="31">
        <f>16375</f>
        <v>16375</v>
      </c>
      <c r="R184" s="32" t="s">
        <v>997</v>
      </c>
      <c r="S184" s="33">
        <f>16365</f>
        <v>16365</v>
      </c>
      <c r="T184" s="30">
        <f>118</f>
        <v>118</v>
      </c>
      <c r="U184" s="30" t="str">
        <f t="shared" si="6"/>
        <v>－</v>
      </c>
      <c r="V184" s="30">
        <f>1940135</f>
        <v>1940135</v>
      </c>
      <c r="W184" s="30" t="str">
        <f t="shared" si="7"/>
        <v>－</v>
      </c>
      <c r="X184" s="34">
        <f>6</f>
        <v>6</v>
      </c>
    </row>
    <row r="185" spans="1:24" ht="13.5" customHeight="1" x14ac:dyDescent="0.15">
      <c r="A185" s="25" t="s">
        <v>1140</v>
      </c>
      <c r="B185" s="25" t="s">
        <v>619</v>
      </c>
      <c r="C185" s="25" t="s">
        <v>620</v>
      </c>
      <c r="D185" s="25" t="s">
        <v>621</v>
      </c>
      <c r="E185" s="26" t="s">
        <v>45</v>
      </c>
      <c r="F185" s="27" t="s">
        <v>45</v>
      </c>
      <c r="G185" s="28" t="s">
        <v>45</v>
      </c>
      <c r="H185" s="29"/>
      <c r="I185" s="29" t="s">
        <v>567</v>
      </c>
      <c r="J185" s="30">
        <v>1</v>
      </c>
      <c r="K185" s="31">
        <f>26380</f>
        <v>26380</v>
      </c>
      <c r="L185" s="32" t="s">
        <v>995</v>
      </c>
      <c r="M185" s="31">
        <f>28635</f>
        <v>28635</v>
      </c>
      <c r="N185" s="32" t="s">
        <v>80</v>
      </c>
      <c r="O185" s="31">
        <f>26380</f>
        <v>26380</v>
      </c>
      <c r="P185" s="32" t="s">
        <v>995</v>
      </c>
      <c r="Q185" s="31">
        <f>27775</f>
        <v>27775</v>
      </c>
      <c r="R185" s="32" t="s">
        <v>1017</v>
      </c>
      <c r="S185" s="33">
        <f>27673.16</f>
        <v>27673.16</v>
      </c>
      <c r="T185" s="30">
        <f>1741</f>
        <v>1741</v>
      </c>
      <c r="U185" s="30" t="str">
        <f t="shared" si="6"/>
        <v>－</v>
      </c>
      <c r="V185" s="30">
        <f>48441785</f>
        <v>48441785</v>
      </c>
      <c r="W185" s="30" t="str">
        <f t="shared" si="7"/>
        <v>－</v>
      </c>
      <c r="X185" s="34">
        <f>19</f>
        <v>19</v>
      </c>
    </row>
    <row r="186" spans="1:24" ht="13.5" customHeight="1" x14ac:dyDescent="0.15">
      <c r="A186" s="25" t="s">
        <v>1140</v>
      </c>
      <c r="B186" s="25" t="s">
        <v>622</v>
      </c>
      <c r="C186" s="25" t="s">
        <v>623</v>
      </c>
      <c r="D186" s="25" t="s">
        <v>624</v>
      </c>
      <c r="E186" s="26" t="s">
        <v>45</v>
      </c>
      <c r="F186" s="27" t="s">
        <v>45</v>
      </c>
      <c r="G186" s="28" t="s">
        <v>45</v>
      </c>
      <c r="H186" s="29"/>
      <c r="I186" s="29" t="s">
        <v>567</v>
      </c>
      <c r="J186" s="30">
        <v>1</v>
      </c>
      <c r="K186" s="31">
        <f>18915</f>
        <v>18915</v>
      </c>
      <c r="L186" s="32" t="s">
        <v>785</v>
      </c>
      <c r="M186" s="31">
        <f>18990</f>
        <v>18990</v>
      </c>
      <c r="N186" s="32" t="s">
        <v>784</v>
      </c>
      <c r="O186" s="31">
        <f>18705</f>
        <v>18705</v>
      </c>
      <c r="P186" s="32" t="s">
        <v>56</v>
      </c>
      <c r="Q186" s="31">
        <f>18860</f>
        <v>18860</v>
      </c>
      <c r="R186" s="32" t="s">
        <v>997</v>
      </c>
      <c r="S186" s="33">
        <f>18875</f>
        <v>18875</v>
      </c>
      <c r="T186" s="30">
        <f>53</f>
        <v>53</v>
      </c>
      <c r="U186" s="30" t="str">
        <f t="shared" si="6"/>
        <v>－</v>
      </c>
      <c r="V186" s="30">
        <f>995200</f>
        <v>995200</v>
      </c>
      <c r="W186" s="30" t="str">
        <f t="shared" si="7"/>
        <v>－</v>
      </c>
      <c r="X186" s="34">
        <f>4</f>
        <v>4</v>
      </c>
    </row>
    <row r="187" spans="1:24" ht="13.5" customHeight="1" x14ac:dyDescent="0.15">
      <c r="A187" s="25" t="s">
        <v>1140</v>
      </c>
      <c r="B187" s="25" t="s">
        <v>625</v>
      </c>
      <c r="C187" s="25" t="s">
        <v>626</v>
      </c>
      <c r="D187" s="25" t="s">
        <v>627</v>
      </c>
      <c r="E187" s="26" t="s">
        <v>45</v>
      </c>
      <c r="F187" s="27" t="s">
        <v>45</v>
      </c>
      <c r="G187" s="28" t="s">
        <v>45</v>
      </c>
      <c r="H187" s="29"/>
      <c r="I187" s="29" t="s">
        <v>567</v>
      </c>
      <c r="J187" s="30">
        <v>1</v>
      </c>
      <c r="K187" s="31">
        <f>16385</f>
        <v>16385</v>
      </c>
      <c r="L187" s="32" t="s">
        <v>995</v>
      </c>
      <c r="M187" s="31">
        <f>17400</f>
        <v>17400</v>
      </c>
      <c r="N187" s="32" t="s">
        <v>80</v>
      </c>
      <c r="O187" s="31">
        <f>16385</f>
        <v>16385</v>
      </c>
      <c r="P187" s="32" t="s">
        <v>995</v>
      </c>
      <c r="Q187" s="31">
        <f>17085</f>
        <v>17085</v>
      </c>
      <c r="R187" s="32" t="s">
        <v>786</v>
      </c>
      <c r="S187" s="33">
        <f>17000.33</f>
        <v>17000.330000000002</v>
      </c>
      <c r="T187" s="30">
        <f>6547</f>
        <v>6547</v>
      </c>
      <c r="U187" s="30" t="str">
        <f t="shared" si="6"/>
        <v>－</v>
      </c>
      <c r="V187" s="30">
        <f>111761030</f>
        <v>111761030</v>
      </c>
      <c r="W187" s="30" t="str">
        <f t="shared" si="7"/>
        <v>－</v>
      </c>
      <c r="X187" s="34">
        <f>15</f>
        <v>15</v>
      </c>
    </row>
    <row r="188" spans="1:24" ht="13.5" customHeight="1" x14ac:dyDescent="0.15">
      <c r="A188" s="25" t="s">
        <v>1140</v>
      </c>
      <c r="B188" s="25" t="s">
        <v>628</v>
      </c>
      <c r="C188" s="25" t="s">
        <v>629</v>
      </c>
      <c r="D188" s="25" t="s">
        <v>630</v>
      </c>
      <c r="E188" s="26" t="s">
        <v>45</v>
      </c>
      <c r="F188" s="27" t="s">
        <v>45</v>
      </c>
      <c r="G188" s="28" t="s">
        <v>45</v>
      </c>
      <c r="H188" s="29"/>
      <c r="I188" s="29" t="s">
        <v>567</v>
      </c>
      <c r="J188" s="30">
        <v>1</v>
      </c>
      <c r="K188" s="31">
        <f>19140</f>
        <v>19140</v>
      </c>
      <c r="L188" s="32" t="s">
        <v>995</v>
      </c>
      <c r="M188" s="31">
        <f>20265</f>
        <v>20265</v>
      </c>
      <c r="N188" s="32" t="s">
        <v>1002</v>
      </c>
      <c r="O188" s="31">
        <f>19140</f>
        <v>19140</v>
      </c>
      <c r="P188" s="32" t="s">
        <v>995</v>
      </c>
      <c r="Q188" s="31">
        <f>19145</f>
        <v>19145</v>
      </c>
      <c r="R188" s="32" t="s">
        <v>1017</v>
      </c>
      <c r="S188" s="33">
        <f>19677.19</f>
        <v>19677.189999999999</v>
      </c>
      <c r="T188" s="30">
        <f>282</f>
        <v>282</v>
      </c>
      <c r="U188" s="30">
        <f>1</f>
        <v>1</v>
      </c>
      <c r="V188" s="30">
        <f>5567765</f>
        <v>5567765</v>
      </c>
      <c r="W188" s="30">
        <f>19805</f>
        <v>19805</v>
      </c>
      <c r="X188" s="34">
        <f>16</f>
        <v>16</v>
      </c>
    </row>
    <row r="189" spans="1:24" ht="13.5" customHeight="1" x14ac:dyDescent="0.15">
      <c r="A189" s="25" t="s">
        <v>1140</v>
      </c>
      <c r="B189" s="25" t="s">
        <v>631</v>
      </c>
      <c r="C189" s="25" t="s">
        <v>632</v>
      </c>
      <c r="D189" s="25" t="s">
        <v>633</v>
      </c>
      <c r="E189" s="26" t="s">
        <v>45</v>
      </c>
      <c r="F189" s="27" t="s">
        <v>45</v>
      </c>
      <c r="G189" s="28" t="s">
        <v>45</v>
      </c>
      <c r="H189" s="29"/>
      <c r="I189" s="29" t="s">
        <v>567</v>
      </c>
      <c r="J189" s="30">
        <v>1</v>
      </c>
      <c r="K189" s="31">
        <f>15810</f>
        <v>15810</v>
      </c>
      <c r="L189" s="32" t="s">
        <v>995</v>
      </c>
      <c r="M189" s="31">
        <f>16000</f>
        <v>16000</v>
      </c>
      <c r="N189" s="32" t="s">
        <v>78</v>
      </c>
      <c r="O189" s="31">
        <f>15810</f>
        <v>15810</v>
      </c>
      <c r="P189" s="32" t="s">
        <v>995</v>
      </c>
      <c r="Q189" s="31">
        <f>15960</f>
        <v>15960</v>
      </c>
      <c r="R189" s="32" t="s">
        <v>1003</v>
      </c>
      <c r="S189" s="33">
        <f>15907.5</f>
        <v>15907.5</v>
      </c>
      <c r="T189" s="30">
        <f>36</f>
        <v>36</v>
      </c>
      <c r="U189" s="30" t="str">
        <f>"－"</f>
        <v>－</v>
      </c>
      <c r="V189" s="30">
        <f>572670</f>
        <v>572670</v>
      </c>
      <c r="W189" s="30" t="str">
        <f>"－"</f>
        <v>－</v>
      </c>
      <c r="X189" s="34">
        <f>4</f>
        <v>4</v>
      </c>
    </row>
    <row r="190" spans="1:24" ht="13.5" customHeight="1" x14ac:dyDescent="0.15">
      <c r="A190" s="25" t="s">
        <v>1140</v>
      </c>
      <c r="B190" s="25" t="s">
        <v>634</v>
      </c>
      <c r="C190" s="25" t="s">
        <v>635</v>
      </c>
      <c r="D190" s="25" t="s">
        <v>636</v>
      </c>
      <c r="E190" s="26" t="s">
        <v>45</v>
      </c>
      <c r="F190" s="27" t="s">
        <v>45</v>
      </c>
      <c r="G190" s="28" t="s">
        <v>45</v>
      </c>
      <c r="H190" s="29"/>
      <c r="I190" s="29" t="s">
        <v>567</v>
      </c>
      <c r="J190" s="30">
        <v>1</v>
      </c>
      <c r="K190" s="31">
        <f>10750</f>
        <v>10750</v>
      </c>
      <c r="L190" s="32" t="s">
        <v>785</v>
      </c>
      <c r="M190" s="31">
        <f>10990</f>
        <v>10990</v>
      </c>
      <c r="N190" s="32" t="s">
        <v>1002</v>
      </c>
      <c r="O190" s="31">
        <f>10620</f>
        <v>10620</v>
      </c>
      <c r="P190" s="32" t="s">
        <v>1001</v>
      </c>
      <c r="Q190" s="31">
        <f>10735</f>
        <v>10735</v>
      </c>
      <c r="R190" s="32" t="s">
        <v>997</v>
      </c>
      <c r="S190" s="33">
        <f>10827.5</f>
        <v>10827.5</v>
      </c>
      <c r="T190" s="30">
        <f>11427</f>
        <v>11427</v>
      </c>
      <c r="U190" s="30" t="str">
        <f>"－"</f>
        <v>－</v>
      </c>
      <c r="V190" s="30">
        <f>123243010</f>
        <v>123243010</v>
      </c>
      <c r="W190" s="30" t="str">
        <f>"－"</f>
        <v>－</v>
      </c>
      <c r="X190" s="34">
        <f>16</f>
        <v>16</v>
      </c>
    </row>
    <row r="191" spans="1:24" ht="13.5" customHeight="1" x14ac:dyDescent="0.15">
      <c r="A191" s="25" t="s">
        <v>1140</v>
      </c>
      <c r="B191" s="25" t="s">
        <v>637</v>
      </c>
      <c r="C191" s="25" t="s">
        <v>638</v>
      </c>
      <c r="D191" s="25" t="s">
        <v>639</v>
      </c>
      <c r="E191" s="26" t="s">
        <v>45</v>
      </c>
      <c r="F191" s="27" t="s">
        <v>45</v>
      </c>
      <c r="G191" s="28" t="s">
        <v>45</v>
      </c>
      <c r="H191" s="29"/>
      <c r="I191" s="29" t="s">
        <v>567</v>
      </c>
      <c r="J191" s="30">
        <v>1</v>
      </c>
      <c r="K191" s="31">
        <f>11655</f>
        <v>11655</v>
      </c>
      <c r="L191" s="32" t="s">
        <v>995</v>
      </c>
      <c r="M191" s="31">
        <f>11965</f>
        <v>11965</v>
      </c>
      <c r="N191" s="32" t="s">
        <v>78</v>
      </c>
      <c r="O191" s="31">
        <f>11400</f>
        <v>11400</v>
      </c>
      <c r="P191" s="32" t="s">
        <v>998</v>
      </c>
      <c r="Q191" s="31">
        <f>11425</f>
        <v>11425</v>
      </c>
      <c r="R191" s="32" t="s">
        <v>1017</v>
      </c>
      <c r="S191" s="33">
        <f>11651.25</f>
        <v>11651.25</v>
      </c>
      <c r="T191" s="30">
        <f>38726</f>
        <v>38726</v>
      </c>
      <c r="U191" s="30" t="str">
        <f>"－"</f>
        <v>－</v>
      </c>
      <c r="V191" s="30">
        <f>451310515</f>
        <v>451310515</v>
      </c>
      <c r="W191" s="30" t="str">
        <f>"－"</f>
        <v>－</v>
      </c>
      <c r="X191" s="34">
        <f>20</f>
        <v>20</v>
      </c>
    </row>
    <row r="192" spans="1:24" ht="13.5" customHeight="1" x14ac:dyDescent="0.15">
      <c r="A192" s="25" t="s">
        <v>1140</v>
      </c>
      <c r="B192" s="25" t="s">
        <v>640</v>
      </c>
      <c r="C192" s="25" t="s">
        <v>641</v>
      </c>
      <c r="D192" s="25" t="s">
        <v>642</v>
      </c>
      <c r="E192" s="26" t="s">
        <v>45</v>
      </c>
      <c r="F192" s="27" t="s">
        <v>45</v>
      </c>
      <c r="G192" s="28" t="s">
        <v>45</v>
      </c>
      <c r="H192" s="29"/>
      <c r="I192" s="29" t="s">
        <v>567</v>
      </c>
      <c r="J192" s="30">
        <v>1</v>
      </c>
      <c r="K192" s="31">
        <f>11265</f>
        <v>11265</v>
      </c>
      <c r="L192" s="32" t="s">
        <v>995</v>
      </c>
      <c r="M192" s="31">
        <f>11560</f>
        <v>11560</v>
      </c>
      <c r="N192" s="32" t="s">
        <v>1002</v>
      </c>
      <c r="O192" s="31">
        <f>11195</f>
        <v>11195</v>
      </c>
      <c r="P192" s="32" t="s">
        <v>1001</v>
      </c>
      <c r="Q192" s="31">
        <f>11310</f>
        <v>11310</v>
      </c>
      <c r="R192" s="32" t="s">
        <v>1017</v>
      </c>
      <c r="S192" s="33">
        <f>11360.94</f>
        <v>11360.94</v>
      </c>
      <c r="T192" s="30">
        <f>13837</f>
        <v>13837</v>
      </c>
      <c r="U192" s="30" t="str">
        <f>"－"</f>
        <v>－</v>
      </c>
      <c r="V192" s="30">
        <f>157099260</f>
        <v>157099260</v>
      </c>
      <c r="W192" s="30" t="str">
        <f>"－"</f>
        <v>－</v>
      </c>
      <c r="X192" s="34">
        <f>16</f>
        <v>16</v>
      </c>
    </row>
    <row r="193" spans="1:24" ht="13.5" customHeight="1" x14ac:dyDescent="0.15">
      <c r="A193" s="25" t="s">
        <v>1140</v>
      </c>
      <c r="B193" s="25" t="s">
        <v>899</v>
      </c>
      <c r="C193" s="25" t="s">
        <v>900</v>
      </c>
      <c r="D193" s="25" t="s">
        <v>901</v>
      </c>
      <c r="E193" s="26" t="s">
        <v>45</v>
      </c>
      <c r="F193" s="27" t="s">
        <v>45</v>
      </c>
      <c r="G193" s="28" t="s">
        <v>45</v>
      </c>
      <c r="H193" s="29"/>
      <c r="I193" s="29" t="s">
        <v>567</v>
      </c>
      <c r="J193" s="30">
        <v>1</v>
      </c>
      <c r="K193" s="31">
        <f>11305</f>
        <v>11305</v>
      </c>
      <c r="L193" s="32" t="s">
        <v>995</v>
      </c>
      <c r="M193" s="31">
        <f>11350</f>
        <v>11350</v>
      </c>
      <c r="N193" s="32" t="s">
        <v>785</v>
      </c>
      <c r="O193" s="31">
        <f>10930</f>
        <v>10930</v>
      </c>
      <c r="P193" s="32" t="s">
        <v>789</v>
      </c>
      <c r="Q193" s="31">
        <f>10930</f>
        <v>10930</v>
      </c>
      <c r="R193" s="32" t="s">
        <v>789</v>
      </c>
      <c r="S193" s="33">
        <f>11195</f>
        <v>11195</v>
      </c>
      <c r="T193" s="30">
        <f>3</f>
        <v>3</v>
      </c>
      <c r="U193" s="30" t="str">
        <f>"－"</f>
        <v>－</v>
      </c>
      <c r="V193" s="30">
        <f>33585</f>
        <v>33585</v>
      </c>
      <c r="W193" s="30" t="str">
        <f>"－"</f>
        <v>－</v>
      </c>
      <c r="X193" s="34">
        <f>3</f>
        <v>3</v>
      </c>
    </row>
    <row r="194" spans="1:24" ht="13.5" customHeight="1" x14ac:dyDescent="0.15">
      <c r="A194" s="25" t="s">
        <v>1140</v>
      </c>
      <c r="B194" s="25" t="s">
        <v>1141</v>
      </c>
      <c r="C194" s="25" t="s">
        <v>1142</v>
      </c>
      <c r="D194" s="25" t="s">
        <v>1143</v>
      </c>
      <c r="E194" s="26" t="s">
        <v>782</v>
      </c>
      <c r="F194" s="27" t="s">
        <v>783</v>
      </c>
      <c r="G194" s="28" t="s">
        <v>1144</v>
      </c>
      <c r="H194" s="29"/>
      <c r="I194" s="29" t="s">
        <v>46</v>
      </c>
      <c r="J194" s="30">
        <v>1</v>
      </c>
      <c r="K194" s="31">
        <f>1004</f>
        <v>1004</v>
      </c>
      <c r="L194" s="32" t="s">
        <v>1003</v>
      </c>
      <c r="M194" s="31">
        <f>1061</f>
        <v>1061</v>
      </c>
      <c r="N194" s="32" t="s">
        <v>80</v>
      </c>
      <c r="O194" s="31">
        <f>989</f>
        <v>989</v>
      </c>
      <c r="P194" s="32" t="s">
        <v>1000</v>
      </c>
      <c r="Q194" s="31">
        <f>1014</f>
        <v>1014</v>
      </c>
      <c r="R194" s="32" t="s">
        <v>1017</v>
      </c>
      <c r="S194" s="33">
        <f>1025.69</f>
        <v>1025.69</v>
      </c>
      <c r="T194" s="30">
        <f>31854240</f>
        <v>31854240</v>
      </c>
      <c r="U194" s="30">
        <f>341999</f>
        <v>341999</v>
      </c>
      <c r="V194" s="30">
        <f>32827659880</f>
        <v>32827659880</v>
      </c>
      <c r="W194" s="30">
        <f>345162569</f>
        <v>345162569</v>
      </c>
      <c r="X194" s="34">
        <f>16</f>
        <v>16</v>
      </c>
    </row>
    <row r="195" spans="1:24" ht="13.5" customHeight="1" x14ac:dyDescent="0.15">
      <c r="A195" s="25" t="s">
        <v>1140</v>
      </c>
      <c r="B195" s="25" t="s">
        <v>1145</v>
      </c>
      <c r="C195" s="25" t="s">
        <v>1146</v>
      </c>
      <c r="D195" s="25" t="s">
        <v>1147</v>
      </c>
      <c r="E195" s="26" t="s">
        <v>782</v>
      </c>
      <c r="F195" s="27" t="s">
        <v>783</v>
      </c>
      <c r="G195" s="28" t="s">
        <v>1144</v>
      </c>
      <c r="H195" s="29"/>
      <c r="I195" s="29" t="s">
        <v>46</v>
      </c>
      <c r="J195" s="30">
        <v>1</v>
      </c>
      <c r="K195" s="31">
        <f>1003</f>
        <v>1003</v>
      </c>
      <c r="L195" s="32" t="s">
        <v>1003</v>
      </c>
      <c r="M195" s="31">
        <f>1061</f>
        <v>1061</v>
      </c>
      <c r="N195" s="32" t="s">
        <v>1002</v>
      </c>
      <c r="O195" s="31">
        <f>986</f>
        <v>986</v>
      </c>
      <c r="P195" s="32" t="s">
        <v>1000</v>
      </c>
      <c r="Q195" s="31">
        <f>995</f>
        <v>995</v>
      </c>
      <c r="R195" s="32" t="s">
        <v>1017</v>
      </c>
      <c r="S195" s="33">
        <f>1009.81</f>
        <v>1009.81</v>
      </c>
      <c r="T195" s="30">
        <f>534819</f>
        <v>534819</v>
      </c>
      <c r="U195" s="30" t="str">
        <f>"－"</f>
        <v>－</v>
      </c>
      <c r="V195" s="30">
        <f>539128549</f>
        <v>539128549</v>
      </c>
      <c r="W195" s="30" t="str">
        <f>"－"</f>
        <v>－</v>
      </c>
      <c r="X195" s="34">
        <f>16</f>
        <v>16</v>
      </c>
    </row>
    <row r="196" spans="1:24" ht="13.5" customHeight="1" x14ac:dyDescent="0.15">
      <c r="A196" s="25" t="s">
        <v>1140</v>
      </c>
      <c r="B196" s="25" t="s">
        <v>1148</v>
      </c>
      <c r="C196" s="25" t="s">
        <v>1149</v>
      </c>
      <c r="D196" s="25" t="s">
        <v>1150</v>
      </c>
      <c r="E196" s="26" t="s">
        <v>782</v>
      </c>
      <c r="F196" s="27" t="s">
        <v>783</v>
      </c>
      <c r="G196" s="28" t="s">
        <v>1144</v>
      </c>
      <c r="H196" s="29"/>
      <c r="I196" s="29" t="s">
        <v>46</v>
      </c>
      <c r="J196" s="30">
        <v>1</v>
      </c>
      <c r="K196" s="31">
        <f>1000</f>
        <v>1000</v>
      </c>
      <c r="L196" s="32" t="s">
        <v>1003</v>
      </c>
      <c r="M196" s="31">
        <f>1008</f>
        <v>1008</v>
      </c>
      <c r="N196" s="32" t="s">
        <v>1003</v>
      </c>
      <c r="O196" s="31">
        <f>938</f>
        <v>938</v>
      </c>
      <c r="P196" s="32" t="s">
        <v>1001</v>
      </c>
      <c r="Q196" s="31">
        <f>950</f>
        <v>950</v>
      </c>
      <c r="R196" s="32" t="s">
        <v>1017</v>
      </c>
      <c r="S196" s="33">
        <f>967.13</f>
        <v>967.13</v>
      </c>
      <c r="T196" s="30">
        <f>440911</f>
        <v>440911</v>
      </c>
      <c r="U196" s="30" t="str">
        <f>"－"</f>
        <v>－</v>
      </c>
      <c r="V196" s="30">
        <f>430871156</f>
        <v>430871156</v>
      </c>
      <c r="W196" s="30" t="str">
        <f>"－"</f>
        <v>－</v>
      </c>
      <c r="X196" s="34">
        <f>16</f>
        <v>16</v>
      </c>
    </row>
    <row r="197" spans="1:24" ht="13.5" customHeight="1" x14ac:dyDescent="0.15">
      <c r="A197" s="25" t="s">
        <v>1140</v>
      </c>
      <c r="B197" s="25" t="s">
        <v>1151</v>
      </c>
      <c r="C197" s="25" t="s">
        <v>1152</v>
      </c>
      <c r="D197" s="25" t="s">
        <v>1153</v>
      </c>
      <c r="E197" s="26" t="s">
        <v>782</v>
      </c>
      <c r="F197" s="27" t="s">
        <v>783</v>
      </c>
      <c r="G197" s="28" t="s">
        <v>1144</v>
      </c>
      <c r="H197" s="29"/>
      <c r="I197" s="29" t="s">
        <v>46</v>
      </c>
      <c r="J197" s="30">
        <v>1</v>
      </c>
      <c r="K197" s="31">
        <f>2000</f>
        <v>2000</v>
      </c>
      <c r="L197" s="32" t="s">
        <v>1003</v>
      </c>
      <c r="M197" s="31">
        <f>2002</f>
        <v>2002</v>
      </c>
      <c r="N197" s="32" t="s">
        <v>1003</v>
      </c>
      <c r="O197" s="31">
        <f>1872</f>
        <v>1872</v>
      </c>
      <c r="P197" s="32" t="s">
        <v>255</v>
      </c>
      <c r="Q197" s="31">
        <f>1903</f>
        <v>1903</v>
      </c>
      <c r="R197" s="32" t="s">
        <v>1017</v>
      </c>
      <c r="S197" s="33">
        <f>1936.56</f>
        <v>1936.56</v>
      </c>
      <c r="T197" s="30">
        <f>1090819</f>
        <v>1090819</v>
      </c>
      <c r="U197" s="30" t="str">
        <f>"－"</f>
        <v>－</v>
      </c>
      <c r="V197" s="30">
        <f>2121294546</f>
        <v>2121294546</v>
      </c>
      <c r="W197" s="30" t="str">
        <f>"－"</f>
        <v>－</v>
      </c>
      <c r="X197" s="34">
        <f>16</f>
        <v>16</v>
      </c>
    </row>
    <row r="198" spans="1:24" ht="13.5" customHeight="1" x14ac:dyDescent="0.15">
      <c r="A198" s="25" t="s">
        <v>1140</v>
      </c>
      <c r="B198" s="25" t="s">
        <v>1154</v>
      </c>
      <c r="C198" s="25" t="s">
        <v>1155</v>
      </c>
      <c r="D198" s="25" t="s">
        <v>1156</v>
      </c>
      <c r="E198" s="26" t="s">
        <v>782</v>
      </c>
      <c r="F198" s="27" t="s">
        <v>783</v>
      </c>
      <c r="G198" s="28" t="s">
        <v>1144</v>
      </c>
      <c r="H198" s="29"/>
      <c r="I198" s="29" t="s">
        <v>46</v>
      </c>
      <c r="J198" s="30">
        <v>1</v>
      </c>
      <c r="K198" s="31">
        <f>1999</f>
        <v>1999</v>
      </c>
      <c r="L198" s="32" t="s">
        <v>1003</v>
      </c>
      <c r="M198" s="31">
        <f>2090</f>
        <v>2090</v>
      </c>
      <c r="N198" s="32" t="s">
        <v>80</v>
      </c>
      <c r="O198" s="31">
        <f>1973</f>
        <v>1973</v>
      </c>
      <c r="P198" s="32" t="s">
        <v>1000</v>
      </c>
      <c r="Q198" s="31">
        <f>2002</f>
        <v>2002</v>
      </c>
      <c r="R198" s="32" t="s">
        <v>1017</v>
      </c>
      <c r="S198" s="33">
        <f>2023.94</f>
        <v>2023.94</v>
      </c>
      <c r="T198" s="30">
        <f>3127720</f>
        <v>3127720</v>
      </c>
      <c r="U198" s="30">
        <f>281599</f>
        <v>281599</v>
      </c>
      <c r="V198" s="30">
        <f>6328000349</f>
        <v>6328000349</v>
      </c>
      <c r="W198" s="30">
        <f>572817127</f>
        <v>572817127</v>
      </c>
      <c r="X198" s="34">
        <f>16</f>
        <v>16</v>
      </c>
    </row>
    <row r="199" spans="1:24" ht="13.5" customHeight="1" x14ac:dyDescent="0.15">
      <c r="A199" s="25" t="s">
        <v>1140</v>
      </c>
      <c r="B199" s="25" t="s">
        <v>1157</v>
      </c>
      <c r="C199" s="25" t="s">
        <v>1158</v>
      </c>
      <c r="D199" s="25" t="s">
        <v>1159</v>
      </c>
      <c r="E199" s="26" t="s">
        <v>782</v>
      </c>
      <c r="F199" s="27" t="s">
        <v>783</v>
      </c>
      <c r="G199" s="28" t="s">
        <v>1144</v>
      </c>
      <c r="H199" s="29"/>
      <c r="I199" s="29" t="s">
        <v>46</v>
      </c>
      <c r="J199" s="30">
        <v>10</v>
      </c>
      <c r="K199" s="31">
        <f>500.1</f>
        <v>500.1</v>
      </c>
      <c r="L199" s="32" t="s">
        <v>1003</v>
      </c>
      <c r="M199" s="31">
        <f>530</f>
        <v>530</v>
      </c>
      <c r="N199" s="32" t="s">
        <v>80</v>
      </c>
      <c r="O199" s="31">
        <f>495.2</f>
        <v>495.2</v>
      </c>
      <c r="P199" s="32" t="s">
        <v>1000</v>
      </c>
      <c r="Q199" s="31">
        <f>503.5</f>
        <v>503.5</v>
      </c>
      <c r="R199" s="32" t="s">
        <v>1017</v>
      </c>
      <c r="S199" s="33">
        <f>510.1</f>
        <v>510.1</v>
      </c>
      <c r="T199" s="30">
        <f>11857770</f>
        <v>11857770</v>
      </c>
      <c r="U199" s="30">
        <f>649400</f>
        <v>649400</v>
      </c>
      <c r="V199" s="30">
        <f>6044731487</f>
        <v>6044731487</v>
      </c>
      <c r="W199" s="30">
        <f>325914700</f>
        <v>325914700</v>
      </c>
      <c r="X199" s="34">
        <f>16</f>
        <v>16</v>
      </c>
    </row>
    <row r="200" spans="1:24" ht="13.5" customHeight="1" x14ac:dyDescent="0.15">
      <c r="A200" s="25" t="s">
        <v>1140</v>
      </c>
      <c r="B200" s="25" t="s">
        <v>1160</v>
      </c>
      <c r="C200" s="25" t="s">
        <v>1161</v>
      </c>
      <c r="D200" s="25" t="s">
        <v>1162</v>
      </c>
      <c r="E200" s="26" t="s">
        <v>782</v>
      </c>
      <c r="F200" s="27" t="s">
        <v>783</v>
      </c>
      <c r="G200" s="28" t="s">
        <v>1163</v>
      </c>
      <c r="H200" s="29"/>
      <c r="I200" s="29" t="s">
        <v>46</v>
      </c>
      <c r="J200" s="30">
        <v>10</v>
      </c>
      <c r="K200" s="31">
        <f>2005</f>
        <v>2005</v>
      </c>
      <c r="L200" s="32" t="s">
        <v>1001</v>
      </c>
      <c r="M200" s="31">
        <f>2071</f>
        <v>2071</v>
      </c>
      <c r="N200" s="32" t="s">
        <v>789</v>
      </c>
      <c r="O200" s="31">
        <f>1944</f>
        <v>1944</v>
      </c>
      <c r="P200" s="32" t="s">
        <v>255</v>
      </c>
      <c r="Q200" s="31">
        <f>1950</f>
        <v>1950</v>
      </c>
      <c r="R200" s="32" t="s">
        <v>1017</v>
      </c>
      <c r="S200" s="33">
        <f>1959.58</f>
        <v>1959.58</v>
      </c>
      <c r="T200" s="30">
        <f>510</f>
        <v>510</v>
      </c>
      <c r="U200" s="30" t="str">
        <f t="shared" ref="U200:U207" si="8">"－"</f>
        <v>－</v>
      </c>
      <c r="V200" s="30">
        <f>1015370</f>
        <v>1015370</v>
      </c>
      <c r="W200" s="30" t="str">
        <f t="shared" ref="W200:W207" si="9">"－"</f>
        <v>－</v>
      </c>
      <c r="X200" s="34">
        <f>6</f>
        <v>6</v>
      </c>
    </row>
    <row r="201" spans="1:24" ht="13.5" customHeight="1" x14ac:dyDescent="0.15">
      <c r="A201" s="25" t="s">
        <v>1140</v>
      </c>
      <c r="B201" s="25" t="s">
        <v>1164</v>
      </c>
      <c r="C201" s="25" t="s">
        <v>1165</v>
      </c>
      <c r="D201" s="25" t="s">
        <v>1166</v>
      </c>
      <c r="E201" s="26" t="s">
        <v>782</v>
      </c>
      <c r="F201" s="27" t="s">
        <v>783</v>
      </c>
      <c r="G201" s="28" t="s">
        <v>1163</v>
      </c>
      <c r="H201" s="29"/>
      <c r="I201" s="29" t="s">
        <v>46</v>
      </c>
      <c r="J201" s="30">
        <v>10</v>
      </c>
      <c r="K201" s="31">
        <f>2005</f>
        <v>2005</v>
      </c>
      <c r="L201" s="32" t="s">
        <v>1001</v>
      </c>
      <c r="M201" s="31">
        <f>2068.5</f>
        <v>2068.5</v>
      </c>
      <c r="N201" s="32" t="s">
        <v>789</v>
      </c>
      <c r="O201" s="31">
        <f>1946</f>
        <v>1946</v>
      </c>
      <c r="P201" s="32" t="s">
        <v>255</v>
      </c>
      <c r="Q201" s="31">
        <f>1963</f>
        <v>1963</v>
      </c>
      <c r="R201" s="32" t="s">
        <v>1017</v>
      </c>
      <c r="S201" s="33">
        <f>1964.9</f>
        <v>1964.9</v>
      </c>
      <c r="T201" s="30">
        <f>1700</f>
        <v>1700</v>
      </c>
      <c r="U201" s="30" t="str">
        <f t="shared" si="8"/>
        <v>－</v>
      </c>
      <c r="V201" s="30">
        <f>3354280</f>
        <v>3354280</v>
      </c>
      <c r="W201" s="30" t="str">
        <f t="shared" si="9"/>
        <v>－</v>
      </c>
      <c r="X201" s="34">
        <f>5</f>
        <v>5</v>
      </c>
    </row>
    <row r="202" spans="1:24" ht="13.5" customHeight="1" x14ac:dyDescent="0.15">
      <c r="A202" s="25" t="s">
        <v>1140</v>
      </c>
      <c r="B202" s="25" t="s">
        <v>1167</v>
      </c>
      <c r="C202" s="25" t="s">
        <v>1168</v>
      </c>
      <c r="D202" s="25" t="s">
        <v>1169</v>
      </c>
      <c r="E202" s="26" t="s">
        <v>782</v>
      </c>
      <c r="F202" s="27" t="s">
        <v>783</v>
      </c>
      <c r="G202" s="28" t="s">
        <v>1163</v>
      </c>
      <c r="H202" s="29"/>
      <c r="I202" s="29" t="s">
        <v>46</v>
      </c>
      <c r="J202" s="30">
        <v>10</v>
      </c>
      <c r="K202" s="31">
        <f>2000</f>
        <v>2000</v>
      </c>
      <c r="L202" s="32" t="s">
        <v>1001</v>
      </c>
      <c r="M202" s="31">
        <f>2081.5</f>
        <v>2081.5</v>
      </c>
      <c r="N202" s="32" t="s">
        <v>789</v>
      </c>
      <c r="O202" s="31">
        <f>1950</f>
        <v>1950</v>
      </c>
      <c r="P202" s="32" t="s">
        <v>997</v>
      </c>
      <c r="Q202" s="31">
        <f>1953</f>
        <v>1953</v>
      </c>
      <c r="R202" s="32" t="s">
        <v>1017</v>
      </c>
      <c r="S202" s="33">
        <f>1973.25</f>
        <v>1973.25</v>
      </c>
      <c r="T202" s="30">
        <f>2250</f>
        <v>2250</v>
      </c>
      <c r="U202" s="30" t="str">
        <f t="shared" si="8"/>
        <v>－</v>
      </c>
      <c r="V202" s="30">
        <f>4453110</f>
        <v>4453110</v>
      </c>
      <c r="W202" s="30" t="str">
        <f t="shared" si="9"/>
        <v>－</v>
      </c>
      <c r="X202" s="34">
        <f>6</f>
        <v>6</v>
      </c>
    </row>
    <row r="203" spans="1:24" ht="13.5" customHeight="1" x14ac:dyDescent="0.15">
      <c r="A203" s="25" t="s">
        <v>1140</v>
      </c>
      <c r="B203" s="25" t="s">
        <v>1170</v>
      </c>
      <c r="C203" s="25" t="s">
        <v>1171</v>
      </c>
      <c r="D203" s="25" t="s">
        <v>1172</v>
      </c>
      <c r="E203" s="26" t="s">
        <v>782</v>
      </c>
      <c r="F203" s="27" t="s">
        <v>783</v>
      </c>
      <c r="G203" s="28" t="s">
        <v>1163</v>
      </c>
      <c r="H203" s="29"/>
      <c r="I203" s="29" t="s">
        <v>46</v>
      </c>
      <c r="J203" s="30">
        <v>10</v>
      </c>
      <c r="K203" s="31">
        <f>2004</f>
        <v>2004</v>
      </c>
      <c r="L203" s="32" t="s">
        <v>1001</v>
      </c>
      <c r="M203" s="31">
        <f>2339</f>
        <v>2339</v>
      </c>
      <c r="N203" s="32" t="s">
        <v>789</v>
      </c>
      <c r="O203" s="31">
        <f>1973</f>
        <v>1973</v>
      </c>
      <c r="P203" s="32" t="s">
        <v>786</v>
      </c>
      <c r="Q203" s="31">
        <f>1977</f>
        <v>1977</v>
      </c>
      <c r="R203" s="32" t="s">
        <v>786</v>
      </c>
      <c r="S203" s="33">
        <f>1991.5</f>
        <v>1991.5</v>
      </c>
      <c r="T203" s="30">
        <f>3050</f>
        <v>3050</v>
      </c>
      <c r="U203" s="30" t="str">
        <f t="shared" si="8"/>
        <v>－</v>
      </c>
      <c r="V203" s="30">
        <f>6098575</f>
        <v>6098575</v>
      </c>
      <c r="W203" s="30" t="str">
        <f t="shared" si="9"/>
        <v>－</v>
      </c>
      <c r="X203" s="34">
        <f>3</f>
        <v>3</v>
      </c>
    </row>
    <row r="204" spans="1:24" ht="13.5" customHeight="1" x14ac:dyDescent="0.15">
      <c r="A204" s="25" t="s">
        <v>1140</v>
      </c>
      <c r="B204" s="25" t="s">
        <v>1173</v>
      </c>
      <c r="C204" s="25" t="s">
        <v>1174</v>
      </c>
      <c r="D204" s="25" t="s">
        <v>1175</v>
      </c>
      <c r="E204" s="26" t="s">
        <v>782</v>
      </c>
      <c r="F204" s="27" t="s">
        <v>783</v>
      </c>
      <c r="G204" s="28" t="s">
        <v>1163</v>
      </c>
      <c r="H204" s="29"/>
      <c r="I204" s="29" t="s">
        <v>46</v>
      </c>
      <c r="J204" s="30">
        <v>10</v>
      </c>
      <c r="K204" s="31">
        <f>5025</f>
        <v>5025</v>
      </c>
      <c r="L204" s="32" t="s">
        <v>1001</v>
      </c>
      <c r="M204" s="31">
        <f>5323</f>
        <v>5323</v>
      </c>
      <c r="N204" s="32" t="s">
        <v>789</v>
      </c>
      <c r="O204" s="31">
        <f>4976</f>
        <v>4976</v>
      </c>
      <c r="P204" s="32" t="s">
        <v>786</v>
      </c>
      <c r="Q204" s="31">
        <f>4976</f>
        <v>4976</v>
      </c>
      <c r="R204" s="32" t="s">
        <v>786</v>
      </c>
      <c r="S204" s="33">
        <f>5005.33</f>
        <v>5005.33</v>
      </c>
      <c r="T204" s="30">
        <f>140</f>
        <v>140</v>
      </c>
      <c r="U204" s="30" t="str">
        <f t="shared" si="8"/>
        <v>－</v>
      </c>
      <c r="V204" s="30">
        <f>712240</f>
        <v>712240</v>
      </c>
      <c r="W204" s="30" t="str">
        <f t="shared" si="9"/>
        <v>－</v>
      </c>
      <c r="X204" s="34">
        <f>3</f>
        <v>3</v>
      </c>
    </row>
    <row r="205" spans="1:24" ht="13.5" customHeight="1" x14ac:dyDescent="0.15">
      <c r="A205" s="25" t="s">
        <v>1140</v>
      </c>
      <c r="B205" s="25" t="s">
        <v>1176</v>
      </c>
      <c r="C205" s="25" t="s">
        <v>1177</v>
      </c>
      <c r="D205" s="25" t="s">
        <v>1178</v>
      </c>
      <c r="E205" s="26" t="s">
        <v>782</v>
      </c>
      <c r="F205" s="27" t="s">
        <v>783</v>
      </c>
      <c r="G205" s="28" t="s">
        <v>1163</v>
      </c>
      <c r="H205" s="29"/>
      <c r="I205" s="29" t="s">
        <v>46</v>
      </c>
      <c r="J205" s="30">
        <v>10</v>
      </c>
      <c r="K205" s="31">
        <f>5058</f>
        <v>5058</v>
      </c>
      <c r="L205" s="32" t="s">
        <v>1001</v>
      </c>
      <c r="M205" s="31">
        <f>5309</f>
        <v>5309</v>
      </c>
      <c r="N205" s="32" t="s">
        <v>789</v>
      </c>
      <c r="O205" s="31">
        <f>4970</f>
        <v>4970</v>
      </c>
      <c r="P205" s="32" t="s">
        <v>786</v>
      </c>
      <c r="Q205" s="31">
        <f>4970</f>
        <v>4970</v>
      </c>
      <c r="R205" s="32" t="s">
        <v>997</v>
      </c>
      <c r="S205" s="33">
        <f>4989.25</f>
        <v>4989.25</v>
      </c>
      <c r="T205" s="30">
        <f>550</f>
        <v>550</v>
      </c>
      <c r="U205" s="30" t="str">
        <f t="shared" si="8"/>
        <v>－</v>
      </c>
      <c r="V205" s="30">
        <f>2754270</f>
        <v>2754270</v>
      </c>
      <c r="W205" s="30" t="str">
        <f t="shared" si="9"/>
        <v>－</v>
      </c>
      <c r="X205" s="34">
        <f>4</f>
        <v>4</v>
      </c>
    </row>
    <row r="206" spans="1:24" ht="13.5" customHeight="1" x14ac:dyDescent="0.15">
      <c r="A206" s="25" t="s">
        <v>1140</v>
      </c>
      <c r="B206" s="25" t="s">
        <v>1179</v>
      </c>
      <c r="C206" s="25" t="s">
        <v>1180</v>
      </c>
      <c r="D206" s="25" t="s">
        <v>1181</v>
      </c>
      <c r="E206" s="26" t="s">
        <v>782</v>
      </c>
      <c r="F206" s="27" t="s">
        <v>783</v>
      </c>
      <c r="G206" s="28" t="s">
        <v>1163</v>
      </c>
      <c r="H206" s="29"/>
      <c r="I206" s="29" t="s">
        <v>46</v>
      </c>
      <c r="J206" s="30">
        <v>10</v>
      </c>
      <c r="K206" s="31">
        <f>5052</f>
        <v>5052</v>
      </c>
      <c r="L206" s="32" t="s">
        <v>1001</v>
      </c>
      <c r="M206" s="31">
        <f>5308</f>
        <v>5308</v>
      </c>
      <c r="N206" s="32" t="s">
        <v>789</v>
      </c>
      <c r="O206" s="31">
        <f>4986</f>
        <v>4986</v>
      </c>
      <c r="P206" s="32" t="s">
        <v>786</v>
      </c>
      <c r="Q206" s="31">
        <f>4989</f>
        <v>4989</v>
      </c>
      <c r="R206" s="32" t="s">
        <v>786</v>
      </c>
      <c r="S206" s="33">
        <f>5002</f>
        <v>5002</v>
      </c>
      <c r="T206" s="30">
        <f>170</f>
        <v>170</v>
      </c>
      <c r="U206" s="30" t="str">
        <f t="shared" si="8"/>
        <v>－</v>
      </c>
      <c r="V206" s="30">
        <f>863050</f>
        <v>863050</v>
      </c>
      <c r="W206" s="30" t="str">
        <f t="shared" si="9"/>
        <v>－</v>
      </c>
      <c r="X206" s="34">
        <f>3</f>
        <v>3</v>
      </c>
    </row>
    <row r="207" spans="1:24" ht="13.5" customHeight="1" x14ac:dyDescent="0.15">
      <c r="A207" s="25" t="s">
        <v>1140</v>
      </c>
      <c r="B207" s="25" t="s">
        <v>986</v>
      </c>
      <c r="C207" s="25" t="s">
        <v>987</v>
      </c>
      <c r="D207" s="25" t="s">
        <v>988</v>
      </c>
      <c r="E207" s="26" t="s">
        <v>45</v>
      </c>
      <c r="F207" s="27" t="s">
        <v>45</v>
      </c>
      <c r="G207" s="28" t="s">
        <v>45</v>
      </c>
      <c r="H207" s="29"/>
      <c r="I207" s="29" t="s">
        <v>46</v>
      </c>
      <c r="J207" s="30">
        <v>10</v>
      </c>
      <c r="K207" s="31">
        <f>2237</f>
        <v>2237</v>
      </c>
      <c r="L207" s="32" t="s">
        <v>995</v>
      </c>
      <c r="M207" s="31">
        <f>2251</f>
        <v>2251</v>
      </c>
      <c r="N207" s="32" t="s">
        <v>1002</v>
      </c>
      <c r="O207" s="31">
        <f>2185.5</f>
        <v>2185.5</v>
      </c>
      <c r="P207" s="32" t="s">
        <v>997</v>
      </c>
      <c r="Q207" s="31">
        <f>2196</f>
        <v>2196</v>
      </c>
      <c r="R207" s="32" t="s">
        <v>1017</v>
      </c>
      <c r="S207" s="33">
        <f>2214.5</f>
        <v>2214.5</v>
      </c>
      <c r="T207" s="30">
        <f>25850</f>
        <v>25850</v>
      </c>
      <c r="U207" s="30" t="str">
        <f t="shared" si="8"/>
        <v>－</v>
      </c>
      <c r="V207" s="30">
        <f>57291615</f>
        <v>57291615</v>
      </c>
      <c r="W207" s="30" t="str">
        <f t="shared" si="9"/>
        <v>－</v>
      </c>
      <c r="X207" s="34">
        <f>20</f>
        <v>20</v>
      </c>
    </row>
    <row r="208" spans="1:24" ht="13.5" customHeight="1" x14ac:dyDescent="0.15">
      <c r="A208" s="25" t="s">
        <v>1140</v>
      </c>
      <c r="B208" s="25" t="s">
        <v>990</v>
      </c>
      <c r="C208" s="25" t="s">
        <v>991</v>
      </c>
      <c r="D208" s="25" t="s">
        <v>992</v>
      </c>
      <c r="E208" s="26" t="s">
        <v>45</v>
      </c>
      <c r="F208" s="27" t="s">
        <v>45</v>
      </c>
      <c r="G208" s="28" t="s">
        <v>45</v>
      </c>
      <c r="H208" s="29"/>
      <c r="I208" s="29" t="s">
        <v>46</v>
      </c>
      <c r="J208" s="30">
        <v>1</v>
      </c>
      <c r="K208" s="31">
        <f>1117</f>
        <v>1117</v>
      </c>
      <c r="L208" s="32" t="s">
        <v>995</v>
      </c>
      <c r="M208" s="31">
        <f>1127</f>
        <v>1127</v>
      </c>
      <c r="N208" s="32" t="s">
        <v>784</v>
      </c>
      <c r="O208" s="31">
        <f>1077</f>
        <v>1077</v>
      </c>
      <c r="P208" s="32" t="s">
        <v>997</v>
      </c>
      <c r="Q208" s="31">
        <f>1079</f>
        <v>1079</v>
      </c>
      <c r="R208" s="32" t="s">
        <v>1017</v>
      </c>
      <c r="S208" s="33">
        <f>1106.15</f>
        <v>1106.1500000000001</v>
      </c>
      <c r="T208" s="30">
        <f>934452</f>
        <v>934452</v>
      </c>
      <c r="U208" s="30">
        <f>28130</f>
        <v>28130</v>
      </c>
      <c r="V208" s="30">
        <f>1031059156</f>
        <v>1031059156</v>
      </c>
      <c r="W208" s="30">
        <f>30390790</f>
        <v>30390790</v>
      </c>
      <c r="X208" s="34">
        <f>20</f>
        <v>20</v>
      </c>
    </row>
    <row r="209" spans="1:24" ht="13.5" customHeight="1" x14ac:dyDescent="0.15">
      <c r="A209" s="25" t="s">
        <v>1140</v>
      </c>
      <c r="B209" s="25" t="s">
        <v>1006</v>
      </c>
      <c r="C209" s="25" t="s">
        <v>1007</v>
      </c>
      <c r="D209" s="25" t="s">
        <v>1008</v>
      </c>
      <c r="E209" s="26" t="s">
        <v>45</v>
      </c>
      <c r="F209" s="27" t="s">
        <v>45</v>
      </c>
      <c r="G209" s="28" t="s">
        <v>45</v>
      </c>
      <c r="H209" s="29"/>
      <c r="I209" s="29" t="s">
        <v>46</v>
      </c>
      <c r="J209" s="30">
        <v>1</v>
      </c>
      <c r="K209" s="31">
        <f>59510</f>
        <v>59510</v>
      </c>
      <c r="L209" s="32" t="s">
        <v>995</v>
      </c>
      <c r="M209" s="31">
        <f>59670</f>
        <v>59670</v>
      </c>
      <c r="N209" s="32" t="s">
        <v>785</v>
      </c>
      <c r="O209" s="31">
        <f>52710</f>
        <v>52710</v>
      </c>
      <c r="P209" s="32" t="s">
        <v>997</v>
      </c>
      <c r="Q209" s="31">
        <f>53480</f>
        <v>53480</v>
      </c>
      <c r="R209" s="32" t="s">
        <v>1017</v>
      </c>
      <c r="S209" s="33">
        <f>56955.5</f>
        <v>56955.5</v>
      </c>
      <c r="T209" s="30">
        <f>25648</f>
        <v>25648</v>
      </c>
      <c r="U209" s="30" t="str">
        <f>"－"</f>
        <v>－</v>
      </c>
      <c r="V209" s="30">
        <f>1473053410</f>
        <v>1473053410</v>
      </c>
      <c r="W209" s="30" t="str">
        <f>"－"</f>
        <v>－</v>
      </c>
      <c r="X209" s="34">
        <f>20</f>
        <v>20</v>
      </c>
    </row>
    <row r="210" spans="1:24" ht="13.5" customHeight="1" x14ac:dyDescent="0.15">
      <c r="A210" s="25" t="s">
        <v>1140</v>
      </c>
      <c r="B210" s="25" t="s">
        <v>1010</v>
      </c>
      <c r="C210" s="25" t="s">
        <v>1011</v>
      </c>
      <c r="D210" s="25" t="s">
        <v>1012</v>
      </c>
      <c r="E210" s="26" t="s">
        <v>45</v>
      </c>
      <c r="F210" s="27" t="s">
        <v>45</v>
      </c>
      <c r="G210" s="28" t="s">
        <v>45</v>
      </c>
      <c r="H210" s="29"/>
      <c r="I210" s="29" t="s">
        <v>46</v>
      </c>
      <c r="J210" s="30">
        <v>1</v>
      </c>
      <c r="K210" s="31">
        <f>8675</f>
        <v>8675</v>
      </c>
      <c r="L210" s="32" t="s">
        <v>995</v>
      </c>
      <c r="M210" s="31">
        <f>9188</f>
        <v>9188</v>
      </c>
      <c r="N210" s="32" t="s">
        <v>997</v>
      </c>
      <c r="O210" s="31">
        <f>8666</f>
        <v>8666</v>
      </c>
      <c r="P210" s="32" t="s">
        <v>785</v>
      </c>
      <c r="Q210" s="31">
        <f>9115</f>
        <v>9115</v>
      </c>
      <c r="R210" s="32" t="s">
        <v>1017</v>
      </c>
      <c r="S210" s="33">
        <f>8861.35</f>
        <v>8861.35</v>
      </c>
      <c r="T210" s="30">
        <f>348349</f>
        <v>348349</v>
      </c>
      <c r="U210" s="30">
        <f>306720</f>
        <v>306720</v>
      </c>
      <c r="V210" s="30">
        <f>3055008028</f>
        <v>3055008028</v>
      </c>
      <c r="W210" s="30">
        <f>2683581864</f>
        <v>2683581864</v>
      </c>
      <c r="X210" s="34">
        <f>20</f>
        <v>20</v>
      </c>
    </row>
    <row r="211" spans="1:24" ht="13.5" customHeight="1" x14ac:dyDescent="0.15">
      <c r="A211" s="25" t="s">
        <v>1140</v>
      </c>
      <c r="B211" s="25" t="s">
        <v>1018</v>
      </c>
      <c r="C211" s="25" t="s">
        <v>1019</v>
      </c>
      <c r="D211" s="25" t="s">
        <v>1020</v>
      </c>
      <c r="E211" s="26" t="s">
        <v>45</v>
      </c>
      <c r="F211" s="27" t="s">
        <v>45</v>
      </c>
      <c r="G211" s="28" t="s">
        <v>45</v>
      </c>
      <c r="H211" s="29"/>
      <c r="I211" s="29" t="s">
        <v>46</v>
      </c>
      <c r="J211" s="30">
        <v>10</v>
      </c>
      <c r="K211" s="31">
        <f>12725</f>
        <v>12725</v>
      </c>
      <c r="L211" s="32" t="s">
        <v>995</v>
      </c>
      <c r="M211" s="31">
        <f>12745</f>
        <v>12745</v>
      </c>
      <c r="N211" s="32" t="s">
        <v>785</v>
      </c>
      <c r="O211" s="31">
        <f>11295</f>
        <v>11295</v>
      </c>
      <c r="P211" s="32" t="s">
        <v>997</v>
      </c>
      <c r="Q211" s="31">
        <f>11460</f>
        <v>11460</v>
      </c>
      <c r="R211" s="32" t="s">
        <v>1017</v>
      </c>
      <c r="S211" s="33">
        <f>12212.25</f>
        <v>12212.25</v>
      </c>
      <c r="T211" s="30">
        <f>27380</f>
        <v>27380</v>
      </c>
      <c r="U211" s="30" t="str">
        <f>"－"</f>
        <v>－</v>
      </c>
      <c r="V211" s="30">
        <f>333105700</f>
        <v>333105700</v>
      </c>
      <c r="W211" s="30" t="str">
        <f>"－"</f>
        <v>－</v>
      </c>
      <c r="X211" s="34">
        <f>20</f>
        <v>20</v>
      </c>
    </row>
    <row r="212" spans="1:24" ht="13.5" customHeight="1" x14ac:dyDescent="0.15">
      <c r="A212" s="25" t="s">
        <v>1140</v>
      </c>
      <c r="B212" s="25" t="s">
        <v>1022</v>
      </c>
      <c r="C212" s="25" t="s">
        <v>1023</v>
      </c>
      <c r="D212" s="25" t="s">
        <v>1024</v>
      </c>
      <c r="E212" s="26" t="s">
        <v>45</v>
      </c>
      <c r="F212" s="27" t="s">
        <v>45</v>
      </c>
      <c r="G212" s="28" t="s">
        <v>45</v>
      </c>
      <c r="H212" s="29"/>
      <c r="I212" s="29" t="s">
        <v>46</v>
      </c>
      <c r="J212" s="30">
        <v>10</v>
      </c>
      <c r="K212" s="31">
        <f>8723</f>
        <v>8723</v>
      </c>
      <c r="L212" s="32" t="s">
        <v>995</v>
      </c>
      <c r="M212" s="31">
        <f>9211</f>
        <v>9211</v>
      </c>
      <c r="N212" s="32" t="s">
        <v>997</v>
      </c>
      <c r="O212" s="31">
        <f>8712</f>
        <v>8712</v>
      </c>
      <c r="P212" s="32" t="s">
        <v>785</v>
      </c>
      <c r="Q212" s="31">
        <f>9158</f>
        <v>9158</v>
      </c>
      <c r="R212" s="32" t="s">
        <v>1017</v>
      </c>
      <c r="S212" s="33">
        <f>8903.8</f>
        <v>8903.7999999999993</v>
      </c>
      <c r="T212" s="30">
        <f>149930</f>
        <v>149930</v>
      </c>
      <c r="U212" s="30">
        <f>143500</f>
        <v>143500</v>
      </c>
      <c r="V212" s="30">
        <f>1360641534</f>
        <v>1360641534</v>
      </c>
      <c r="W212" s="30">
        <f>1303477504</f>
        <v>1303477504</v>
      </c>
      <c r="X212" s="34">
        <f>20</f>
        <v>20</v>
      </c>
    </row>
    <row r="213" spans="1:24" ht="13.5" customHeight="1" x14ac:dyDescent="0.15">
      <c r="A213" s="25" t="s">
        <v>1140</v>
      </c>
      <c r="B213" s="25" t="s">
        <v>1025</v>
      </c>
      <c r="C213" s="25" t="s">
        <v>1026</v>
      </c>
      <c r="D213" s="25" t="s">
        <v>1027</v>
      </c>
      <c r="E213" s="26" t="s">
        <v>45</v>
      </c>
      <c r="F213" s="27" t="s">
        <v>45</v>
      </c>
      <c r="G213" s="28" t="s">
        <v>45</v>
      </c>
      <c r="H213" s="29"/>
      <c r="I213" s="29" t="s">
        <v>46</v>
      </c>
      <c r="J213" s="30">
        <v>10</v>
      </c>
      <c r="K213" s="31">
        <f>578</f>
        <v>578</v>
      </c>
      <c r="L213" s="32" t="s">
        <v>995</v>
      </c>
      <c r="M213" s="31">
        <f>579.9</f>
        <v>579.9</v>
      </c>
      <c r="N213" s="32" t="s">
        <v>998</v>
      </c>
      <c r="O213" s="31">
        <f>559.3</f>
        <v>559.29999999999995</v>
      </c>
      <c r="P213" s="32" t="s">
        <v>997</v>
      </c>
      <c r="Q213" s="31">
        <f>562.5</f>
        <v>562.5</v>
      </c>
      <c r="R213" s="32" t="s">
        <v>1017</v>
      </c>
      <c r="S213" s="33">
        <f>567.3</f>
        <v>567.29999999999995</v>
      </c>
      <c r="T213" s="30">
        <f>96300</f>
        <v>96300</v>
      </c>
      <c r="U213" s="30" t="str">
        <f>"－"</f>
        <v>－</v>
      </c>
      <c r="V213" s="30">
        <f>54670132</f>
        <v>54670132</v>
      </c>
      <c r="W213" s="30" t="str">
        <f>"－"</f>
        <v>－</v>
      </c>
      <c r="X213" s="34">
        <f>20</f>
        <v>20</v>
      </c>
    </row>
    <row r="214" spans="1:24" ht="13.5" customHeight="1" x14ac:dyDescent="0.15">
      <c r="A214" s="25" t="s">
        <v>1140</v>
      </c>
      <c r="B214" s="25" t="s">
        <v>1029</v>
      </c>
      <c r="C214" s="25" t="s">
        <v>1030</v>
      </c>
      <c r="D214" s="25" t="s">
        <v>1031</v>
      </c>
      <c r="E214" s="26" t="s">
        <v>45</v>
      </c>
      <c r="F214" s="27" t="s">
        <v>45</v>
      </c>
      <c r="G214" s="28" t="s">
        <v>45</v>
      </c>
      <c r="H214" s="29"/>
      <c r="I214" s="29" t="s">
        <v>46</v>
      </c>
      <c r="J214" s="30">
        <v>10</v>
      </c>
      <c r="K214" s="31">
        <f>517.2</f>
        <v>517.20000000000005</v>
      </c>
      <c r="L214" s="32" t="s">
        <v>995</v>
      </c>
      <c r="M214" s="31">
        <f>521.2</f>
        <v>521.20000000000005</v>
      </c>
      <c r="N214" s="32" t="s">
        <v>78</v>
      </c>
      <c r="O214" s="31">
        <f>493.6</f>
        <v>493.6</v>
      </c>
      <c r="P214" s="32" t="s">
        <v>997</v>
      </c>
      <c r="Q214" s="31">
        <f>495.1</f>
        <v>495.1</v>
      </c>
      <c r="R214" s="32" t="s">
        <v>1017</v>
      </c>
      <c r="S214" s="33">
        <f>507.69</f>
        <v>507.69</v>
      </c>
      <c r="T214" s="30">
        <f>26090</f>
        <v>26090</v>
      </c>
      <c r="U214" s="30" t="str">
        <f>"－"</f>
        <v>－</v>
      </c>
      <c r="V214" s="30">
        <f>13236741</f>
        <v>13236741</v>
      </c>
      <c r="W214" s="30" t="str">
        <f>"－"</f>
        <v>－</v>
      </c>
      <c r="X214" s="34">
        <f>20</f>
        <v>20</v>
      </c>
    </row>
    <row r="215" spans="1:24" ht="13.5" customHeight="1" x14ac:dyDescent="0.15">
      <c r="A215" s="25" t="s">
        <v>1140</v>
      </c>
      <c r="B215" s="25" t="s">
        <v>1071</v>
      </c>
      <c r="C215" s="25" t="s">
        <v>1072</v>
      </c>
      <c r="D215" s="25" t="s">
        <v>1073</v>
      </c>
      <c r="E215" s="26" t="s">
        <v>45</v>
      </c>
      <c r="F215" s="27" t="s">
        <v>45</v>
      </c>
      <c r="G215" s="28" t="s">
        <v>45</v>
      </c>
      <c r="H215" s="29"/>
      <c r="I215" s="29" t="s">
        <v>46</v>
      </c>
      <c r="J215" s="30">
        <v>1</v>
      </c>
      <c r="K215" s="31">
        <f>1276</f>
        <v>1276</v>
      </c>
      <c r="L215" s="32" t="s">
        <v>995</v>
      </c>
      <c r="M215" s="31">
        <f>1301</f>
        <v>1301</v>
      </c>
      <c r="N215" s="32" t="s">
        <v>78</v>
      </c>
      <c r="O215" s="31">
        <f>1177</f>
        <v>1177</v>
      </c>
      <c r="P215" s="32" t="s">
        <v>1001</v>
      </c>
      <c r="Q215" s="31">
        <f>1224</f>
        <v>1224</v>
      </c>
      <c r="R215" s="32" t="s">
        <v>1017</v>
      </c>
      <c r="S215" s="33">
        <f>1243.4</f>
        <v>1243.4000000000001</v>
      </c>
      <c r="T215" s="30">
        <f>1907192</f>
        <v>1907192</v>
      </c>
      <c r="U215" s="30">
        <f>435958</f>
        <v>435958</v>
      </c>
      <c r="V215" s="30">
        <f>2416503102</f>
        <v>2416503102</v>
      </c>
      <c r="W215" s="30">
        <f>560461391</f>
        <v>560461391</v>
      </c>
      <c r="X215" s="34">
        <f>20</f>
        <v>20</v>
      </c>
    </row>
    <row r="216" spans="1:24" ht="13.5" customHeight="1" x14ac:dyDescent="0.15">
      <c r="A216" s="25" t="s">
        <v>1140</v>
      </c>
      <c r="B216" s="25" t="s">
        <v>1075</v>
      </c>
      <c r="C216" s="25" t="s">
        <v>1076</v>
      </c>
      <c r="D216" s="25" t="s">
        <v>1077</v>
      </c>
      <c r="E216" s="26" t="s">
        <v>45</v>
      </c>
      <c r="F216" s="27" t="s">
        <v>45</v>
      </c>
      <c r="G216" s="28" t="s">
        <v>45</v>
      </c>
      <c r="H216" s="29"/>
      <c r="I216" s="29" t="s">
        <v>46</v>
      </c>
      <c r="J216" s="30">
        <v>1</v>
      </c>
      <c r="K216" s="31">
        <f>1415</f>
        <v>1415</v>
      </c>
      <c r="L216" s="32" t="s">
        <v>995</v>
      </c>
      <c r="M216" s="31">
        <f>1579</f>
        <v>1579</v>
      </c>
      <c r="N216" s="32" t="s">
        <v>790</v>
      </c>
      <c r="O216" s="31">
        <f>1340</f>
        <v>1340</v>
      </c>
      <c r="P216" s="32" t="s">
        <v>1001</v>
      </c>
      <c r="Q216" s="31">
        <f>1373</f>
        <v>1373</v>
      </c>
      <c r="R216" s="32" t="s">
        <v>1017</v>
      </c>
      <c r="S216" s="33">
        <f>1405.35</f>
        <v>1405.35</v>
      </c>
      <c r="T216" s="30">
        <f>977133</f>
        <v>977133</v>
      </c>
      <c r="U216" s="30">
        <f>347000</f>
        <v>347000</v>
      </c>
      <c r="V216" s="30">
        <f>1387017909</f>
        <v>1387017909</v>
      </c>
      <c r="W216" s="30">
        <f>500131100</f>
        <v>500131100</v>
      </c>
      <c r="X216" s="34">
        <f>20</f>
        <v>20</v>
      </c>
    </row>
    <row r="217" spans="1:24" ht="13.5" customHeight="1" x14ac:dyDescent="0.15">
      <c r="A217" s="25" t="s">
        <v>1140</v>
      </c>
      <c r="B217" s="25" t="s">
        <v>1078</v>
      </c>
      <c r="C217" s="25" t="s">
        <v>1079</v>
      </c>
      <c r="D217" s="25" t="s">
        <v>1080</v>
      </c>
      <c r="E217" s="26" t="s">
        <v>45</v>
      </c>
      <c r="F217" s="27" t="s">
        <v>45</v>
      </c>
      <c r="G217" s="28" t="s">
        <v>45</v>
      </c>
      <c r="H217" s="29"/>
      <c r="I217" s="29" t="s">
        <v>46</v>
      </c>
      <c r="J217" s="30">
        <v>10</v>
      </c>
      <c r="K217" s="31">
        <f>778.6</f>
        <v>778.6</v>
      </c>
      <c r="L217" s="32" t="s">
        <v>995</v>
      </c>
      <c r="M217" s="31">
        <f>879.1</f>
        <v>879.1</v>
      </c>
      <c r="N217" s="32" t="s">
        <v>1001</v>
      </c>
      <c r="O217" s="31">
        <f>764.3</f>
        <v>764.3</v>
      </c>
      <c r="P217" s="32" t="s">
        <v>1017</v>
      </c>
      <c r="Q217" s="31">
        <f>764.3</f>
        <v>764.3</v>
      </c>
      <c r="R217" s="32" t="s">
        <v>1017</v>
      </c>
      <c r="S217" s="33">
        <f>779.59</f>
        <v>779.59</v>
      </c>
      <c r="T217" s="30">
        <f>369740</f>
        <v>369740</v>
      </c>
      <c r="U217" s="30">
        <f>75000</f>
        <v>75000</v>
      </c>
      <c r="V217" s="30">
        <f>286907058</f>
        <v>286907058</v>
      </c>
      <c r="W217" s="30">
        <f>58545000</f>
        <v>58545000</v>
      </c>
      <c r="X217" s="34">
        <f>18</f>
        <v>18</v>
      </c>
    </row>
    <row r="218" spans="1:24" ht="13.5" customHeight="1" x14ac:dyDescent="0.15">
      <c r="A218" s="25" t="s">
        <v>1140</v>
      </c>
      <c r="B218" s="25" t="s">
        <v>1082</v>
      </c>
      <c r="C218" s="25" t="s">
        <v>1083</v>
      </c>
      <c r="D218" s="25" t="s">
        <v>1084</v>
      </c>
      <c r="E218" s="26" t="s">
        <v>45</v>
      </c>
      <c r="F218" s="27" t="s">
        <v>45</v>
      </c>
      <c r="G218" s="28" t="s">
        <v>45</v>
      </c>
      <c r="H218" s="29"/>
      <c r="I218" s="29" t="s">
        <v>46</v>
      </c>
      <c r="J218" s="30">
        <v>10</v>
      </c>
      <c r="K218" s="31">
        <f>780.1</f>
        <v>780.1</v>
      </c>
      <c r="L218" s="32" t="s">
        <v>995</v>
      </c>
      <c r="M218" s="31">
        <f>805</f>
        <v>805</v>
      </c>
      <c r="N218" s="32" t="s">
        <v>995</v>
      </c>
      <c r="O218" s="31">
        <f>762.1</f>
        <v>762.1</v>
      </c>
      <c r="P218" s="32" t="s">
        <v>1017</v>
      </c>
      <c r="Q218" s="31">
        <f>762.1</f>
        <v>762.1</v>
      </c>
      <c r="R218" s="32" t="s">
        <v>1017</v>
      </c>
      <c r="S218" s="33">
        <f>779.91</f>
        <v>779.91</v>
      </c>
      <c r="T218" s="30">
        <f>446370</f>
        <v>446370</v>
      </c>
      <c r="U218" s="30" t="str">
        <f>"－"</f>
        <v>－</v>
      </c>
      <c r="V218" s="30">
        <f>347768991</f>
        <v>347768991</v>
      </c>
      <c r="W218" s="30" t="str">
        <f>"－"</f>
        <v>－</v>
      </c>
      <c r="X218" s="34">
        <f>14</f>
        <v>14</v>
      </c>
    </row>
    <row r="219" spans="1:24" ht="13.5" customHeight="1" x14ac:dyDescent="0.15">
      <c r="A219" s="25" t="s">
        <v>1140</v>
      </c>
      <c r="B219" s="25" t="s">
        <v>1092</v>
      </c>
      <c r="C219" s="25" t="s">
        <v>1093</v>
      </c>
      <c r="D219" s="25" t="s">
        <v>1094</v>
      </c>
      <c r="E219" s="26" t="s">
        <v>45</v>
      </c>
      <c r="F219" s="27" t="s">
        <v>45</v>
      </c>
      <c r="G219" s="28" t="s">
        <v>45</v>
      </c>
      <c r="H219" s="29"/>
      <c r="I219" s="29" t="s">
        <v>46</v>
      </c>
      <c r="J219" s="30">
        <v>1</v>
      </c>
      <c r="K219" s="31">
        <f>12295</f>
        <v>12295</v>
      </c>
      <c r="L219" s="32" t="s">
        <v>995</v>
      </c>
      <c r="M219" s="31">
        <f>12430</f>
        <v>12430</v>
      </c>
      <c r="N219" s="32" t="s">
        <v>78</v>
      </c>
      <c r="O219" s="31">
        <f>11925</f>
        <v>11925</v>
      </c>
      <c r="P219" s="32" t="s">
        <v>255</v>
      </c>
      <c r="Q219" s="31">
        <f>12010</f>
        <v>12010</v>
      </c>
      <c r="R219" s="32" t="s">
        <v>1017</v>
      </c>
      <c r="S219" s="33">
        <f>12213.25</f>
        <v>12213.25</v>
      </c>
      <c r="T219" s="30">
        <f>26107</f>
        <v>26107</v>
      </c>
      <c r="U219" s="30" t="str">
        <f>"－"</f>
        <v>－</v>
      </c>
      <c r="V219" s="30">
        <f>319150550</f>
        <v>319150550</v>
      </c>
      <c r="W219" s="30" t="str">
        <f>"－"</f>
        <v>－</v>
      </c>
      <c r="X219" s="34">
        <f>20</f>
        <v>20</v>
      </c>
    </row>
    <row r="220" spans="1:24" ht="13.5" customHeight="1" x14ac:dyDescent="0.15">
      <c r="A220" s="25" t="s">
        <v>1140</v>
      </c>
      <c r="B220" s="25" t="s">
        <v>1096</v>
      </c>
      <c r="C220" s="25" t="s">
        <v>1097</v>
      </c>
      <c r="D220" s="25" t="s">
        <v>1098</v>
      </c>
      <c r="E220" s="26" t="s">
        <v>45</v>
      </c>
      <c r="F220" s="27" t="s">
        <v>45</v>
      </c>
      <c r="G220" s="28" t="s">
        <v>45</v>
      </c>
      <c r="H220" s="29"/>
      <c r="I220" s="29" t="s">
        <v>46</v>
      </c>
      <c r="J220" s="30">
        <v>1</v>
      </c>
      <c r="K220" s="31">
        <f>36770</f>
        <v>36770</v>
      </c>
      <c r="L220" s="32" t="s">
        <v>1003</v>
      </c>
      <c r="M220" s="31">
        <f>37320</f>
        <v>37320</v>
      </c>
      <c r="N220" s="32" t="s">
        <v>56</v>
      </c>
      <c r="O220" s="31">
        <f>35070</f>
        <v>35070</v>
      </c>
      <c r="P220" s="32" t="s">
        <v>255</v>
      </c>
      <c r="Q220" s="31">
        <f>35280</f>
        <v>35280</v>
      </c>
      <c r="R220" s="32" t="s">
        <v>1017</v>
      </c>
      <c r="S220" s="33">
        <f>36153.33</f>
        <v>36153.33</v>
      </c>
      <c r="T220" s="30">
        <f>30837</f>
        <v>30837</v>
      </c>
      <c r="U220" s="30">
        <f>27186</f>
        <v>27186</v>
      </c>
      <c r="V220" s="30">
        <f>1131616980</f>
        <v>1131616980</v>
      </c>
      <c r="W220" s="30">
        <f>999725730</f>
        <v>999725730</v>
      </c>
      <c r="X220" s="34">
        <f>15</f>
        <v>15</v>
      </c>
    </row>
    <row r="221" spans="1:24" ht="13.5" customHeight="1" x14ac:dyDescent="0.15">
      <c r="A221" s="25" t="s">
        <v>1140</v>
      </c>
      <c r="B221" s="25" t="s">
        <v>1099</v>
      </c>
      <c r="C221" s="25" t="s">
        <v>1100</v>
      </c>
      <c r="D221" s="25" t="s">
        <v>1101</v>
      </c>
      <c r="E221" s="26" t="s">
        <v>45</v>
      </c>
      <c r="F221" s="27" t="s">
        <v>45</v>
      </c>
      <c r="G221" s="28" t="s">
        <v>45</v>
      </c>
      <c r="H221" s="29"/>
      <c r="I221" s="29" t="s">
        <v>46</v>
      </c>
      <c r="J221" s="30">
        <v>1</v>
      </c>
      <c r="K221" s="31">
        <f>27885</f>
        <v>27885</v>
      </c>
      <c r="L221" s="32" t="s">
        <v>995</v>
      </c>
      <c r="M221" s="31">
        <f>31160</f>
        <v>31160</v>
      </c>
      <c r="N221" s="32" t="s">
        <v>997</v>
      </c>
      <c r="O221" s="31">
        <f>27725</f>
        <v>27725</v>
      </c>
      <c r="P221" s="32" t="s">
        <v>785</v>
      </c>
      <c r="Q221" s="31">
        <f>30650</f>
        <v>30650</v>
      </c>
      <c r="R221" s="32" t="s">
        <v>1017</v>
      </c>
      <c r="S221" s="33">
        <f>28998.75</f>
        <v>28998.75</v>
      </c>
      <c r="T221" s="30">
        <f>12239</f>
        <v>12239</v>
      </c>
      <c r="U221" s="30">
        <f>3590</f>
        <v>3590</v>
      </c>
      <c r="V221" s="30">
        <f>361602771</f>
        <v>361602771</v>
      </c>
      <c r="W221" s="30">
        <f>105750271</f>
        <v>105750271</v>
      </c>
      <c r="X221" s="34">
        <f>20</f>
        <v>20</v>
      </c>
    </row>
    <row r="222" spans="1:24" ht="13.5" customHeight="1" x14ac:dyDescent="0.15">
      <c r="A222" s="25" t="s">
        <v>1140</v>
      </c>
      <c r="B222" s="25" t="s">
        <v>1104</v>
      </c>
      <c r="C222" s="25" t="s">
        <v>1105</v>
      </c>
      <c r="D222" s="25" t="s">
        <v>1106</v>
      </c>
      <c r="E222" s="26" t="s">
        <v>45</v>
      </c>
      <c r="F222" s="27" t="s">
        <v>45</v>
      </c>
      <c r="G222" s="28" t="s">
        <v>45</v>
      </c>
      <c r="H222" s="29"/>
      <c r="I222" s="29" t="s">
        <v>46</v>
      </c>
      <c r="J222" s="30">
        <v>10</v>
      </c>
      <c r="K222" s="31">
        <f>205.6</f>
        <v>205.6</v>
      </c>
      <c r="L222" s="32" t="s">
        <v>995</v>
      </c>
      <c r="M222" s="31">
        <f>219.9</f>
        <v>219.9</v>
      </c>
      <c r="N222" s="32" t="s">
        <v>790</v>
      </c>
      <c r="O222" s="31">
        <f>205.5</f>
        <v>205.5</v>
      </c>
      <c r="P222" s="32" t="s">
        <v>1017</v>
      </c>
      <c r="Q222" s="31">
        <f>205.5</f>
        <v>205.5</v>
      </c>
      <c r="R222" s="32" t="s">
        <v>1017</v>
      </c>
      <c r="S222" s="33">
        <f>209.3</f>
        <v>209.3</v>
      </c>
      <c r="T222" s="30">
        <f>107670</f>
        <v>107670</v>
      </c>
      <c r="U222" s="30" t="str">
        <f>"－"</f>
        <v>－</v>
      </c>
      <c r="V222" s="30">
        <f>22580643</f>
        <v>22580643</v>
      </c>
      <c r="W222" s="30" t="str">
        <f>"－"</f>
        <v>－</v>
      </c>
      <c r="X222" s="34">
        <f>20</f>
        <v>20</v>
      </c>
    </row>
    <row r="223" spans="1:24" ht="13.5" customHeight="1" x14ac:dyDescent="0.15">
      <c r="A223" s="25" t="s">
        <v>1140</v>
      </c>
      <c r="B223" s="25" t="s">
        <v>1108</v>
      </c>
      <c r="C223" s="25" t="s">
        <v>1109</v>
      </c>
      <c r="D223" s="25" t="s">
        <v>1110</v>
      </c>
      <c r="E223" s="26" t="s">
        <v>45</v>
      </c>
      <c r="F223" s="27" t="s">
        <v>45</v>
      </c>
      <c r="G223" s="28" t="s">
        <v>45</v>
      </c>
      <c r="H223" s="29"/>
      <c r="I223" s="29" t="s">
        <v>46</v>
      </c>
      <c r="J223" s="30">
        <v>10</v>
      </c>
      <c r="K223" s="31">
        <f>765.9</f>
        <v>765.9</v>
      </c>
      <c r="L223" s="32" t="s">
        <v>995</v>
      </c>
      <c r="M223" s="31">
        <f>780.5</f>
        <v>780.5</v>
      </c>
      <c r="N223" s="32" t="s">
        <v>56</v>
      </c>
      <c r="O223" s="31">
        <f>762.4</f>
        <v>762.4</v>
      </c>
      <c r="P223" s="32" t="s">
        <v>1001</v>
      </c>
      <c r="Q223" s="31">
        <f>777.8</f>
        <v>777.8</v>
      </c>
      <c r="R223" s="32" t="s">
        <v>1017</v>
      </c>
      <c r="S223" s="33">
        <f>770.96</f>
        <v>770.96</v>
      </c>
      <c r="T223" s="30">
        <f>7031900</f>
        <v>7031900</v>
      </c>
      <c r="U223" s="30">
        <f>6470000</f>
        <v>6470000</v>
      </c>
      <c r="V223" s="30">
        <f>5429164318</f>
        <v>5429164318</v>
      </c>
      <c r="W223" s="30">
        <f>4998410000</f>
        <v>4998410000</v>
      </c>
      <c r="X223" s="34">
        <f>20</f>
        <v>20</v>
      </c>
    </row>
    <row r="224" spans="1:24" ht="13.5" customHeight="1" x14ac:dyDescent="0.15">
      <c r="A224" s="25" t="s">
        <v>1140</v>
      </c>
      <c r="B224" s="25" t="s">
        <v>1129</v>
      </c>
      <c r="C224" s="25" t="s">
        <v>1130</v>
      </c>
      <c r="D224" s="25" t="s">
        <v>1131</v>
      </c>
      <c r="E224" s="26" t="s">
        <v>45</v>
      </c>
      <c r="F224" s="27" t="s">
        <v>45</v>
      </c>
      <c r="G224" s="28" t="s">
        <v>45</v>
      </c>
      <c r="H224" s="29"/>
      <c r="I224" s="29" t="s">
        <v>46</v>
      </c>
      <c r="J224" s="30">
        <v>1</v>
      </c>
      <c r="K224" s="31">
        <f>1021</f>
        <v>1021</v>
      </c>
      <c r="L224" s="32" t="s">
        <v>995</v>
      </c>
      <c r="M224" s="31">
        <f>1033</f>
        <v>1033</v>
      </c>
      <c r="N224" s="32" t="s">
        <v>784</v>
      </c>
      <c r="O224" s="31">
        <f>976</f>
        <v>976</v>
      </c>
      <c r="P224" s="32" t="s">
        <v>1001</v>
      </c>
      <c r="Q224" s="31">
        <f>989</f>
        <v>989</v>
      </c>
      <c r="R224" s="32" t="s">
        <v>1017</v>
      </c>
      <c r="S224" s="33">
        <f>1004.1</f>
        <v>1004.1</v>
      </c>
      <c r="T224" s="30">
        <f>236963</f>
        <v>236963</v>
      </c>
      <c r="U224" s="30" t="str">
        <f>"－"</f>
        <v>－</v>
      </c>
      <c r="V224" s="30">
        <f>237982516</f>
        <v>237982516</v>
      </c>
      <c r="W224" s="30" t="str">
        <f>"－"</f>
        <v>－</v>
      </c>
      <c r="X224" s="34">
        <f>20</f>
        <v>20</v>
      </c>
    </row>
    <row r="225" spans="1:24" ht="13.5" customHeight="1" x14ac:dyDescent="0.15">
      <c r="A225" s="25" t="s">
        <v>1140</v>
      </c>
      <c r="B225" s="25" t="s">
        <v>1133</v>
      </c>
      <c r="C225" s="25" t="s">
        <v>1134</v>
      </c>
      <c r="D225" s="25" t="s">
        <v>1135</v>
      </c>
      <c r="E225" s="26" t="s">
        <v>45</v>
      </c>
      <c r="F225" s="27" t="s">
        <v>45</v>
      </c>
      <c r="G225" s="28" t="s">
        <v>45</v>
      </c>
      <c r="H225" s="29"/>
      <c r="I225" s="29" t="s">
        <v>46</v>
      </c>
      <c r="J225" s="30">
        <v>1</v>
      </c>
      <c r="K225" s="31">
        <f>1050</f>
        <v>1050</v>
      </c>
      <c r="L225" s="32" t="s">
        <v>995</v>
      </c>
      <c r="M225" s="31">
        <f>1063</f>
        <v>1063</v>
      </c>
      <c r="N225" s="32" t="s">
        <v>1002</v>
      </c>
      <c r="O225" s="31">
        <f>1021</f>
        <v>1021</v>
      </c>
      <c r="P225" s="32" t="s">
        <v>255</v>
      </c>
      <c r="Q225" s="31">
        <f>1031</f>
        <v>1031</v>
      </c>
      <c r="R225" s="32" t="s">
        <v>1017</v>
      </c>
      <c r="S225" s="33">
        <f>1042.9</f>
        <v>1042.9000000000001</v>
      </c>
      <c r="T225" s="30">
        <f>127021</f>
        <v>127021</v>
      </c>
      <c r="U225" s="30" t="str">
        <f>"－"</f>
        <v>－</v>
      </c>
      <c r="V225" s="30">
        <f>132619643</f>
        <v>132619643</v>
      </c>
      <c r="W225" s="30" t="str">
        <f>"－"</f>
        <v>－</v>
      </c>
      <c r="X225" s="34">
        <f>20</f>
        <v>20</v>
      </c>
    </row>
    <row r="226" spans="1:24" ht="13.5" customHeight="1" x14ac:dyDescent="0.15">
      <c r="A226" s="25" t="s">
        <v>1140</v>
      </c>
      <c r="B226" s="25" t="s">
        <v>1136</v>
      </c>
      <c r="C226" s="25" t="s">
        <v>1137</v>
      </c>
      <c r="D226" s="25" t="s">
        <v>1138</v>
      </c>
      <c r="E226" s="26" t="s">
        <v>45</v>
      </c>
      <c r="F226" s="27" t="s">
        <v>45</v>
      </c>
      <c r="G226" s="28" t="s">
        <v>45</v>
      </c>
      <c r="H226" s="29"/>
      <c r="I226" s="29" t="s">
        <v>46</v>
      </c>
      <c r="J226" s="30">
        <v>1</v>
      </c>
      <c r="K226" s="31">
        <f>928</f>
        <v>928</v>
      </c>
      <c r="L226" s="32" t="s">
        <v>995</v>
      </c>
      <c r="M226" s="31">
        <f>940</f>
        <v>940</v>
      </c>
      <c r="N226" s="32" t="s">
        <v>785</v>
      </c>
      <c r="O226" s="31">
        <f>862</f>
        <v>862</v>
      </c>
      <c r="P226" s="32" t="s">
        <v>1001</v>
      </c>
      <c r="Q226" s="31">
        <f>891</f>
        <v>891</v>
      </c>
      <c r="R226" s="32" t="s">
        <v>1017</v>
      </c>
      <c r="S226" s="33">
        <f>896.8</f>
        <v>896.8</v>
      </c>
      <c r="T226" s="30">
        <f>533869</f>
        <v>533869</v>
      </c>
      <c r="U226" s="30" t="str">
        <f>"－"</f>
        <v>－</v>
      </c>
      <c r="V226" s="30">
        <f>471678685</f>
        <v>471678685</v>
      </c>
      <c r="W226" s="30" t="str">
        <f>"－"</f>
        <v>－</v>
      </c>
      <c r="X226" s="34">
        <f>20</f>
        <v>20</v>
      </c>
    </row>
    <row r="227" spans="1:24" ht="13.5" customHeight="1" x14ac:dyDescent="0.15">
      <c r="A227" s="25" t="s">
        <v>1140</v>
      </c>
      <c r="B227" s="25" t="s">
        <v>643</v>
      </c>
      <c r="C227" s="25" t="s">
        <v>644</v>
      </c>
      <c r="D227" s="25" t="s">
        <v>645</v>
      </c>
      <c r="E227" s="26" t="s">
        <v>45</v>
      </c>
      <c r="F227" s="27" t="s">
        <v>45</v>
      </c>
      <c r="G227" s="28" t="s">
        <v>45</v>
      </c>
      <c r="H227" s="29"/>
      <c r="I227" s="29" t="s">
        <v>46</v>
      </c>
      <c r="J227" s="30">
        <v>10</v>
      </c>
      <c r="K227" s="31">
        <f>937</f>
        <v>937</v>
      </c>
      <c r="L227" s="32" t="s">
        <v>995</v>
      </c>
      <c r="M227" s="31">
        <f>947</f>
        <v>947</v>
      </c>
      <c r="N227" s="32" t="s">
        <v>785</v>
      </c>
      <c r="O227" s="31">
        <f>925</f>
        <v>925</v>
      </c>
      <c r="P227" s="32" t="s">
        <v>787</v>
      </c>
      <c r="Q227" s="31">
        <f>925.1</f>
        <v>925.1</v>
      </c>
      <c r="R227" s="32" t="s">
        <v>1017</v>
      </c>
      <c r="S227" s="33">
        <f>930.2</f>
        <v>930.2</v>
      </c>
      <c r="T227" s="30">
        <f>1153630</f>
        <v>1153630</v>
      </c>
      <c r="U227" s="30">
        <f>364010</f>
        <v>364010</v>
      </c>
      <c r="V227" s="30">
        <f>1072641977</f>
        <v>1072641977</v>
      </c>
      <c r="W227" s="30">
        <f>337544775</f>
        <v>337544775</v>
      </c>
      <c r="X227" s="34">
        <f>20</f>
        <v>20</v>
      </c>
    </row>
    <row r="228" spans="1:24" ht="13.5" customHeight="1" x14ac:dyDescent="0.15">
      <c r="A228" s="25" t="s">
        <v>1140</v>
      </c>
      <c r="B228" s="25" t="s">
        <v>646</v>
      </c>
      <c r="C228" s="25" t="s">
        <v>647</v>
      </c>
      <c r="D228" s="25" t="s">
        <v>648</v>
      </c>
      <c r="E228" s="26" t="s">
        <v>45</v>
      </c>
      <c r="F228" s="27" t="s">
        <v>45</v>
      </c>
      <c r="G228" s="28" t="s">
        <v>45</v>
      </c>
      <c r="H228" s="29"/>
      <c r="I228" s="29" t="s">
        <v>46</v>
      </c>
      <c r="J228" s="30">
        <v>10</v>
      </c>
      <c r="K228" s="31">
        <f>1046</f>
        <v>1046</v>
      </c>
      <c r="L228" s="32" t="s">
        <v>995</v>
      </c>
      <c r="M228" s="31">
        <f>1049</f>
        <v>1049</v>
      </c>
      <c r="N228" s="32" t="s">
        <v>785</v>
      </c>
      <c r="O228" s="31">
        <f>1014.5</f>
        <v>1014.5</v>
      </c>
      <c r="P228" s="32" t="s">
        <v>997</v>
      </c>
      <c r="Q228" s="31">
        <f>1018.5</f>
        <v>1018.5</v>
      </c>
      <c r="R228" s="32" t="s">
        <v>1017</v>
      </c>
      <c r="S228" s="33">
        <f>1026.1</f>
        <v>1026.0999999999999</v>
      </c>
      <c r="T228" s="30">
        <f>996860</f>
        <v>996860</v>
      </c>
      <c r="U228" s="30">
        <f>158040</f>
        <v>158040</v>
      </c>
      <c r="V228" s="30">
        <f>1021792068</f>
        <v>1021792068</v>
      </c>
      <c r="W228" s="30">
        <f>161942958</f>
        <v>161942958</v>
      </c>
      <c r="X228" s="34">
        <f>20</f>
        <v>20</v>
      </c>
    </row>
    <row r="229" spans="1:24" ht="13.5" customHeight="1" x14ac:dyDescent="0.15">
      <c r="A229" s="25" t="s">
        <v>1140</v>
      </c>
      <c r="B229" s="25" t="s">
        <v>649</v>
      </c>
      <c r="C229" s="25" t="s">
        <v>650</v>
      </c>
      <c r="D229" s="25" t="s">
        <v>651</v>
      </c>
      <c r="E229" s="26" t="s">
        <v>45</v>
      </c>
      <c r="F229" s="27" t="s">
        <v>45</v>
      </c>
      <c r="G229" s="28" t="s">
        <v>45</v>
      </c>
      <c r="H229" s="29"/>
      <c r="I229" s="29" t="s">
        <v>46</v>
      </c>
      <c r="J229" s="30">
        <v>10</v>
      </c>
      <c r="K229" s="31">
        <f>810</f>
        <v>810</v>
      </c>
      <c r="L229" s="32" t="s">
        <v>995</v>
      </c>
      <c r="M229" s="31">
        <f>811.6</f>
        <v>811.6</v>
      </c>
      <c r="N229" s="32" t="s">
        <v>995</v>
      </c>
      <c r="O229" s="31">
        <f>775.1</f>
        <v>775.1</v>
      </c>
      <c r="P229" s="32" t="s">
        <v>1017</v>
      </c>
      <c r="Q229" s="31">
        <f>775.5</f>
        <v>775.5</v>
      </c>
      <c r="R229" s="32" t="s">
        <v>1017</v>
      </c>
      <c r="S229" s="33">
        <f>789.12</f>
        <v>789.12</v>
      </c>
      <c r="T229" s="30">
        <f>5384010</f>
        <v>5384010</v>
      </c>
      <c r="U229" s="30">
        <f>5198660</f>
        <v>5198660</v>
      </c>
      <c r="V229" s="30">
        <f>4191480215</f>
        <v>4191480215</v>
      </c>
      <c r="W229" s="30">
        <f>4045439559</f>
        <v>4045439559</v>
      </c>
      <c r="X229" s="34">
        <f>20</f>
        <v>20</v>
      </c>
    </row>
    <row r="230" spans="1:24" ht="13.5" customHeight="1" x14ac:dyDescent="0.15">
      <c r="A230" s="25" t="s">
        <v>1140</v>
      </c>
      <c r="B230" s="25" t="s">
        <v>652</v>
      </c>
      <c r="C230" s="25" t="s">
        <v>653</v>
      </c>
      <c r="D230" s="25" t="s">
        <v>654</v>
      </c>
      <c r="E230" s="26" t="s">
        <v>45</v>
      </c>
      <c r="F230" s="27" t="s">
        <v>45</v>
      </c>
      <c r="G230" s="28" t="s">
        <v>45</v>
      </c>
      <c r="H230" s="29"/>
      <c r="I230" s="29" t="s">
        <v>46</v>
      </c>
      <c r="J230" s="30">
        <v>10</v>
      </c>
      <c r="K230" s="31">
        <f>1998</f>
        <v>1998</v>
      </c>
      <c r="L230" s="32" t="s">
        <v>995</v>
      </c>
      <c r="M230" s="31">
        <f>2022</f>
        <v>2022</v>
      </c>
      <c r="N230" s="32" t="s">
        <v>785</v>
      </c>
      <c r="O230" s="31">
        <f>1926</f>
        <v>1926</v>
      </c>
      <c r="P230" s="32" t="s">
        <v>255</v>
      </c>
      <c r="Q230" s="31">
        <f>1942</f>
        <v>1942</v>
      </c>
      <c r="R230" s="32" t="s">
        <v>1017</v>
      </c>
      <c r="S230" s="33">
        <f>1974.23</f>
        <v>1974.23</v>
      </c>
      <c r="T230" s="30">
        <f>588980</f>
        <v>588980</v>
      </c>
      <c r="U230" s="30">
        <f>180850</f>
        <v>180850</v>
      </c>
      <c r="V230" s="30">
        <f>1154862598</f>
        <v>1154862598</v>
      </c>
      <c r="W230" s="30">
        <f>353635983</f>
        <v>353635983</v>
      </c>
      <c r="X230" s="34">
        <f>20</f>
        <v>20</v>
      </c>
    </row>
    <row r="231" spans="1:24" ht="13.5" customHeight="1" x14ac:dyDescent="0.15">
      <c r="A231" s="25" t="s">
        <v>1140</v>
      </c>
      <c r="B231" s="25" t="s">
        <v>655</v>
      </c>
      <c r="C231" s="25" t="s">
        <v>656</v>
      </c>
      <c r="D231" s="25" t="s">
        <v>657</v>
      </c>
      <c r="E231" s="26" t="s">
        <v>45</v>
      </c>
      <c r="F231" s="27" t="s">
        <v>45</v>
      </c>
      <c r="G231" s="28" t="s">
        <v>45</v>
      </c>
      <c r="H231" s="29"/>
      <c r="I231" s="29" t="s">
        <v>46</v>
      </c>
      <c r="J231" s="30">
        <v>10</v>
      </c>
      <c r="K231" s="31">
        <f>1427.5</f>
        <v>1427.5</v>
      </c>
      <c r="L231" s="32" t="s">
        <v>995</v>
      </c>
      <c r="M231" s="31">
        <f>1432</f>
        <v>1432</v>
      </c>
      <c r="N231" s="32" t="s">
        <v>995</v>
      </c>
      <c r="O231" s="31">
        <f>1336.5</f>
        <v>1336.5</v>
      </c>
      <c r="P231" s="32" t="s">
        <v>997</v>
      </c>
      <c r="Q231" s="31">
        <f>1346</f>
        <v>1346</v>
      </c>
      <c r="R231" s="32" t="s">
        <v>1017</v>
      </c>
      <c r="S231" s="33">
        <f>1384.73</f>
        <v>1384.73</v>
      </c>
      <c r="T231" s="30">
        <f>96510</f>
        <v>96510</v>
      </c>
      <c r="U231" s="30">
        <f>26740</f>
        <v>26740</v>
      </c>
      <c r="V231" s="30">
        <f>132965650</f>
        <v>132965650</v>
      </c>
      <c r="W231" s="30">
        <f>36250485</f>
        <v>36250485</v>
      </c>
      <c r="X231" s="34">
        <f>20</f>
        <v>20</v>
      </c>
    </row>
    <row r="232" spans="1:24" ht="13.5" customHeight="1" x14ac:dyDescent="0.15">
      <c r="A232" s="25" t="s">
        <v>1140</v>
      </c>
      <c r="B232" s="25" t="s">
        <v>658</v>
      </c>
      <c r="C232" s="25" t="s">
        <v>659</v>
      </c>
      <c r="D232" s="25" t="s">
        <v>660</v>
      </c>
      <c r="E232" s="26" t="s">
        <v>45</v>
      </c>
      <c r="F232" s="27" t="s">
        <v>45</v>
      </c>
      <c r="G232" s="28" t="s">
        <v>45</v>
      </c>
      <c r="H232" s="29"/>
      <c r="I232" s="29" t="s">
        <v>46</v>
      </c>
      <c r="J232" s="30">
        <v>10</v>
      </c>
      <c r="K232" s="31">
        <f>1250</f>
        <v>1250</v>
      </c>
      <c r="L232" s="32" t="s">
        <v>995</v>
      </c>
      <c r="M232" s="31">
        <f>1266</f>
        <v>1266</v>
      </c>
      <c r="N232" s="32" t="s">
        <v>785</v>
      </c>
      <c r="O232" s="31">
        <f>1165.5</f>
        <v>1165.5</v>
      </c>
      <c r="P232" s="32" t="s">
        <v>997</v>
      </c>
      <c r="Q232" s="31">
        <f>1177</f>
        <v>1177</v>
      </c>
      <c r="R232" s="32" t="s">
        <v>1017</v>
      </c>
      <c r="S232" s="33">
        <f>1219.38</f>
        <v>1219.3800000000001</v>
      </c>
      <c r="T232" s="30">
        <f>688640</f>
        <v>688640</v>
      </c>
      <c r="U232" s="30">
        <f>196700</f>
        <v>196700</v>
      </c>
      <c r="V232" s="30">
        <f>826246912</f>
        <v>826246912</v>
      </c>
      <c r="W232" s="30">
        <f>230910377</f>
        <v>230910377</v>
      </c>
      <c r="X232" s="34">
        <f>20</f>
        <v>20</v>
      </c>
    </row>
    <row r="233" spans="1:24" ht="13.5" customHeight="1" x14ac:dyDescent="0.15">
      <c r="A233" s="25" t="s">
        <v>1140</v>
      </c>
      <c r="B233" s="25" t="s">
        <v>661</v>
      </c>
      <c r="C233" s="25" t="s">
        <v>662</v>
      </c>
      <c r="D233" s="25" t="s">
        <v>663</v>
      </c>
      <c r="E233" s="26" t="s">
        <v>45</v>
      </c>
      <c r="F233" s="27" t="s">
        <v>45</v>
      </c>
      <c r="G233" s="28" t="s">
        <v>45</v>
      </c>
      <c r="H233" s="29"/>
      <c r="I233" s="29" t="s">
        <v>46</v>
      </c>
      <c r="J233" s="30">
        <v>10</v>
      </c>
      <c r="K233" s="31">
        <f>588.9</f>
        <v>588.9</v>
      </c>
      <c r="L233" s="32" t="s">
        <v>995</v>
      </c>
      <c r="M233" s="31">
        <f>597</f>
        <v>597</v>
      </c>
      <c r="N233" s="32" t="s">
        <v>784</v>
      </c>
      <c r="O233" s="31">
        <f>547.1</f>
        <v>547.1</v>
      </c>
      <c r="P233" s="32" t="s">
        <v>1001</v>
      </c>
      <c r="Q233" s="31">
        <f>564.8</f>
        <v>564.79999999999995</v>
      </c>
      <c r="R233" s="32" t="s">
        <v>1017</v>
      </c>
      <c r="S233" s="33">
        <f>573.58</f>
        <v>573.58000000000004</v>
      </c>
      <c r="T233" s="30">
        <f>22443810</f>
        <v>22443810</v>
      </c>
      <c r="U233" s="30">
        <f>62020</f>
        <v>62020</v>
      </c>
      <c r="V233" s="30">
        <f>12863033421</f>
        <v>12863033421</v>
      </c>
      <c r="W233" s="30">
        <f>35312272</f>
        <v>35312272</v>
      </c>
      <c r="X233" s="34">
        <f>20</f>
        <v>20</v>
      </c>
    </row>
    <row r="234" spans="1:24" ht="13.5" customHeight="1" x14ac:dyDescent="0.15">
      <c r="A234" s="25" t="s">
        <v>1140</v>
      </c>
      <c r="B234" s="25" t="s">
        <v>664</v>
      </c>
      <c r="C234" s="25" t="s">
        <v>665</v>
      </c>
      <c r="D234" s="25" t="s">
        <v>666</v>
      </c>
      <c r="E234" s="26" t="s">
        <v>45</v>
      </c>
      <c r="F234" s="27" t="s">
        <v>45</v>
      </c>
      <c r="G234" s="28" t="s">
        <v>45</v>
      </c>
      <c r="H234" s="29"/>
      <c r="I234" s="29" t="s">
        <v>46</v>
      </c>
      <c r="J234" s="30">
        <v>10</v>
      </c>
      <c r="K234" s="31">
        <f>1141.5</f>
        <v>1141.5</v>
      </c>
      <c r="L234" s="32" t="s">
        <v>995</v>
      </c>
      <c r="M234" s="31">
        <f>1160</f>
        <v>1160</v>
      </c>
      <c r="N234" s="32" t="s">
        <v>78</v>
      </c>
      <c r="O234" s="31">
        <f>1110</f>
        <v>1110</v>
      </c>
      <c r="P234" s="32" t="s">
        <v>997</v>
      </c>
      <c r="Q234" s="31">
        <f>1124</f>
        <v>1124</v>
      </c>
      <c r="R234" s="32" t="s">
        <v>1017</v>
      </c>
      <c r="S234" s="33">
        <f>1135.88</f>
        <v>1135.8800000000001</v>
      </c>
      <c r="T234" s="30">
        <f>531040</f>
        <v>531040</v>
      </c>
      <c r="U234" s="30">
        <f>480000</f>
        <v>480000</v>
      </c>
      <c r="V234" s="30">
        <f>602910257</f>
        <v>602910257</v>
      </c>
      <c r="W234" s="30">
        <f>544872752</f>
        <v>544872752</v>
      </c>
      <c r="X234" s="34">
        <f>20</f>
        <v>20</v>
      </c>
    </row>
    <row r="235" spans="1:24" ht="13.5" customHeight="1" x14ac:dyDescent="0.15">
      <c r="A235" s="25" t="s">
        <v>1140</v>
      </c>
      <c r="B235" s="25" t="s">
        <v>667</v>
      </c>
      <c r="C235" s="25" t="s">
        <v>668</v>
      </c>
      <c r="D235" s="25" t="s">
        <v>669</v>
      </c>
      <c r="E235" s="26" t="s">
        <v>45</v>
      </c>
      <c r="F235" s="27" t="s">
        <v>45</v>
      </c>
      <c r="G235" s="28" t="s">
        <v>45</v>
      </c>
      <c r="H235" s="29"/>
      <c r="I235" s="29" t="s">
        <v>46</v>
      </c>
      <c r="J235" s="30">
        <v>1</v>
      </c>
      <c r="K235" s="31">
        <f>1278</f>
        <v>1278</v>
      </c>
      <c r="L235" s="32" t="s">
        <v>995</v>
      </c>
      <c r="M235" s="31">
        <f>1325</f>
        <v>1325</v>
      </c>
      <c r="N235" s="32" t="s">
        <v>1000</v>
      </c>
      <c r="O235" s="31">
        <f>1268</f>
        <v>1268</v>
      </c>
      <c r="P235" s="32" t="s">
        <v>1017</v>
      </c>
      <c r="Q235" s="31">
        <f>1268</f>
        <v>1268</v>
      </c>
      <c r="R235" s="32" t="s">
        <v>1017</v>
      </c>
      <c r="S235" s="33">
        <f>1296.65</f>
        <v>1296.6500000000001</v>
      </c>
      <c r="T235" s="30">
        <f>81249</f>
        <v>81249</v>
      </c>
      <c r="U235" s="30">
        <f>44002</f>
        <v>44002</v>
      </c>
      <c r="V235" s="30">
        <f>105509050</f>
        <v>105509050</v>
      </c>
      <c r="W235" s="30">
        <f>57136600</f>
        <v>57136600</v>
      </c>
      <c r="X235" s="34">
        <f>20</f>
        <v>20</v>
      </c>
    </row>
    <row r="236" spans="1:24" ht="13.5" customHeight="1" x14ac:dyDescent="0.15">
      <c r="A236" s="25" t="s">
        <v>1140</v>
      </c>
      <c r="B236" s="25" t="s">
        <v>670</v>
      </c>
      <c r="C236" s="25" t="s">
        <v>671</v>
      </c>
      <c r="D236" s="25" t="s">
        <v>672</v>
      </c>
      <c r="E236" s="26" t="s">
        <v>45</v>
      </c>
      <c r="F236" s="27" t="s">
        <v>45</v>
      </c>
      <c r="G236" s="28" t="s">
        <v>45</v>
      </c>
      <c r="H236" s="29"/>
      <c r="I236" s="29" t="s">
        <v>46</v>
      </c>
      <c r="J236" s="30">
        <v>10</v>
      </c>
      <c r="K236" s="31">
        <f>986</f>
        <v>986</v>
      </c>
      <c r="L236" s="32" t="s">
        <v>995</v>
      </c>
      <c r="M236" s="31">
        <f>988.8</f>
        <v>988.8</v>
      </c>
      <c r="N236" s="32" t="s">
        <v>785</v>
      </c>
      <c r="O236" s="31">
        <f>940.1</f>
        <v>940.1</v>
      </c>
      <c r="P236" s="32" t="s">
        <v>1017</v>
      </c>
      <c r="Q236" s="31">
        <f>943</f>
        <v>943</v>
      </c>
      <c r="R236" s="32" t="s">
        <v>1017</v>
      </c>
      <c r="S236" s="33">
        <f>958.67</f>
        <v>958.67</v>
      </c>
      <c r="T236" s="30">
        <f>170270</f>
        <v>170270</v>
      </c>
      <c r="U236" s="30">
        <f>36230</f>
        <v>36230</v>
      </c>
      <c r="V236" s="30">
        <f>163280510</f>
        <v>163280510</v>
      </c>
      <c r="W236" s="30">
        <f>34099676</f>
        <v>34099676</v>
      </c>
      <c r="X236" s="34">
        <f>20</f>
        <v>20</v>
      </c>
    </row>
    <row r="237" spans="1:24" ht="13.5" customHeight="1" x14ac:dyDescent="0.15">
      <c r="A237" s="25" t="s">
        <v>1140</v>
      </c>
      <c r="B237" s="25" t="s">
        <v>673</v>
      </c>
      <c r="C237" s="25" t="s">
        <v>674</v>
      </c>
      <c r="D237" s="25" t="s">
        <v>675</v>
      </c>
      <c r="E237" s="26" t="s">
        <v>45</v>
      </c>
      <c r="F237" s="27" t="s">
        <v>45</v>
      </c>
      <c r="G237" s="28" t="s">
        <v>45</v>
      </c>
      <c r="H237" s="29"/>
      <c r="I237" s="29" t="s">
        <v>46</v>
      </c>
      <c r="J237" s="30">
        <v>10</v>
      </c>
      <c r="K237" s="31">
        <f>1262.5</f>
        <v>1262.5</v>
      </c>
      <c r="L237" s="32" t="s">
        <v>995</v>
      </c>
      <c r="M237" s="31">
        <f>1286</f>
        <v>1286</v>
      </c>
      <c r="N237" s="32" t="s">
        <v>784</v>
      </c>
      <c r="O237" s="31">
        <f>1208.5</f>
        <v>1208.5</v>
      </c>
      <c r="P237" s="32" t="s">
        <v>1002</v>
      </c>
      <c r="Q237" s="31">
        <f>1236</f>
        <v>1236</v>
      </c>
      <c r="R237" s="32" t="s">
        <v>1017</v>
      </c>
      <c r="S237" s="33">
        <f>1245.55</f>
        <v>1245.55</v>
      </c>
      <c r="T237" s="30">
        <f>85170</f>
        <v>85170</v>
      </c>
      <c r="U237" s="30" t="str">
        <f>"－"</f>
        <v>－</v>
      </c>
      <c r="V237" s="30">
        <f>106344240</f>
        <v>106344240</v>
      </c>
      <c r="W237" s="30" t="str">
        <f>"－"</f>
        <v>－</v>
      </c>
      <c r="X237" s="34">
        <f>20</f>
        <v>20</v>
      </c>
    </row>
    <row r="238" spans="1:24" ht="13.5" customHeight="1" x14ac:dyDescent="0.15">
      <c r="A238" s="25" t="s">
        <v>1140</v>
      </c>
      <c r="B238" s="25" t="s">
        <v>676</v>
      </c>
      <c r="C238" s="25" t="s">
        <v>677</v>
      </c>
      <c r="D238" s="25" t="s">
        <v>678</v>
      </c>
      <c r="E238" s="26" t="s">
        <v>45</v>
      </c>
      <c r="F238" s="27" t="s">
        <v>45</v>
      </c>
      <c r="G238" s="28" t="s">
        <v>45</v>
      </c>
      <c r="H238" s="29"/>
      <c r="I238" s="29" t="s">
        <v>46</v>
      </c>
      <c r="J238" s="30">
        <v>10</v>
      </c>
      <c r="K238" s="31">
        <f>1472</f>
        <v>1472</v>
      </c>
      <c r="L238" s="32" t="s">
        <v>995</v>
      </c>
      <c r="M238" s="31">
        <f>1474.5</f>
        <v>1474.5</v>
      </c>
      <c r="N238" s="32" t="s">
        <v>785</v>
      </c>
      <c r="O238" s="31">
        <f>1386.5</f>
        <v>1386.5</v>
      </c>
      <c r="P238" s="32" t="s">
        <v>997</v>
      </c>
      <c r="Q238" s="31">
        <f>1397.5</f>
        <v>1397.5</v>
      </c>
      <c r="R238" s="32" t="s">
        <v>1017</v>
      </c>
      <c r="S238" s="33">
        <f>1441.1</f>
        <v>1441.1</v>
      </c>
      <c r="T238" s="30">
        <f>7380840</f>
        <v>7380840</v>
      </c>
      <c r="U238" s="30">
        <f>4674310</f>
        <v>4674310</v>
      </c>
      <c r="V238" s="30">
        <f>10431320862</f>
        <v>10431320862</v>
      </c>
      <c r="W238" s="30">
        <f>6526012147</f>
        <v>6526012147</v>
      </c>
      <c r="X238" s="34">
        <f>20</f>
        <v>20</v>
      </c>
    </row>
    <row r="239" spans="1:24" ht="13.5" customHeight="1" x14ac:dyDescent="0.15">
      <c r="A239" s="25" t="s">
        <v>1140</v>
      </c>
      <c r="B239" s="25" t="s">
        <v>679</v>
      </c>
      <c r="C239" s="25" t="s">
        <v>680</v>
      </c>
      <c r="D239" s="25" t="s">
        <v>681</v>
      </c>
      <c r="E239" s="26" t="s">
        <v>45</v>
      </c>
      <c r="F239" s="27" t="s">
        <v>45</v>
      </c>
      <c r="G239" s="28" t="s">
        <v>45</v>
      </c>
      <c r="H239" s="29"/>
      <c r="I239" s="29" t="s">
        <v>46</v>
      </c>
      <c r="J239" s="30">
        <v>1</v>
      </c>
      <c r="K239" s="31">
        <f>4440</f>
        <v>4440</v>
      </c>
      <c r="L239" s="32" t="s">
        <v>995</v>
      </c>
      <c r="M239" s="31">
        <f>4490</f>
        <v>4490</v>
      </c>
      <c r="N239" s="32" t="s">
        <v>1003</v>
      </c>
      <c r="O239" s="31">
        <f>4215</f>
        <v>4215</v>
      </c>
      <c r="P239" s="32" t="s">
        <v>1001</v>
      </c>
      <c r="Q239" s="31">
        <f>4320</f>
        <v>4320</v>
      </c>
      <c r="R239" s="32" t="s">
        <v>1017</v>
      </c>
      <c r="S239" s="33">
        <f>4370.75</f>
        <v>4370.75</v>
      </c>
      <c r="T239" s="30">
        <f>25323</f>
        <v>25323</v>
      </c>
      <c r="U239" s="30" t="str">
        <f>"－"</f>
        <v>－</v>
      </c>
      <c r="V239" s="30">
        <f>112163240</f>
        <v>112163240</v>
      </c>
      <c r="W239" s="30" t="str">
        <f>"－"</f>
        <v>－</v>
      </c>
      <c r="X239" s="34">
        <f>20</f>
        <v>20</v>
      </c>
    </row>
    <row r="240" spans="1:24" ht="13.5" customHeight="1" x14ac:dyDescent="0.15">
      <c r="A240" s="25" t="s">
        <v>1140</v>
      </c>
      <c r="B240" s="25" t="s">
        <v>682</v>
      </c>
      <c r="C240" s="25" t="s">
        <v>683</v>
      </c>
      <c r="D240" s="25" t="s">
        <v>684</v>
      </c>
      <c r="E240" s="26" t="s">
        <v>45</v>
      </c>
      <c r="F240" s="27" t="s">
        <v>45</v>
      </c>
      <c r="G240" s="28" t="s">
        <v>45</v>
      </c>
      <c r="H240" s="29"/>
      <c r="I240" s="29" t="s">
        <v>46</v>
      </c>
      <c r="J240" s="30">
        <v>10</v>
      </c>
      <c r="K240" s="31">
        <f>1885.5</f>
        <v>1885.5</v>
      </c>
      <c r="L240" s="32" t="s">
        <v>784</v>
      </c>
      <c r="M240" s="31">
        <f>1940</f>
        <v>1940</v>
      </c>
      <c r="N240" s="32" t="s">
        <v>786</v>
      </c>
      <c r="O240" s="31">
        <f>1855.5</f>
        <v>1855.5</v>
      </c>
      <c r="P240" s="32" t="s">
        <v>78</v>
      </c>
      <c r="Q240" s="31">
        <f>1940</f>
        <v>1940</v>
      </c>
      <c r="R240" s="32" t="s">
        <v>255</v>
      </c>
      <c r="S240" s="33">
        <f>1896.1</f>
        <v>1896.1</v>
      </c>
      <c r="T240" s="30">
        <f>210</f>
        <v>210</v>
      </c>
      <c r="U240" s="30" t="str">
        <f>"－"</f>
        <v>－</v>
      </c>
      <c r="V240" s="30">
        <f>400720</f>
        <v>400720</v>
      </c>
      <c r="W240" s="30" t="str">
        <f>"－"</f>
        <v>－</v>
      </c>
      <c r="X240" s="34">
        <f>5</f>
        <v>5</v>
      </c>
    </row>
    <row r="241" spans="1:24" ht="13.5" customHeight="1" x14ac:dyDescent="0.15">
      <c r="A241" s="25" t="s">
        <v>1140</v>
      </c>
      <c r="B241" s="25" t="s">
        <v>685</v>
      </c>
      <c r="C241" s="25" t="s">
        <v>686</v>
      </c>
      <c r="D241" s="25" t="s">
        <v>687</v>
      </c>
      <c r="E241" s="26" t="s">
        <v>45</v>
      </c>
      <c r="F241" s="27" t="s">
        <v>45</v>
      </c>
      <c r="G241" s="28" t="s">
        <v>45</v>
      </c>
      <c r="H241" s="29"/>
      <c r="I241" s="29" t="s">
        <v>46</v>
      </c>
      <c r="J241" s="30">
        <v>10</v>
      </c>
      <c r="K241" s="31">
        <f>2389.5</f>
        <v>2389.5</v>
      </c>
      <c r="L241" s="32" t="s">
        <v>995</v>
      </c>
      <c r="M241" s="31">
        <f>2483</f>
        <v>2483</v>
      </c>
      <c r="N241" s="32" t="s">
        <v>1002</v>
      </c>
      <c r="O241" s="31">
        <f>2388.5</f>
        <v>2388.5</v>
      </c>
      <c r="P241" s="32" t="s">
        <v>1017</v>
      </c>
      <c r="Q241" s="31">
        <f>2388.5</f>
        <v>2388.5</v>
      </c>
      <c r="R241" s="32" t="s">
        <v>1017</v>
      </c>
      <c r="S241" s="33">
        <f>2425.78</f>
        <v>2425.7800000000002</v>
      </c>
      <c r="T241" s="30">
        <f>1196660</f>
        <v>1196660</v>
      </c>
      <c r="U241" s="30">
        <f>100010</f>
        <v>100010</v>
      </c>
      <c r="V241" s="30">
        <f>2901780375</f>
        <v>2901780375</v>
      </c>
      <c r="W241" s="30">
        <f>242633960</f>
        <v>242633960</v>
      </c>
      <c r="X241" s="34">
        <f>20</f>
        <v>20</v>
      </c>
    </row>
    <row r="242" spans="1:24" ht="13.5" customHeight="1" x14ac:dyDescent="0.15">
      <c r="A242" s="25" t="s">
        <v>1140</v>
      </c>
      <c r="B242" s="25" t="s">
        <v>688</v>
      </c>
      <c r="C242" s="25" t="s">
        <v>689</v>
      </c>
      <c r="D242" s="25" t="s">
        <v>690</v>
      </c>
      <c r="E242" s="26" t="s">
        <v>45</v>
      </c>
      <c r="F242" s="27" t="s">
        <v>45</v>
      </c>
      <c r="G242" s="28" t="s">
        <v>45</v>
      </c>
      <c r="H242" s="29"/>
      <c r="I242" s="29" t="s">
        <v>46</v>
      </c>
      <c r="J242" s="30">
        <v>1</v>
      </c>
      <c r="K242" s="31">
        <f>32820</f>
        <v>32820</v>
      </c>
      <c r="L242" s="32" t="s">
        <v>995</v>
      </c>
      <c r="M242" s="31">
        <f>33960</f>
        <v>33960</v>
      </c>
      <c r="N242" s="32" t="s">
        <v>1002</v>
      </c>
      <c r="O242" s="31">
        <f>32260</f>
        <v>32260</v>
      </c>
      <c r="P242" s="32" t="s">
        <v>997</v>
      </c>
      <c r="Q242" s="31">
        <f>32330</f>
        <v>32330</v>
      </c>
      <c r="R242" s="32" t="s">
        <v>1017</v>
      </c>
      <c r="S242" s="33">
        <f>33053.16</f>
        <v>33053.160000000003</v>
      </c>
      <c r="T242" s="30">
        <f>215606</f>
        <v>215606</v>
      </c>
      <c r="U242" s="30">
        <f>98490</f>
        <v>98490</v>
      </c>
      <c r="V242" s="30">
        <f>7117924727</f>
        <v>7117924727</v>
      </c>
      <c r="W242" s="30">
        <f>3237525317</f>
        <v>3237525317</v>
      </c>
      <c r="X242" s="34">
        <f>19</f>
        <v>19</v>
      </c>
    </row>
    <row r="243" spans="1:24" ht="13.5" customHeight="1" x14ac:dyDescent="0.15">
      <c r="A243" s="25" t="s">
        <v>1140</v>
      </c>
      <c r="B243" s="25" t="s">
        <v>691</v>
      </c>
      <c r="C243" s="25" t="s">
        <v>692</v>
      </c>
      <c r="D243" s="25" t="s">
        <v>693</v>
      </c>
      <c r="E243" s="26" t="s">
        <v>45</v>
      </c>
      <c r="F243" s="27" t="s">
        <v>45</v>
      </c>
      <c r="G243" s="28" t="s">
        <v>45</v>
      </c>
      <c r="H243" s="29"/>
      <c r="I243" s="29" t="s">
        <v>46</v>
      </c>
      <c r="J243" s="30">
        <v>1</v>
      </c>
      <c r="K243" s="31">
        <f>21445</f>
        <v>21445</v>
      </c>
      <c r="L243" s="32" t="s">
        <v>995</v>
      </c>
      <c r="M243" s="31">
        <f>21890</f>
        <v>21890</v>
      </c>
      <c r="N243" s="32" t="s">
        <v>78</v>
      </c>
      <c r="O243" s="31">
        <f>21445</f>
        <v>21445</v>
      </c>
      <c r="P243" s="32" t="s">
        <v>995</v>
      </c>
      <c r="Q243" s="31">
        <f>21745</f>
        <v>21745</v>
      </c>
      <c r="R243" s="32" t="s">
        <v>1000</v>
      </c>
      <c r="S243" s="33">
        <f>21700.83</f>
        <v>21700.83</v>
      </c>
      <c r="T243" s="30">
        <f>62</f>
        <v>62</v>
      </c>
      <c r="U243" s="30" t="str">
        <f>"－"</f>
        <v>－</v>
      </c>
      <c r="V243" s="30">
        <f>1343705</f>
        <v>1343705</v>
      </c>
      <c r="W243" s="30" t="str">
        <f>"－"</f>
        <v>－</v>
      </c>
      <c r="X243" s="34">
        <f>6</f>
        <v>6</v>
      </c>
    </row>
    <row r="244" spans="1:24" ht="13.5" customHeight="1" x14ac:dyDescent="0.15">
      <c r="A244" s="25" t="s">
        <v>1140</v>
      </c>
      <c r="B244" s="25" t="s">
        <v>694</v>
      </c>
      <c r="C244" s="25" t="s">
        <v>695</v>
      </c>
      <c r="D244" s="25" t="s">
        <v>696</v>
      </c>
      <c r="E244" s="26" t="s">
        <v>45</v>
      </c>
      <c r="F244" s="27" t="s">
        <v>45</v>
      </c>
      <c r="G244" s="28" t="s">
        <v>45</v>
      </c>
      <c r="H244" s="29"/>
      <c r="I244" s="29" t="s">
        <v>46</v>
      </c>
      <c r="J244" s="30">
        <v>10</v>
      </c>
      <c r="K244" s="31">
        <f>1155</f>
        <v>1155</v>
      </c>
      <c r="L244" s="32" t="s">
        <v>995</v>
      </c>
      <c r="M244" s="31">
        <f>1169</f>
        <v>1169</v>
      </c>
      <c r="N244" s="32" t="s">
        <v>784</v>
      </c>
      <c r="O244" s="31">
        <f>1124.5</f>
        <v>1124.5</v>
      </c>
      <c r="P244" s="32" t="s">
        <v>997</v>
      </c>
      <c r="Q244" s="31">
        <f>1127.5</f>
        <v>1127.5</v>
      </c>
      <c r="R244" s="32" t="s">
        <v>1017</v>
      </c>
      <c r="S244" s="33">
        <f>1145.79</f>
        <v>1145.79</v>
      </c>
      <c r="T244" s="30">
        <f>2493390</f>
        <v>2493390</v>
      </c>
      <c r="U244" s="30">
        <f>338310</f>
        <v>338310</v>
      </c>
      <c r="V244" s="30">
        <f>2874286602</f>
        <v>2874286602</v>
      </c>
      <c r="W244" s="30">
        <f>383680527</f>
        <v>383680527</v>
      </c>
      <c r="X244" s="34">
        <f>17</f>
        <v>17</v>
      </c>
    </row>
    <row r="245" spans="1:24" ht="13.5" customHeight="1" x14ac:dyDescent="0.15">
      <c r="A245" s="25" t="s">
        <v>1140</v>
      </c>
      <c r="B245" s="25" t="s">
        <v>697</v>
      </c>
      <c r="C245" s="25" t="s">
        <v>1085</v>
      </c>
      <c r="D245" s="25" t="s">
        <v>1086</v>
      </c>
      <c r="E245" s="26" t="s">
        <v>45</v>
      </c>
      <c r="F245" s="27" t="s">
        <v>45</v>
      </c>
      <c r="G245" s="28" t="s">
        <v>45</v>
      </c>
      <c r="H245" s="29"/>
      <c r="I245" s="29" t="s">
        <v>46</v>
      </c>
      <c r="J245" s="30">
        <v>10</v>
      </c>
      <c r="K245" s="31">
        <f>1158</f>
        <v>1158</v>
      </c>
      <c r="L245" s="32" t="s">
        <v>785</v>
      </c>
      <c r="M245" s="31">
        <f>1169</f>
        <v>1169</v>
      </c>
      <c r="N245" s="32" t="s">
        <v>78</v>
      </c>
      <c r="O245" s="31">
        <f>1109</f>
        <v>1109</v>
      </c>
      <c r="P245" s="32" t="s">
        <v>997</v>
      </c>
      <c r="Q245" s="31">
        <f>1109</f>
        <v>1109</v>
      </c>
      <c r="R245" s="32" t="s">
        <v>997</v>
      </c>
      <c r="S245" s="33">
        <f>1132.18</f>
        <v>1132.18</v>
      </c>
      <c r="T245" s="30">
        <f>395860</f>
        <v>395860</v>
      </c>
      <c r="U245" s="30">
        <f>178010</f>
        <v>178010</v>
      </c>
      <c r="V245" s="30">
        <f>448120230</f>
        <v>448120230</v>
      </c>
      <c r="W245" s="30">
        <f>198027580</f>
        <v>198027580</v>
      </c>
      <c r="X245" s="34">
        <f>17</f>
        <v>17</v>
      </c>
    </row>
    <row r="246" spans="1:24" ht="13.5" customHeight="1" x14ac:dyDescent="0.15">
      <c r="A246" s="25" t="s">
        <v>1140</v>
      </c>
      <c r="B246" s="25" t="s">
        <v>700</v>
      </c>
      <c r="C246" s="25" t="s">
        <v>701</v>
      </c>
      <c r="D246" s="25" t="s">
        <v>702</v>
      </c>
      <c r="E246" s="26" t="s">
        <v>45</v>
      </c>
      <c r="F246" s="27" t="s">
        <v>45</v>
      </c>
      <c r="G246" s="28" t="s">
        <v>45</v>
      </c>
      <c r="H246" s="29"/>
      <c r="I246" s="29" t="s">
        <v>46</v>
      </c>
      <c r="J246" s="30">
        <v>1</v>
      </c>
      <c r="K246" s="31">
        <f>1470</f>
        <v>1470</v>
      </c>
      <c r="L246" s="32" t="s">
        <v>995</v>
      </c>
      <c r="M246" s="31">
        <f>1572</f>
        <v>1572</v>
      </c>
      <c r="N246" s="32" t="s">
        <v>80</v>
      </c>
      <c r="O246" s="31">
        <f>1470</f>
        <v>1470</v>
      </c>
      <c r="P246" s="32" t="s">
        <v>995</v>
      </c>
      <c r="Q246" s="31">
        <f>1524</f>
        <v>1524</v>
      </c>
      <c r="R246" s="32" t="s">
        <v>1017</v>
      </c>
      <c r="S246" s="33">
        <f>1527.45</f>
        <v>1527.45</v>
      </c>
      <c r="T246" s="30">
        <f>1227983</f>
        <v>1227983</v>
      </c>
      <c r="U246" s="30">
        <f>699618</f>
        <v>699618</v>
      </c>
      <c r="V246" s="30">
        <f>1878839824</f>
        <v>1878839824</v>
      </c>
      <c r="W246" s="30">
        <f>1072967585</f>
        <v>1072967585</v>
      </c>
      <c r="X246" s="34">
        <f>20</f>
        <v>20</v>
      </c>
    </row>
    <row r="247" spans="1:24" ht="13.5" customHeight="1" x14ac:dyDescent="0.15">
      <c r="A247" s="25" t="s">
        <v>1140</v>
      </c>
      <c r="B247" s="25" t="s">
        <v>703</v>
      </c>
      <c r="C247" s="25" t="s">
        <v>704</v>
      </c>
      <c r="D247" s="25" t="s">
        <v>705</v>
      </c>
      <c r="E247" s="26" t="s">
        <v>45</v>
      </c>
      <c r="F247" s="27" t="s">
        <v>45</v>
      </c>
      <c r="G247" s="28" t="s">
        <v>45</v>
      </c>
      <c r="H247" s="29"/>
      <c r="I247" s="29" t="s">
        <v>46</v>
      </c>
      <c r="J247" s="30">
        <v>1</v>
      </c>
      <c r="K247" s="31">
        <f>13495</f>
        <v>13495</v>
      </c>
      <c r="L247" s="32" t="s">
        <v>995</v>
      </c>
      <c r="M247" s="31">
        <f>13575</f>
        <v>13575</v>
      </c>
      <c r="N247" s="32" t="s">
        <v>785</v>
      </c>
      <c r="O247" s="31">
        <f>12980</f>
        <v>12980</v>
      </c>
      <c r="P247" s="32" t="s">
        <v>794</v>
      </c>
      <c r="Q247" s="31">
        <f>13430</f>
        <v>13430</v>
      </c>
      <c r="R247" s="32" t="s">
        <v>1017</v>
      </c>
      <c r="S247" s="33">
        <f>13262.5</f>
        <v>13262.5</v>
      </c>
      <c r="T247" s="30">
        <f>675</f>
        <v>675</v>
      </c>
      <c r="U247" s="30" t="str">
        <f>"－"</f>
        <v>－</v>
      </c>
      <c r="V247" s="30">
        <f>8964040</f>
        <v>8964040</v>
      </c>
      <c r="W247" s="30" t="str">
        <f>"－"</f>
        <v>－</v>
      </c>
      <c r="X247" s="34">
        <f>20</f>
        <v>20</v>
      </c>
    </row>
    <row r="248" spans="1:24" ht="13.5" customHeight="1" x14ac:dyDescent="0.15">
      <c r="A248" s="25" t="s">
        <v>1140</v>
      </c>
      <c r="B248" s="25" t="s">
        <v>706</v>
      </c>
      <c r="C248" s="25" t="s">
        <v>707</v>
      </c>
      <c r="D248" s="25" t="s">
        <v>708</v>
      </c>
      <c r="E248" s="26" t="s">
        <v>45</v>
      </c>
      <c r="F248" s="27" t="s">
        <v>45</v>
      </c>
      <c r="G248" s="28" t="s">
        <v>45</v>
      </c>
      <c r="H248" s="29"/>
      <c r="I248" s="29" t="s">
        <v>46</v>
      </c>
      <c r="J248" s="30">
        <v>1</v>
      </c>
      <c r="K248" s="31">
        <f>2034</f>
        <v>2034</v>
      </c>
      <c r="L248" s="32" t="s">
        <v>995</v>
      </c>
      <c r="M248" s="31">
        <f>2067</f>
        <v>2067</v>
      </c>
      <c r="N248" s="32" t="s">
        <v>78</v>
      </c>
      <c r="O248" s="31">
        <f>1982</f>
        <v>1982</v>
      </c>
      <c r="P248" s="32" t="s">
        <v>997</v>
      </c>
      <c r="Q248" s="31">
        <f>2004</f>
        <v>2004</v>
      </c>
      <c r="R248" s="32" t="s">
        <v>1017</v>
      </c>
      <c r="S248" s="33">
        <f>2024.25</f>
        <v>2024.25</v>
      </c>
      <c r="T248" s="30">
        <f>426026</f>
        <v>426026</v>
      </c>
      <c r="U248" s="30">
        <f>385072</f>
        <v>385072</v>
      </c>
      <c r="V248" s="30">
        <f>860708278</f>
        <v>860708278</v>
      </c>
      <c r="W248" s="30">
        <f>777999900</f>
        <v>777999900</v>
      </c>
      <c r="X248" s="34">
        <f>20</f>
        <v>20</v>
      </c>
    </row>
    <row r="249" spans="1:24" ht="13.5" customHeight="1" x14ac:dyDescent="0.15">
      <c r="A249" s="25" t="s">
        <v>1140</v>
      </c>
      <c r="B249" s="25" t="s">
        <v>709</v>
      </c>
      <c r="C249" s="25" t="s">
        <v>710</v>
      </c>
      <c r="D249" s="25" t="s">
        <v>711</v>
      </c>
      <c r="E249" s="26" t="s">
        <v>45</v>
      </c>
      <c r="F249" s="27" t="s">
        <v>45</v>
      </c>
      <c r="G249" s="28" t="s">
        <v>45</v>
      </c>
      <c r="H249" s="29"/>
      <c r="I249" s="29" t="s">
        <v>46</v>
      </c>
      <c r="J249" s="30">
        <v>10</v>
      </c>
      <c r="K249" s="31">
        <f>1596.5</f>
        <v>1596.5</v>
      </c>
      <c r="L249" s="32" t="s">
        <v>785</v>
      </c>
      <c r="M249" s="31">
        <f>1596.5</f>
        <v>1596.5</v>
      </c>
      <c r="N249" s="32" t="s">
        <v>785</v>
      </c>
      <c r="O249" s="31">
        <f>1516.5</f>
        <v>1516.5</v>
      </c>
      <c r="P249" s="32" t="s">
        <v>1000</v>
      </c>
      <c r="Q249" s="31">
        <f>1570</f>
        <v>1570</v>
      </c>
      <c r="R249" s="32" t="s">
        <v>80</v>
      </c>
      <c r="S249" s="33">
        <f>1544.43</f>
        <v>1544.43</v>
      </c>
      <c r="T249" s="30">
        <f>420</f>
        <v>420</v>
      </c>
      <c r="U249" s="30" t="str">
        <f>"－"</f>
        <v>－</v>
      </c>
      <c r="V249" s="30">
        <f>647535</f>
        <v>647535</v>
      </c>
      <c r="W249" s="30" t="str">
        <f>"－"</f>
        <v>－</v>
      </c>
      <c r="X249" s="34">
        <f>7</f>
        <v>7</v>
      </c>
    </row>
    <row r="250" spans="1:24" ht="13.5" customHeight="1" x14ac:dyDescent="0.15">
      <c r="A250" s="25" t="s">
        <v>1140</v>
      </c>
      <c r="B250" s="25" t="s">
        <v>712</v>
      </c>
      <c r="C250" s="25" t="s">
        <v>795</v>
      </c>
      <c r="D250" s="25" t="s">
        <v>796</v>
      </c>
      <c r="E250" s="26" t="s">
        <v>45</v>
      </c>
      <c r="F250" s="27" t="s">
        <v>45</v>
      </c>
      <c r="G250" s="28" t="s">
        <v>45</v>
      </c>
      <c r="H250" s="29"/>
      <c r="I250" s="29" t="s">
        <v>46</v>
      </c>
      <c r="J250" s="30">
        <v>10</v>
      </c>
      <c r="K250" s="31">
        <f>825.1</f>
        <v>825.1</v>
      </c>
      <c r="L250" s="32" t="s">
        <v>995</v>
      </c>
      <c r="M250" s="31">
        <f>825.1</f>
        <v>825.1</v>
      </c>
      <c r="N250" s="32" t="s">
        <v>995</v>
      </c>
      <c r="O250" s="31">
        <f>800</f>
        <v>800</v>
      </c>
      <c r="P250" s="32" t="s">
        <v>997</v>
      </c>
      <c r="Q250" s="31">
        <f>800.2</f>
        <v>800.2</v>
      </c>
      <c r="R250" s="32" t="s">
        <v>1017</v>
      </c>
      <c r="S250" s="33">
        <f>810.58</f>
        <v>810.58</v>
      </c>
      <c r="T250" s="30">
        <f>450890</f>
        <v>450890</v>
      </c>
      <c r="U250" s="30">
        <f>75720</f>
        <v>75720</v>
      </c>
      <c r="V250" s="30">
        <f>365487976</f>
        <v>365487976</v>
      </c>
      <c r="W250" s="30">
        <f>60591144</f>
        <v>60591144</v>
      </c>
      <c r="X250" s="34">
        <f>20</f>
        <v>20</v>
      </c>
    </row>
    <row r="251" spans="1:24" ht="13.5" customHeight="1" x14ac:dyDescent="0.15">
      <c r="A251" s="25" t="s">
        <v>1140</v>
      </c>
      <c r="B251" s="25" t="s">
        <v>713</v>
      </c>
      <c r="C251" s="25" t="s">
        <v>714</v>
      </c>
      <c r="D251" s="25" t="s">
        <v>715</v>
      </c>
      <c r="E251" s="26" t="s">
        <v>45</v>
      </c>
      <c r="F251" s="27" t="s">
        <v>45</v>
      </c>
      <c r="G251" s="28" t="s">
        <v>45</v>
      </c>
      <c r="H251" s="29"/>
      <c r="I251" s="29" t="s">
        <v>46</v>
      </c>
      <c r="J251" s="30">
        <v>10</v>
      </c>
      <c r="K251" s="31">
        <f>1944.5</f>
        <v>1944.5</v>
      </c>
      <c r="L251" s="32" t="s">
        <v>995</v>
      </c>
      <c r="M251" s="31">
        <f>1979</f>
        <v>1979</v>
      </c>
      <c r="N251" s="32" t="s">
        <v>78</v>
      </c>
      <c r="O251" s="31">
        <f>1897.5</f>
        <v>1897.5</v>
      </c>
      <c r="P251" s="32" t="s">
        <v>997</v>
      </c>
      <c r="Q251" s="31">
        <f>1917.5</f>
        <v>1917.5</v>
      </c>
      <c r="R251" s="32" t="s">
        <v>1017</v>
      </c>
      <c r="S251" s="33">
        <f>1937.68</f>
        <v>1937.68</v>
      </c>
      <c r="T251" s="30">
        <f>874190</f>
        <v>874190</v>
      </c>
      <c r="U251" s="30">
        <f>579480</f>
        <v>579480</v>
      </c>
      <c r="V251" s="30">
        <f>1687252922</f>
        <v>1687252922</v>
      </c>
      <c r="W251" s="30">
        <f>1120676457</f>
        <v>1120676457</v>
      </c>
      <c r="X251" s="34">
        <f>20</f>
        <v>20</v>
      </c>
    </row>
    <row r="252" spans="1:24" ht="13.5" customHeight="1" x14ac:dyDescent="0.15">
      <c r="A252" s="25" t="s">
        <v>1140</v>
      </c>
      <c r="B252" s="25" t="s">
        <v>716</v>
      </c>
      <c r="C252" s="25" t="s">
        <v>717</v>
      </c>
      <c r="D252" s="25" t="s">
        <v>718</v>
      </c>
      <c r="E252" s="26" t="s">
        <v>45</v>
      </c>
      <c r="F252" s="27" t="s">
        <v>45</v>
      </c>
      <c r="G252" s="28" t="s">
        <v>45</v>
      </c>
      <c r="H252" s="29"/>
      <c r="I252" s="29" t="s">
        <v>46</v>
      </c>
      <c r="J252" s="30">
        <v>10</v>
      </c>
      <c r="K252" s="31">
        <f>1943</f>
        <v>1943</v>
      </c>
      <c r="L252" s="32" t="s">
        <v>995</v>
      </c>
      <c r="M252" s="31">
        <f>1978</f>
        <v>1978</v>
      </c>
      <c r="N252" s="32" t="s">
        <v>78</v>
      </c>
      <c r="O252" s="31">
        <f>1895.5</f>
        <v>1895.5</v>
      </c>
      <c r="P252" s="32" t="s">
        <v>997</v>
      </c>
      <c r="Q252" s="31">
        <f>1918.5</f>
        <v>1918.5</v>
      </c>
      <c r="R252" s="32" t="s">
        <v>1017</v>
      </c>
      <c r="S252" s="33">
        <f>1938.03</f>
        <v>1938.03</v>
      </c>
      <c r="T252" s="30">
        <f>1403650</f>
        <v>1403650</v>
      </c>
      <c r="U252" s="30">
        <f>996340</f>
        <v>996340</v>
      </c>
      <c r="V252" s="30">
        <f>2720490483</f>
        <v>2720490483</v>
      </c>
      <c r="W252" s="30">
        <f>1925974028</f>
        <v>1925974028</v>
      </c>
      <c r="X252" s="34">
        <f>20</f>
        <v>20</v>
      </c>
    </row>
    <row r="253" spans="1:24" ht="13.5" customHeight="1" x14ac:dyDescent="0.15">
      <c r="A253" s="25" t="s">
        <v>1140</v>
      </c>
      <c r="B253" s="25" t="s">
        <v>719</v>
      </c>
      <c r="C253" s="25" t="s">
        <v>720</v>
      </c>
      <c r="D253" s="25" t="s">
        <v>721</v>
      </c>
      <c r="E253" s="26" t="s">
        <v>45</v>
      </c>
      <c r="F253" s="27" t="s">
        <v>45</v>
      </c>
      <c r="G253" s="28" t="s">
        <v>45</v>
      </c>
      <c r="H253" s="29"/>
      <c r="I253" s="29" t="s">
        <v>46</v>
      </c>
      <c r="J253" s="30">
        <v>10</v>
      </c>
      <c r="K253" s="31">
        <f>2351.5</f>
        <v>2351.5</v>
      </c>
      <c r="L253" s="32" t="s">
        <v>995</v>
      </c>
      <c r="M253" s="31">
        <f>2463</f>
        <v>2463</v>
      </c>
      <c r="N253" s="32" t="s">
        <v>1002</v>
      </c>
      <c r="O253" s="31">
        <f>2351.5</f>
        <v>2351.5</v>
      </c>
      <c r="P253" s="32" t="s">
        <v>995</v>
      </c>
      <c r="Q253" s="31">
        <f>2368</f>
        <v>2368</v>
      </c>
      <c r="R253" s="32" t="s">
        <v>1017</v>
      </c>
      <c r="S253" s="33">
        <f>2405.05</f>
        <v>2405.0500000000002</v>
      </c>
      <c r="T253" s="30">
        <f>5064340</f>
        <v>5064340</v>
      </c>
      <c r="U253" s="30">
        <f>3640500</f>
        <v>3640500</v>
      </c>
      <c r="V253" s="30">
        <f>12177380635</f>
        <v>12177380635</v>
      </c>
      <c r="W253" s="30">
        <f>8747238650</f>
        <v>8747238650</v>
      </c>
      <c r="X253" s="34">
        <f>20</f>
        <v>20</v>
      </c>
    </row>
    <row r="254" spans="1:24" ht="13.5" customHeight="1" x14ac:dyDescent="0.15">
      <c r="A254" s="25" t="s">
        <v>1140</v>
      </c>
      <c r="B254" s="25" t="s">
        <v>722</v>
      </c>
      <c r="C254" s="25" t="s">
        <v>723</v>
      </c>
      <c r="D254" s="25" t="s">
        <v>724</v>
      </c>
      <c r="E254" s="26" t="s">
        <v>45</v>
      </c>
      <c r="F254" s="27" t="s">
        <v>45</v>
      </c>
      <c r="G254" s="28" t="s">
        <v>45</v>
      </c>
      <c r="H254" s="29"/>
      <c r="I254" s="29" t="s">
        <v>46</v>
      </c>
      <c r="J254" s="30">
        <v>1</v>
      </c>
      <c r="K254" s="31">
        <f>18880</f>
        <v>18880</v>
      </c>
      <c r="L254" s="32" t="s">
        <v>995</v>
      </c>
      <c r="M254" s="31">
        <f>19190</f>
        <v>19190</v>
      </c>
      <c r="N254" s="32" t="s">
        <v>1002</v>
      </c>
      <c r="O254" s="31">
        <f>18350</f>
        <v>18350</v>
      </c>
      <c r="P254" s="32" t="s">
        <v>255</v>
      </c>
      <c r="Q254" s="31">
        <f>18485</f>
        <v>18485</v>
      </c>
      <c r="R254" s="32" t="s">
        <v>1017</v>
      </c>
      <c r="S254" s="33">
        <f>18799.25</f>
        <v>18799.25</v>
      </c>
      <c r="T254" s="30">
        <f>686622</f>
        <v>686622</v>
      </c>
      <c r="U254" s="30">
        <f>14886</f>
        <v>14886</v>
      </c>
      <c r="V254" s="30">
        <f>12915856360</f>
        <v>12915856360</v>
      </c>
      <c r="W254" s="30">
        <f>280660980</f>
        <v>280660980</v>
      </c>
      <c r="X254" s="34">
        <f>20</f>
        <v>20</v>
      </c>
    </row>
    <row r="255" spans="1:24" ht="13.5" customHeight="1" x14ac:dyDescent="0.15">
      <c r="A255" s="25" t="s">
        <v>1140</v>
      </c>
      <c r="B255" s="25" t="s">
        <v>725</v>
      </c>
      <c r="C255" s="25" t="s">
        <v>726</v>
      </c>
      <c r="D255" s="25" t="s">
        <v>727</v>
      </c>
      <c r="E255" s="26" t="s">
        <v>45</v>
      </c>
      <c r="F255" s="27" t="s">
        <v>45</v>
      </c>
      <c r="G255" s="28" t="s">
        <v>45</v>
      </c>
      <c r="H255" s="29"/>
      <c r="I255" s="29" t="s">
        <v>46</v>
      </c>
      <c r="J255" s="30">
        <v>1</v>
      </c>
      <c r="K255" s="31">
        <f>16490</f>
        <v>16490</v>
      </c>
      <c r="L255" s="32" t="s">
        <v>995</v>
      </c>
      <c r="M255" s="31">
        <f>16765</f>
        <v>16765</v>
      </c>
      <c r="N255" s="32" t="s">
        <v>1002</v>
      </c>
      <c r="O255" s="31">
        <f>16115</f>
        <v>16115</v>
      </c>
      <c r="P255" s="32" t="s">
        <v>1001</v>
      </c>
      <c r="Q255" s="31">
        <f>16330</f>
        <v>16330</v>
      </c>
      <c r="R255" s="32" t="s">
        <v>1017</v>
      </c>
      <c r="S255" s="33">
        <f>16495.75</f>
        <v>16495.75</v>
      </c>
      <c r="T255" s="30">
        <f>179708</f>
        <v>179708</v>
      </c>
      <c r="U255" s="30" t="str">
        <f>"－"</f>
        <v>－</v>
      </c>
      <c r="V255" s="30">
        <f>2959739555</f>
        <v>2959739555</v>
      </c>
      <c r="W255" s="30" t="str">
        <f>"－"</f>
        <v>－</v>
      </c>
      <c r="X255" s="34">
        <f>20</f>
        <v>20</v>
      </c>
    </row>
    <row r="256" spans="1:24" ht="13.5" customHeight="1" x14ac:dyDescent="0.15">
      <c r="A256" s="25" t="s">
        <v>1140</v>
      </c>
      <c r="B256" s="25" t="s">
        <v>728</v>
      </c>
      <c r="C256" s="25" t="s">
        <v>729</v>
      </c>
      <c r="D256" s="25" t="s">
        <v>730</v>
      </c>
      <c r="E256" s="26" t="s">
        <v>45</v>
      </c>
      <c r="F256" s="27" t="s">
        <v>45</v>
      </c>
      <c r="G256" s="28" t="s">
        <v>45</v>
      </c>
      <c r="H256" s="29"/>
      <c r="I256" s="29" t="s">
        <v>46</v>
      </c>
      <c r="J256" s="30">
        <v>1</v>
      </c>
      <c r="K256" s="31">
        <f>31500</f>
        <v>31500</v>
      </c>
      <c r="L256" s="32" t="s">
        <v>784</v>
      </c>
      <c r="M256" s="31">
        <f>32490</f>
        <v>32490</v>
      </c>
      <c r="N256" s="32" t="s">
        <v>1000</v>
      </c>
      <c r="O256" s="31">
        <f>31410</f>
        <v>31410</v>
      </c>
      <c r="P256" s="32" t="s">
        <v>1000</v>
      </c>
      <c r="Q256" s="31">
        <f>31660</f>
        <v>31660</v>
      </c>
      <c r="R256" s="32" t="s">
        <v>789</v>
      </c>
      <c r="S256" s="33">
        <f>31769</f>
        <v>31769</v>
      </c>
      <c r="T256" s="30">
        <f>100</f>
        <v>100</v>
      </c>
      <c r="U256" s="30" t="str">
        <f>"－"</f>
        <v>－</v>
      </c>
      <c r="V256" s="30">
        <f>3177000</f>
        <v>3177000</v>
      </c>
      <c r="W256" s="30" t="str">
        <f>"－"</f>
        <v>－</v>
      </c>
      <c r="X256" s="34">
        <f>10</f>
        <v>10</v>
      </c>
    </row>
    <row r="257" spans="1:24" ht="13.5" customHeight="1" x14ac:dyDescent="0.15">
      <c r="A257" s="25" t="s">
        <v>1140</v>
      </c>
      <c r="B257" s="25" t="s">
        <v>731</v>
      </c>
      <c r="C257" s="25" t="s">
        <v>732</v>
      </c>
      <c r="D257" s="25" t="s">
        <v>733</v>
      </c>
      <c r="E257" s="26" t="s">
        <v>45</v>
      </c>
      <c r="F257" s="27" t="s">
        <v>45</v>
      </c>
      <c r="G257" s="28" t="s">
        <v>45</v>
      </c>
      <c r="H257" s="29"/>
      <c r="I257" s="29" t="s">
        <v>46</v>
      </c>
      <c r="J257" s="30">
        <v>1</v>
      </c>
      <c r="K257" s="31">
        <f>2470</f>
        <v>2470</v>
      </c>
      <c r="L257" s="32" t="s">
        <v>995</v>
      </c>
      <c r="M257" s="31">
        <f>2478</f>
        <v>2478</v>
      </c>
      <c r="N257" s="32" t="s">
        <v>995</v>
      </c>
      <c r="O257" s="31">
        <f>2447</f>
        <v>2447</v>
      </c>
      <c r="P257" s="32" t="s">
        <v>1017</v>
      </c>
      <c r="Q257" s="31">
        <f>2452</f>
        <v>2452</v>
      </c>
      <c r="R257" s="32" t="s">
        <v>1017</v>
      </c>
      <c r="S257" s="33">
        <f>2463.45</f>
        <v>2463.4499999999998</v>
      </c>
      <c r="T257" s="30">
        <f>2490155</f>
        <v>2490155</v>
      </c>
      <c r="U257" s="30">
        <f>1719415</f>
        <v>1719415</v>
      </c>
      <c r="V257" s="30">
        <f>6144049871</f>
        <v>6144049871</v>
      </c>
      <c r="W257" s="30">
        <f>4246310485</f>
        <v>4246310485</v>
      </c>
      <c r="X257" s="34">
        <f>20</f>
        <v>20</v>
      </c>
    </row>
    <row r="258" spans="1:24" ht="13.5" customHeight="1" x14ac:dyDescent="0.15">
      <c r="A258" s="25" t="s">
        <v>1140</v>
      </c>
      <c r="B258" s="25" t="s">
        <v>734</v>
      </c>
      <c r="C258" s="25" t="s">
        <v>735</v>
      </c>
      <c r="D258" s="25" t="s">
        <v>736</v>
      </c>
      <c r="E258" s="26" t="s">
        <v>45</v>
      </c>
      <c r="F258" s="27" t="s">
        <v>45</v>
      </c>
      <c r="G258" s="28" t="s">
        <v>45</v>
      </c>
      <c r="H258" s="29"/>
      <c r="I258" s="29" t="s">
        <v>46</v>
      </c>
      <c r="J258" s="30">
        <v>10</v>
      </c>
      <c r="K258" s="31">
        <f>2805</f>
        <v>2805</v>
      </c>
      <c r="L258" s="32" t="s">
        <v>995</v>
      </c>
      <c r="M258" s="31">
        <f>2820</f>
        <v>2820</v>
      </c>
      <c r="N258" s="32" t="s">
        <v>1002</v>
      </c>
      <c r="O258" s="31">
        <f>2692</f>
        <v>2692</v>
      </c>
      <c r="P258" s="32" t="s">
        <v>997</v>
      </c>
      <c r="Q258" s="31">
        <f>2707.5</f>
        <v>2707.5</v>
      </c>
      <c r="R258" s="32" t="s">
        <v>1017</v>
      </c>
      <c r="S258" s="33">
        <f>2771.48</f>
        <v>2771.48</v>
      </c>
      <c r="T258" s="30">
        <f>645070</f>
        <v>645070</v>
      </c>
      <c r="U258" s="30">
        <f>460410</f>
        <v>460410</v>
      </c>
      <c r="V258" s="30">
        <f>1770522947</f>
        <v>1770522947</v>
      </c>
      <c r="W258" s="30">
        <f>1257880847</f>
        <v>1257880847</v>
      </c>
      <c r="X258" s="34">
        <f>20</f>
        <v>20</v>
      </c>
    </row>
    <row r="259" spans="1:24" ht="13.5" customHeight="1" x14ac:dyDescent="0.15">
      <c r="A259" s="25" t="s">
        <v>1140</v>
      </c>
      <c r="B259" s="25" t="s">
        <v>737</v>
      </c>
      <c r="C259" s="25" t="s">
        <v>738</v>
      </c>
      <c r="D259" s="25" t="s">
        <v>739</v>
      </c>
      <c r="E259" s="26" t="s">
        <v>45</v>
      </c>
      <c r="F259" s="27" t="s">
        <v>45</v>
      </c>
      <c r="G259" s="28" t="s">
        <v>45</v>
      </c>
      <c r="H259" s="29"/>
      <c r="I259" s="29" t="s">
        <v>46</v>
      </c>
      <c r="J259" s="30">
        <v>10</v>
      </c>
      <c r="K259" s="31">
        <f>273.5</f>
        <v>273.5</v>
      </c>
      <c r="L259" s="32" t="s">
        <v>995</v>
      </c>
      <c r="M259" s="31">
        <f>274</f>
        <v>274</v>
      </c>
      <c r="N259" s="32" t="s">
        <v>785</v>
      </c>
      <c r="O259" s="31">
        <f>257.6</f>
        <v>257.60000000000002</v>
      </c>
      <c r="P259" s="32" t="s">
        <v>997</v>
      </c>
      <c r="Q259" s="31">
        <f>259.7</f>
        <v>259.7</v>
      </c>
      <c r="R259" s="32" t="s">
        <v>1017</v>
      </c>
      <c r="S259" s="33">
        <f>267.79</f>
        <v>267.79000000000002</v>
      </c>
      <c r="T259" s="30">
        <f>38122920</f>
        <v>38122920</v>
      </c>
      <c r="U259" s="30">
        <f>6769880</f>
        <v>6769880</v>
      </c>
      <c r="V259" s="30">
        <f>10160531624</f>
        <v>10160531624</v>
      </c>
      <c r="W259" s="30">
        <f>1815776228</f>
        <v>1815776228</v>
      </c>
      <c r="X259" s="34">
        <f>20</f>
        <v>20</v>
      </c>
    </row>
    <row r="260" spans="1:24" ht="13.5" customHeight="1" x14ac:dyDescent="0.15">
      <c r="A260" s="25" t="s">
        <v>1140</v>
      </c>
      <c r="B260" s="25" t="s">
        <v>740</v>
      </c>
      <c r="C260" s="25" t="s">
        <v>741</v>
      </c>
      <c r="D260" s="25" t="s">
        <v>742</v>
      </c>
      <c r="E260" s="26" t="s">
        <v>45</v>
      </c>
      <c r="F260" s="27" t="s">
        <v>45</v>
      </c>
      <c r="G260" s="28" t="s">
        <v>45</v>
      </c>
      <c r="H260" s="29"/>
      <c r="I260" s="29" t="s">
        <v>46</v>
      </c>
      <c r="J260" s="30">
        <v>1</v>
      </c>
      <c r="K260" s="31">
        <f>2479</f>
        <v>2479</v>
      </c>
      <c r="L260" s="32" t="s">
        <v>995</v>
      </c>
      <c r="M260" s="31">
        <f>2653</f>
        <v>2653</v>
      </c>
      <c r="N260" s="32" t="s">
        <v>80</v>
      </c>
      <c r="O260" s="31">
        <f>2471</f>
        <v>2471</v>
      </c>
      <c r="P260" s="32" t="s">
        <v>995</v>
      </c>
      <c r="Q260" s="31">
        <f>2535</f>
        <v>2535</v>
      </c>
      <c r="R260" s="32" t="s">
        <v>1017</v>
      </c>
      <c r="S260" s="33">
        <f>2574.9</f>
        <v>2574.9</v>
      </c>
      <c r="T260" s="30">
        <f>4127583</f>
        <v>4127583</v>
      </c>
      <c r="U260" s="30">
        <f>876704</f>
        <v>876704</v>
      </c>
      <c r="V260" s="30">
        <f>10670040546</f>
        <v>10670040546</v>
      </c>
      <c r="W260" s="30">
        <f>2293414228</f>
        <v>2293414228</v>
      </c>
      <c r="X260" s="34">
        <f>20</f>
        <v>20</v>
      </c>
    </row>
    <row r="261" spans="1:24" ht="13.5" customHeight="1" x14ac:dyDescent="0.15">
      <c r="A261" s="25" t="s">
        <v>1140</v>
      </c>
      <c r="B261" s="25" t="s">
        <v>743</v>
      </c>
      <c r="C261" s="25" t="s">
        <v>744</v>
      </c>
      <c r="D261" s="25" t="s">
        <v>745</v>
      </c>
      <c r="E261" s="26" t="s">
        <v>45</v>
      </c>
      <c r="F261" s="27" t="s">
        <v>45</v>
      </c>
      <c r="G261" s="28" t="s">
        <v>45</v>
      </c>
      <c r="H261" s="29"/>
      <c r="I261" s="29" t="s">
        <v>46</v>
      </c>
      <c r="J261" s="30">
        <v>1</v>
      </c>
      <c r="K261" s="31">
        <f>971</f>
        <v>971</v>
      </c>
      <c r="L261" s="32" t="s">
        <v>995</v>
      </c>
      <c r="M261" s="31">
        <f>983</f>
        <v>983</v>
      </c>
      <c r="N261" s="32" t="s">
        <v>78</v>
      </c>
      <c r="O261" s="31">
        <f>926</f>
        <v>926</v>
      </c>
      <c r="P261" s="32" t="s">
        <v>997</v>
      </c>
      <c r="Q261" s="31">
        <f>938</f>
        <v>938</v>
      </c>
      <c r="R261" s="32" t="s">
        <v>1017</v>
      </c>
      <c r="S261" s="33">
        <f>954.65</f>
        <v>954.65</v>
      </c>
      <c r="T261" s="30">
        <f>767987</f>
        <v>767987</v>
      </c>
      <c r="U261" s="30">
        <f>4</f>
        <v>4</v>
      </c>
      <c r="V261" s="30">
        <f>729961958</f>
        <v>729961958</v>
      </c>
      <c r="W261" s="30">
        <f>3767</f>
        <v>3767</v>
      </c>
      <c r="X261" s="34">
        <f>20</f>
        <v>20</v>
      </c>
    </row>
    <row r="262" spans="1:24" ht="13.5" customHeight="1" x14ac:dyDescent="0.15">
      <c r="A262" s="25" t="s">
        <v>1140</v>
      </c>
      <c r="B262" s="25" t="s">
        <v>746</v>
      </c>
      <c r="C262" s="25" t="s">
        <v>747</v>
      </c>
      <c r="D262" s="25" t="s">
        <v>748</v>
      </c>
      <c r="E262" s="26" t="s">
        <v>45</v>
      </c>
      <c r="F262" s="27" t="s">
        <v>45</v>
      </c>
      <c r="G262" s="28" t="s">
        <v>45</v>
      </c>
      <c r="H262" s="29"/>
      <c r="I262" s="29" t="s">
        <v>46</v>
      </c>
      <c r="J262" s="30">
        <v>10</v>
      </c>
      <c r="K262" s="31">
        <f>1070.5</f>
        <v>1070.5</v>
      </c>
      <c r="L262" s="32" t="s">
        <v>995</v>
      </c>
      <c r="M262" s="31">
        <f>1089</f>
        <v>1089</v>
      </c>
      <c r="N262" s="32" t="s">
        <v>78</v>
      </c>
      <c r="O262" s="31">
        <f>1043</f>
        <v>1043</v>
      </c>
      <c r="P262" s="32" t="s">
        <v>997</v>
      </c>
      <c r="Q262" s="31">
        <f>1053</f>
        <v>1053</v>
      </c>
      <c r="R262" s="32" t="s">
        <v>1017</v>
      </c>
      <c r="S262" s="33">
        <f>1065.35</f>
        <v>1065.3499999999999</v>
      </c>
      <c r="T262" s="30">
        <f>434210</f>
        <v>434210</v>
      </c>
      <c r="U262" s="30">
        <f>200000</f>
        <v>200000</v>
      </c>
      <c r="V262" s="30">
        <f>461310600</f>
        <v>461310600</v>
      </c>
      <c r="W262" s="30">
        <f>212577800</f>
        <v>212577800</v>
      </c>
      <c r="X262" s="34">
        <f>20</f>
        <v>20</v>
      </c>
    </row>
    <row r="263" spans="1:24" ht="13.5" customHeight="1" x14ac:dyDescent="0.15">
      <c r="A263" s="25" t="s">
        <v>1140</v>
      </c>
      <c r="B263" s="25" t="s">
        <v>749</v>
      </c>
      <c r="C263" s="25" t="s">
        <v>750</v>
      </c>
      <c r="D263" s="25" t="s">
        <v>751</v>
      </c>
      <c r="E263" s="26" t="s">
        <v>45</v>
      </c>
      <c r="F263" s="27" t="s">
        <v>45</v>
      </c>
      <c r="G263" s="28" t="s">
        <v>45</v>
      </c>
      <c r="H263" s="29"/>
      <c r="I263" s="29" t="s">
        <v>46</v>
      </c>
      <c r="J263" s="30">
        <v>10</v>
      </c>
      <c r="K263" s="31">
        <f>310.1</f>
        <v>310.10000000000002</v>
      </c>
      <c r="L263" s="32" t="s">
        <v>995</v>
      </c>
      <c r="M263" s="31">
        <f>344.6</f>
        <v>344.6</v>
      </c>
      <c r="N263" s="32" t="s">
        <v>56</v>
      </c>
      <c r="O263" s="31">
        <f>310.1</f>
        <v>310.10000000000002</v>
      </c>
      <c r="P263" s="32" t="s">
        <v>995</v>
      </c>
      <c r="Q263" s="31">
        <f>314.6</f>
        <v>314.60000000000002</v>
      </c>
      <c r="R263" s="32" t="s">
        <v>1017</v>
      </c>
      <c r="S263" s="33">
        <f>324.32</f>
        <v>324.32</v>
      </c>
      <c r="T263" s="30">
        <f>20100</f>
        <v>20100</v>
      </c>
      <c r="U263" s="30" t="str">
        <f>"－"</f>
        <v>－</v>
      </c>
      <c r="V263" s="30">
        <f>6446049</f>
        <v>6446049</v>
      </c>
      <c r="W263" s="30" t="str">
        <f>"－"</f>
        <v>－</v>
      </c>
      <c r="X263" s="34">
        <f>20</f>
        <v>20</v>
      </c>
    </row>
    <row r="264" spans="1:24" ht="13.5" customHeight="1" x14ac:dyDescent="0.15">
      <c r="A264" s="25" t="s">
        <v>1140</v>
      </c>
      <c r="B264" s="25" t="s">
        <v>752</v>
      </c>
      <c r="C264" s="25" t="s">
        <v>753</v>
      </c>
      <c r="D264" s="25" t="s">
        <v>754</v>
      </c>
      <c r="E264" s="26" t="s">
        <v>45</v>
      </c>
      <c r="F264" s="27" t="s">
        <v>45</v>
      </c>
      <c r="G264" s="28" t="s">
        <v>45</v>
      </c>
      <c r="H264" s="29"/>
      <c r="I264" s="29" t="s">
        <v>46</v>
      </c>
      <c r="J264" s="30">
        <v>10</v>
      </c>
      <c r="K264" s="31">
        <f>3878</f>
        <v>3878</v>
      </c>
      <c r="L264" s="32" t="s">
        <v>995</v>
      </c>
      <c r="M264" s="31">
        <f>3939</f>
        <v>3939</v>
      </c>
      <c r="N264" s="32" t="s">
        <v>1002</v>
      </c>
      <c r="O264" s="31">
        <f>3724</f>
        <v>3724</v>
      </c>
      <c r="P264" s="32" t="s">
        <v>1001</v>
      </c>
      <c r="Q264" s="31">
        <f>3779</f>
        <v>3779</v>
      </c>
      <c r="R264" s="32" t="s">
        <v>1017</v>
      </c>
      <c r="S264" s="33">
        <f>3845.2</f>
        <v>3845.2</v>
      </c>
      <c r="T264" s="30">
        <f>1928340</f>
        <v>1928340</v>
      </c>
      <c r="U264" s="30" t="str">
        <f>"－"</f>
        <v>－</v>
      </c>
      <c r="V264" s="30">
        <f>7406337320</f>
        <v>7406337320</v>
      </c>
      <c r="W264" s="30" t="str">
        <f>"－"</f>
        <v>－</v>
      </c>
      <c r="X264" s="34">
        <f>20</f>
        <v>20</v>
      </c>
    </row>
    <row r="265" spans="1:24" ht="13.5" customHeight="1" x14ac:dyDescent="0.15">
      <c r="A265" s="25" t="s">
        <v>1140</v>
      </c>
      <c r="B265" s="25" t="s">
        <v>755</v>
      </c>
      <c r="C265" s="25" t="s">
        <v>756</v>
      </c>
      <c r="D265" s="25" t="s">
        <v>757</v>
      </c>
      <c r="E265" s="26" t="s">
        <v>45</v>
      </c>
      <c r="F265" s="27" t="s">
        <v>45</v>
      </c>
      <c r="G265" s="28" t="s">
        <v>45</v>
      </c>
      <c r="H265" s="29"/>
      <c r="I265" s="29" t="s">
        <v>46</v>
      </c>
      <c r="J265" s="30">
        <v>10</v>
      </c>
      <c r="K265" s="31">
        <f>2585</f>
        <v>2585</v>
      </c>
      <c r="L265" s="32" t="s">
        <v>995</v>
      </c>
      <c r="M265" s="31">
        <f>2589</f>
        <v>2589</v>
      </c>
      <c r="N265" s="32" t="s">
        <v>995</v>
      </c>
      <c r="O265" s="31">
        <f>2414</f>
        <v>2414</v>
      </c>
      <c r="P265" s="32" t="s">
        <v>997</v>
      </c>
      <c r="Q265" s="31">
        <f>2443</f>
        <v>2443</v>
      </c>
      <c r="R265" s="32" t="s">
        <v>1017</v>
      </c>
      <c r="S265" s="33">
        <f>2519.93</f>
        <v>2519.9299999999998</v>
      </c>
      <c r="T265" s="30">
        <f>1607410</f>
        <v>1607410</v>
      </c>
      <c r="U265" s="30">
        <f>329350</f>
        <v>329350</v>
      </c>
      <c r="V265" s="30">
        <f>4046608297</f>
        <v>4046608297</v>
      </c>
      <c r="W265" s="30">
        <f>829646292</f>
        <v>829646292</v>
      </c>
      <c r="X265" s="34">
        <f>20</f>
        <v>20</v>
      </c>
    </row>
    <row r="266" spans="1:24" ht="13.5" customHeight="1" x14ac:dyDescent="0.15">
      <c r="A266" s="25" t="s">
        <v>1140</v>
      </c>
      <c r="B266" s="25" t="s">
        <v>758</v>
      </c>
      <c r="C266" s="25" t="s">
        <v>759</v>
      </c>
      <c r="D266" s="25" t="s">
        <v>760</v>
      </c>
      <c r="E266" s="26" t="s">
        <v>45</v>
      </c>
      <c r="F266" s="27" t="s">
        <v>45</v>
      </c>
      <c r="G266" s="28" t="s">
        <v>45</v>
      </c>
      <c r="H266" s="29"/>
      <c r="I266" s="29" t="s">
        <v>46</v>
      </c>
      <c r="J266" s="30">
        <v>10</v>
      </c>
      <c r="K266" s="31">
        <f>324.3</f>
        <v>324.3</v>
      </c>
      <c r="L266" s="32" t="s">
        <v>995</v>
      </c>
      <c r="M266" s="31">
        <f>333</f>
        <v>333</v>
      </c>
      <c r="N266" s="32" t="s">
        <v>1017</v>
      </c>
      <c r="O266" s="31">
        <f>323.8</f>
        <v>323.8</v>
      </c>
      <c r="P266" s="32" t="s">
        <v>995</v>
      </c>
      <c r="Q266" s="31">
        <f>332.3</f>
        <v>332.3</v>
      </c>
      <c r="R266" s="32" t="s">
        <v>1017</v>
      </c>
      <c r="S266" s="33">
        <f>328.7</f>
        <v>328.7</v>
      </c>
      <c r="T266" s="30">
        <f>88444560</f>
        <v>88444560</v>
      </c>
      <c r="U266" s="30">
        <f>75035340</f>
        <v>75035340</v>
      </c>
      <c r="V266" s="30">
        <f>28906558269</f>
        <v>28906558269</v>
      </c>
      <c r="W266" s="30">
        <f>24490595346</f>
        <v>24490595346</v>
      </c>
      <c r="X266" s="34">
        <f>20</f>
        <v>20</v>
      </c>
    </row>
    <row r="267" spans="1:24" ht="13.5" customHeight="1" x14ac:dyDescent="0.15">
      <c r="A267" s="25" t="s">
        <v>1140</v>
      </c>
      <c r="B267" s="25" t="s">
        <v>761</v>
      </c>
      <c r="C267" s="25" t="s">
        <v>762</v>
      </c>
      <c r="D267" s="25" t="s">
        <v>763</v>
      </c>
      <c r="E267" s="26" t="s">
        <v>45</v>
      </c>
      <c r="F267" s="27" t="s">
        <v>45</v>
      </c>
      <c r="G267" s="28" t="s">
        <v>45</v>
      </c>
      <c r="H267" s="29"/>
      <c r="I267" s="29" t="s">
        <v>46</v>
      </c>
      <c r="J267" s="30">
        <v>1</v>
      </c>
      <c r="K267" s="31">
        <f>1350</f>
        <v>1350</v>
      </c>
      <c r="L267" s="32" t="s">
        <v>995</v>
      </c>
      <c r="M267" s="31">
        <f>1352</f>
        <v>1352</v>
      </c>
      <c r="N267" s="32" t="s">
        <v>995</v>
      </c>
      <c r="O267" s="31">
        <f>1230</f>
        <v>1230</v>
      </c>
      <c r="P267" s="32" t="s">
        <v>1017</v>
      </c>
      <c r="Q267" s="31">
        <f>1236</f>
        <v>1236</v>
      </c>
      <c r="R267" s="32" t="s">
        <v>1017</v>
      </c>
      <c r="S267" s="33">
        <f>1298.1</f>
        <v>1298.0999999999999</v>
      </c>
      <c r="T267" s="30">
        <f>14970266</f>
        <v>14970266</v>
      </c>
      <c r="U267" s="30">
        <f>69611</f>
        <v>69611</v>
      </c>
      <c r="V267" s="30">
        <f>19353767626</f>
        <v>19353767626</v>
      </c>
      <c r="W267" s="30">
        <f>86868018</f>
        <v>86868018</v>
      </c>
      <c r="X267" s="34">
        <f>20</f>
        <v>20</v>
      </c>
    </row>
    <row r="268" spans="1:24" ht="13.5" customHeight="1" x14ac:dyDescent="0.15">
      <c r="A268" s="25" t="s">
        <v>1140</v>
      </c>
      <c r="B268" s="25" t="s">
        <v>764</v>
      </c>
      <c r="C268" s="25" t="s">
        <v>765</v>
      </c>
      <c r="D268" s="25" t="s">
        <v>766</v>
      </c>
      <c r="E268" s="26" t="s">
        <v>45</v>
      </c>
      <c r="F268" s="27" t="s">
        <v>45</v>
      </c>
      <c r="G268" s="28" t="s">
        <v>45</v>
      </c>
      <c r="H268" s="29"/>
      <c r="I268" s="29" t="s">
        <v>46</v>
      </c>
      <c r="J268" s="30">
        <v>1</v>
      </c>
      <c r="K268" s="31">
        <f>1784</f>
        <v>1784</v>
      </c>
      <c r="L268" s="32" t="s">
        <v>995</v>
      </c>
      <c r="M268" s="31">
        <f>1784</f>
        <v>1784</v>
      </c>
      <c r="N268" s="32" t="s">
        <v>995</v>
      </c>
      <c r="O268" s="31">
        <f>1714</f>
        <v>1714</v>
      </c>
      <c r="P268" s="32" t="s">
        <v>1017</v>
      </c>
      <c r="Q268" s="31">
        <f>1722</f>
        <v>1722</v>
      </c>
      <c r="R268" s="32" t="s">
        <v>1017</v>
      </c>
      <c r="S268" s="33">
        <f>1755.75</f>
        <v>1755.75</v>
      </c>
      <c r="T268" s="30">
        <f>36719</f>
        <v>36719</v>
      </c>
      <c r="U268" s="30">
        <f>4</f>
        <v>4</v>
      </c>
      <c r="V268" s="30">
        <f>64220861</f>
        <v>64220861</v>
      </c>
      <c r="W268" s="30">
        <f>7015</f>
        <v>7015</v>
      </c>
      <c r="X268" s="34">
        <f>20</f>
        <v>20</v>
      </c>
    </row>
    <row r="269" spans="1:24" ht="13.5" customHeight="1" x14ac:dyDescent="0.15">
      <c r="A269" s="25" t="s">
        <v>1140</v>
      </c>
      <c r="B269" s="25" t="s">
        <v>767</v>
      </c>
      <c r="C269" s="25" t="s">
        <v>768</v>
      </c>
      <c r="D269" s="25" t="s">
        <v>769</v>
      </c>
      <c r="E269" s="26" t="s">
        <v>45</v>
      </c>
      <c r="F269" s="27" t="s">
        <v>45</v>
      </c>
      <c r="G269" s="28" t="s">
        <v>45</v>
      </c>
      <c r="H269" s="29"/>
      <c r="I269" s="29" t="s">
        <v>46</v>
      </c>
      <c r="J269" s="30">
        <v>1</v>
      </c>
      <c r="K269" s="31">
        <f>2096</f>
        <v>2096</v>
      </c>
      <c r="L269" s="32" t="s">
        <v>995</v>
      </c>
      <c r="M269" s="31">
        <f>2096</f>
        <v>2096</v>
      </c>
      <c r="N269" s="32" t="s">
        <v>995</v>
      </c>
      <c r="O269" s="31">
        <f>2057</f>
        <v>2057</v>
      </c>
      <c r="P269" s="32" t="s">
        <v>1017</v>
      </c>
      <c r="Q269" s="31">
        <f>2057</f>
        <v>2057</v>
      </c>
      <c r="R269" s="32" t="s">
        <v>1017</v>
      </c>
      <c r="S269" s="33">
        <f>2076.55</f>
        <v>2076.5500000000002</v>
      </c>
      <c r="T269" s="30">
        <f>529495</f>
        <v>529495</v>
      </c>
      <c r="U269" s="30">
        <f>528000</f>
        <v>528000</v>
      </c>
      <c r="V269" s="30">
        <f>1103615191</f>
        <v>1103615191</v>
      </c>
      <c r="W269" s="30">
        <f>1100510000</f>
        <v>1100510000</v>
      </c>
      <c r="X269" s="34">
        <f>20</f>
        <v>20</v>
      </c>
    </row>
    <row r="270" spans="1:24" ht="13.5" customHeight="1" x14ac:dyDescent="0.15">
      <c r="A270" s="25" t="s">
        <v>1140</v>
      </c>
      <c r="B270" s="25" t="s">
        <v>770</v>
      </c>
      <c r="C270" s="25" t="s">
        <v>771</v>
      </c>
      <c r="D270" s="25" t="s">
        <v>1087</v>
      </c>
      <c r="E270" s="26" t="s">
        <v>45</v>
      </c>
      <c r="F270" s="27" t="s">
        <v>45</v>
      </c>
      <c r="G270" s="28" t="s">
        <v>45</v>
      </c>
      <c r="H270" s="29"/>
      <c r="I270" s="29" t="s">
        <v>46</v>
      </c>
      <c r="J270" s="30">
        <v>1</v>
      </c>
      <c r="K270" s="31">
        <f>3265</f>
        <v>3265</v>
      </c>
      <c r="L270" s="32" t="s">
        <v>995</v>
      </c>
      <c r="M270" s="31">
        <f>3375</f>
        <v>3375</v>
      </c>
      <c r="N270" s="32" t="s">
        <v>1002</v>
      </c>
      <c r="O270" s="31">
        <f>3200</f>
        <v>3200</v>
      </c>
      <c r="P270" s="32" t="s">
        <v>997</v>
      </c>
      <c r="Q270" s="31">
        <f>3220</f>
        <v>3220</v>
      </c>
      <c r="R270" s="32" t="s">
        <v>1017</v>
      </c>
      <c r="S270" s="33">
        <f>3288</f>
        <v>3288</v>
      </c>
      <c r="T270" s="30">
        <f>947087</f>
        <v>947087</v>
      </c>
      <c r="U270" s="30">
        <f>440001</f>
        <v>440001</v>
      </c>
      <c r="V270" s="30">
        <f>3120380855</f>
        <v>3120380855</v>
      </c>
      <c r="W270" s="30">
        <f>1459751255</f>
        <v>1459751255</v>
      </c>
      <c r="X270" s="34">
        <f>20</f>
        <v>20</v>
      </c>
    </row>
    <row r="271" spans="1:24" ht="13.5" customHeight="1" x14ac:dyDescent="0.15">
      <c r="A271" s="25" t="s">
        <v>1140</v>
      </c>
      <c r="B271" s="25" t="s">
        <v>773</v>
      </c>
      <c r="C271" s="25" t="s">
        <v>774</v>
      </c>
      <c r="D271" s="25" t="s">
        <v>1088</v>
      </c>
      <c r="E271" s="26" t="s">
        <v>45</v>
      </c>
      <c r="F271" s="27" t="s">
        <v>45</v>
      </c>
      <c r="G271" s="28" t="s">
        <v>45</v>
      </c>
      <c r="H271" s="29"/>
      <c r="I271" s="29" t="s">
        <v>46</v>
      </c>
      <c r="J271" s="30">
        <v>1</v>
      </c>
      <c r="K271" s="31">
        <f>2329</f>
        <v>2329</v>
      </c>
      <c r="L271" s="32" t="s">
        <v>995</v>
      </c>
      <c r="M271" s="31">
        <f>2440</f>
        <v>2440</v>
      </c>
      <c r="N271" s="32" t="s">
        <v>1002</v>
      </c>
      <c r="O271" s="31">
        <f>2329</f>
        <v>2329</v>
      </c>
      <c r="P271" s="32" t="s">
        <v>995</v>
      </c>
      <c r="Q271" s="31">
        <f>2348</f>
        <v>2348</v>
      </c>
      <c r="R271" s="32" t="s">
        <v>1017</v>
      </c>
      <c r="S271" s="33">
        <f>2384.2</f>
        <v>2384.1999999999998</v>
      </c>
      <c r="T271" s="30">
        <f>2018848</f>
        <v>2018848</v>
      </c>
      <c r="U271" s="30">
        <f>1408367</f>
        <v>1408367</v>
      </c>
      <c r="V271" s="30">
        <f>4788896758</f>
        <v>4788896758</v>
      </c>
      <c r="W271" s="30">
        <f>3334874582</f>
        <v>3334874582</v>
      </c>
      <c r="X271" s="34">
        <f>20</f>
        <v>20</v>
      </c>
    </row>
    <row r="272" spans="1:24" ht="13.5" customHeight="1" x14ac:dyDescent="0.15">
      <c r="A272" s="25" t="s">
        <v>1140</v>
      </c>
      <c r="B272" s="25" t="s">
        <v>776</v>
      </c>
      <c r="C272" s="25" t="s">
        <v>777</v>
      </c>
      <c r="D272" s="25" t="s">
        <v>778</v>
      </c>
      <c r="E272" s="26" t="s">
        <v>45</v>
      </c>
      <c r="F272" s="27" t="s">
        <v>45</v>
      </c>
      <c r="G272" s="28" t="s">
        <v>45</v>
      </c>
      <c r="H272" s="29"/>
      <c r="I272" s="29" t="s">
        <v>46</v>
      </c>
      <c r="J272" s="30">
        <v>1</v>
      </c>
      <c r="K272" s="31">
        <f>2034</f>
        <v>2034</v>
      </c>
      <c r="L272" s="32" t="s">
        <v>995</v>
      </c>
      <c r="M272" s="31">
        <f>2077</f>
        <v>2077</v>
      </c>
      <c r="N272" s="32" t="s">
        <v>790</v>
      </c>
      <c r="O272" s="31">
        <f>1987</f>
        <v>1987</v>
      </c>
      <c r="P272" s="32" t="s">
        <v>1001</v>
      </c>
      <c r="Q272" s="31">
        <f>1998</f>
        <v>1998</v>
      </c>
      <c r="R272" s="32" t="s">
        <v>1017</v>
      </c>
      <c r="S272" s="33">
        <f>2032.15</f>
        <v>2032.15</v>
      </c>
      <c r="T272" s="30">
        <f>25472</f>
        <v>25472</v>
      </c>
      <c r="U272" s="30" t="str">
        <f>"－"</f>
        <v>－</v>
      </c>
      <c r="V272" s="30">
        <f>51893418</f>
        <v>51893418</v>
      </c>
      <c r="W272" s="30" t="str">
        <f>"－"</f>
        <v>－</v>
      </c>
      <c r="X272" s="34">
        <f>20</f>
        <v>20</v>
      </c>
    </row>
    <row r="273" spans="1:24" ht="13.5" customHeight="1" x14ac:dyDescent="0.15">
      <c r="A273" s="25" t="s">
        <v>1140</v>
      </c>
      <c r="B273" s="25" t="s">
        <v>779</v>
      </c>
      <c r="C273" s="25" t="s">
        <v>780</v>
      </c>
      <c r="D273" s="25" t="s">
        <v>781</v>
      </c>
      <c r="E273" s="26" t="s">
        <v>45</v>
      </c>
      <c r="F273" s="27" t="s">
        <v>45</v>
      </c>
      <c r="G273" s="28" t="s">
        <v>45</v>
      </c>
      <c r="H273" s="29"/>
      <c r="I273" s="29" t="s">
        <v>46</v>
      </c>
      <c r="J273" s="30">
        <v>1</v>
      </c>
      <c r="K273" s="31">
        <f>1333</f>
        <v>1333</v>
      </c>
      <c r="L273" s="32" t="s">
        <v>995</v>
      </c>
      <c r="M273" s="31">
        <f>1351</f>
        <v>1351</v>
      </c>
      <c r="N273" s="32" t="s">
        <v>78</v>
      </c>
      <c r="O273" s="31">
        <f>1231</f>
        <v>1231</v>
      </c>
      <c r="P273" s="32" t="s">
        <v>255</v>
      </c>
      <c r="Q273" s="31">
        <f>1251</f>
        <v>1251</v>
      </c>
      <c r="R273" s="32" t="s">
        <v>1017</v>
      </c>
      <c r="S273" s="33">
        <f>1286.25</f>
        <v>1286.25</v>
      </c>
      <c r="T273" s="30">
        <f>30901</f>
        <v>30901</v>
      </c>
      <c r="U273" s="30">
        <f>23000</f>
        <v>23000</v>
      </c>
      <c r="V273" s="30">
        <f>40078453</f>
        <v>40078453</v>
      </c>
      <c r="W273" s="30">
        <f>29962639</f>
        <v>29962639</v>
      </c>
      <c r="X273" s="34">
        <f>20</f>
        <v>20</v>
      </c>
    </row>
    <row r="274" spans="1:24" ht="13.5" customHeight="1" x14ac:dyDescent="0.15">
      <c r="A274" s="25" t="s">
        <v>1140</v>
      </c>
      <c r="B274" s="25" t="s">
        <v>797</v>
      </c>
      <c r="C274" s="25" t="s">
        <v>798</v>
      </c>
      <c r="D274" s="25" t="s">
        <v>799</v>
      </c>
      <c r="E274" s="26" t="s">
        <v>45</v>
      </c>
      <c r="F274" s="27" t="s">
        <v>45</v>
      </c>
      <c r="G274" s="28" t="s">
        <v>45</v>
      </c>
      <c r="H274" s="29"/>
      <c r="I274" s="29" t="s">
        <v>46</v>
      </c>
      <c r="J274" s="30">
        <v>1</v>
      </c>
      <c r="K274" s="31">
        <f>1883</f>
        <v>1883</v>
      </c>
      <c r="L274" s="32" t="s">
        <v>995</v>
      </c>
      <c r="M274" s="31">
        <f>1979</f>
        <v>1979</v>
      </c>
      <c r="N274" s="32" t="s">
        <v>785</v>
      </c>
      <c r="O274" s="31">
        <f>1780</f>
        <v>1780</v>
      </c>
      <c r="P274" s="32" t="s">
        <v>1001</v>
      </c>
      <c r="Q274" s="31">
        <f>1879</f>
        <v>1879</v>
      </c>
      <c r="R274" s="32" t="s">
        <v>1017</v>
      </c>
      <c r="S274" s="33">
        <f>1855.4</f>
        <v>1855.4</v>
      </c>
      <c r="T274" s="30">
        <f>17484</f>
        <v>17484</v>
      </c>
      <c r="U274" s="30" t="str">
        <f>"－"</f>
        <v>－</v>
      </c>
      <c r="V274" s="30">
        <f>32513504</f>
        <v>32513504</v>
      </c>
      <c r="W274" s="30" t="str">
        <f>"－"</f>
        <v>－</v>
      </c>
      <c r="X274" s="34">
        <f>20</f>
        <v>20</v>
      </c>
    </row>
    <row r="275" spans="1:24" ht="13.5" customHeight="1" x14ac:dyDescent="0.15">
      <c r="A275" s="25" t="s">
        <v>1140</v>
      </c>
      <c r="B275" s="25" t="s">
        <v>800</v>
      </c>
      <c r="C275" s="25" t="s">
        <v>801</v>
      </c>
      <c r="D275" s="25" t="s">
        <v>802</v>
      </c>
      <c r="E275" s="26" t="s">
        <v>45</v>
      </c>
      <c r="F275" s="27" t="s">
        <v>45</v>
      </c>
      <c r="G275" s="28" t="s">
        <v>45</v>
      </c>
      <c r="H275" s="29"/>
      <c r="I275" s="29" t="s">
        <v>46</v>
      </c>
      <c r="J275" s="30">
        <v>1</v>
      </c>
      <c r="K275" s="31">
        <f>2375</f>
        <v>2375</v>
      </c>
      <c r="L275" s="32" t="s">
        <v>995</v>
      </c>
      <c r="M275" s="31">
        <f>2548</f>
        <v>2548</v>
      </c>
      <c r="N275" s="32" t="s">
        <v>785</v>
      </c>
      <c r="O275" s="31">
        <f>2363</f>
        <v>2363</v>
      </c>
      <c r="P275" s="32" t="s">
        <v>1001</v>
      </c>
      <c r="Q275" s="31">
        <f>2444</f>
        <v>2444</v>
      </c>
      <c r="R275" s="32" t="s">
        <v>1017</v>
      </c>
      <c r="S275" s="33">
        <f>2430.95</f>
        <v>2430.9499999999998</v>
      </c>
      <c r="T275" s="30">
        <f>2325</f>
        <v>2325</v>
      </c>
      <c r="U275" s="30" t="str">
        <f>"－"</f>
        <v>－</v>
      </c>
      <c r="V275" s="30">
        <f>5660478</f>
        <v>5660478</v>
      </c>
      <c r="W275" s="30" t="str">
        <f>"－"</f>
        <v>－</v>
      </c>
      <c r="X275" s="34">
        <f>20</f>
        <v>20</v>
      </c>
    </row>
    <row r="276" spans="1:24" ht="13.5" customHeight="1" x14ac:dyDescent="0.15">
      <c r="A276" s="25" t="s">
        <v>1140</v>
      </c>
      <c r="B276" s="25" t="s">
        <v>803</v>
      </c>
      <c r="C276" s="25" t="s">
        <v>804</v>
      </c>
      <c r="D276" s="25" t="s">
        <v>805</v>
      </c>
      <c r="E276" s="26" t="s">
        <v>45</v>
      </c>
      <c r="F276" s="27" t="s">
        <v>45</v>
      </c>
      <c r="G276" s="28" t="s">
        <v>45</v>
      </c>
      <c r="H276" s="29"/>
      <c r="I276" s="29" t="s">
        <v>46</v>
      </c>
      <c r="J276" s="30">
        <v>1</v>
      </c>
      <c r="K276" s="31">
        <f>10860</f>
        <v>10860</v>
      </c>
      <c r="L276" s="32" t="s">
        <v>995</v>
      </c>
      <c r="M276" s="31">
        <f>10880</f>
        <v>10880</v>
      </c>
      <c r="N276" s="32" t="s">
        <v>785</v>
      </c>
      <c r="O276" s="31">
        <f>10235</f>
        <v>10235</v>
      </c>
      <c r="P276" s="32" t="s">
        <v>997</v>
      </c>
      <c r="Q276" s="31">
        <f>10315</f>
        <v>10315</v>
      </c>
      <c r="R276" s="32" t="s">
        <v>1017</v>
      </c>
      <c r="S276" s="33">
        <f>10635.75</f>
        <v>10635.75</v>
      </c>
      <c r="T276" s="30">
        <f>268907</f>
        <v>268907</v>
      </c>
      <c r="U276" s="30">
        <f>101500</f>
        <v>101500</v>
      </c>
      <c r="V276" s="30">
        <f>2851177560</f>
        <v>2851177560</v>
      </c>
      <c r="W276" s="30">
        <f>1064145850</f>
        <v>1064145850</v>
      </c>
      <c r="X276" s="34">
        <f>20</f>
        <v>20</v>
      </c>
    </row>
    <row r="277" spans="1:24" ht="13.5" customHeight="1" x14ac:dyDescent="0.15">
      <c r="A277" s="25" t="s">
        <v>1140</v>
      </c>
      <c r="B277" s="25" t="s">
        <v>806</v>
      </c>
      <c r="C277" s="25" t="s">
        <v>807</v>
      </c>
      <c r="D277" s="25" t="s">
        <v>808</v>
      </c>
      <c r="E277" s="26" t="s">
        <v>45</v>
      </c>
      <c r="F277" s="27" t="s">
        <v>45</v>
      </c>
      <c r="G277" s="28" t="s">
        <v>45</v>
      </c>
      <c r="H277" s="29"/>
      <c r="I277" s="29" t="s">
        <v>46</v>
      </c>
      <c r="J277" s="30">
        <v>1</v>
      </c>
      <c r="K277" s="31">
        <f>16215</f>
        <v>16215</v>
      </c>
      <c r="L277" s="32" t="s">
        <v>995</v>
      </c>
      <c r="M277" s="31">
        <f>16470</f>
        <v>16470</v>
      </c>
      <c r="N277" s="32" t="s">
        <v>1002</v>
      </c>
      <c r="O277" s="31">
        <f>15570</f>
        <v>15570</v>
      </c>
      <c r="P277" s="32" t="s">
        <v>1001</v>
      </c>
      <c r="Q277" s="31">
        <f>15800</f>
        <v>15800</v>
      </c>
      <c r="R277" s="32" t="s">
        <v>1017</v>
      </c>
      <c r="S277" s="33">
        <f>16077.75</f>
        <v>16077.75</v>
      </c>
      <c r="T277" s="30">
        <f>635657</f>
        <v>635657</v>
      </c>
      <c r="U277" s="30">
        <f>55000</f>
        <v>55000</v>
      </c>
      <c r="V277" s="30">
        <f>10217889145</f>
        <v>10217889145</v>
      </c>
      <c r="W277" s="30">
        <f>875759500</f>
        <v>875759500</v>
      </c>
      <c r="X277" s="34">
        <f>20</f>
        <v>20</v>
      </c>
    </row>
    <row r="278" spans="1:24" ht="13.5" customHeight="1" x14ac:dyDescent="0.15">
      <c r="A278" s="25" t="s">
        <v>1140</v>
      </c>
      <c r="B278" s="25" t="s">
        <v>809</v>
      </c>
      <c r="C278" s="25" t="s">
        <v>810</v>
      </c>
      <c r="D278" s="25" t="s">
        <v>811</v>
      </c>
      <c r="E278" s="26" t="s">
        <v>45</v>
      </c>
      <c r="F278" s="27" t="s">
        <v>45</v>
      </c>
      <c r="G278" s="28" t="s">
        <v>45</v>
      </c>
      <c r="H278" s="29"/>
      <c r="I278" s="29" t="s">
        <v>46</v>
      </c>
      <c r="J278" s="30">
        <v>1</v>
      </c>
      <c r="K278" s="31">
        <f>10845</f>
        <v>10845</v>
      </c>
      <c r="L278" s="32" t="s">
        <v>995</v>
      </c>
      <c r="M278" s="31">
        <f>10860</f>
        <v>10860</v>
      </c>
      <c r="N278" s="32" t="s">
        <v>995</v>
      </c>
      <c r="O278" s="31">
        <f>10130</f>
        <v>10130</v>
      </c>
      <c r="P278" s="32" t="s">
        <v>997</v>
      </c>
      <c r="Q278" s="31">
        <f>10255</f>
        <v>10255</v>
      </c>
      <c r="R278" s="32" t="s">
        <v>1017</v>
      </c>
      <c r="S278" s="33">
        <f>10576.25</f>
        <v>10576.25</v>
      </c>
      <c r="T278" s="30">
        <f>182958</f>
        <v>182958</v>
      </c>
      <c r="U278" s="30" t="str">
        <f>"－"</f>
        <v>－</v>
      </c>
      <c r="V278" s="30">
        <f>1936002185</f>
        <v>1936002185</v>
      </c>
      <c r="W278" s="30" t="str">
        <f>"－"</f>
        <v>－</v>
      </c>
      <c r="X278" s="34">
        <f>20</f>
        <v>20</v>
      </c>
    </row>
    <row r="279" spans="1:24" ht="13.5" customHeight="1" x14ac:dyDescent="0.15">
      <c r="A279" s="25" t="s">
        <v>1140</v>
      </c>
      <c r="B279" s="25" t="s">
        <v>812</v>
      </c>
      <c r="C279" s="25" t="s">
        <v>813</v>
      </c>
      <c r="D279" s="25" t="s">
        <v>814</v>
      </c>
      <c r="E279" s="26" t="s">
        <v>45</v>
      </c>
      <c r="F279" s="27" t="s">
        <v>45</v>
      </c>
      <c r="G279" s="28" t="s">
        <v>45</v>
      </c>
      <c r="H279" s="29"/>
      <c r="I279" s="29" t="s">
        <v>46</v>
      </c>
      <c r="J279" s="30">
        <v>10</v>
      </c>
      <c r="K279" s="31">
        <f>3039</f>
        <v>3039</v>
      </c>
      <c r="L279" s="32" t="s">
        <v>995</v>
      </c>
      <c r="M279" s="31">
        <f>3077</f>
        <v>3077</v>
      </c>
      <c r="N279" s="32" t="s">
        <v>78</v>
      </c>
      <c r="O279" s="31">
        <f>2935</f>
        <v>2935</v>
      </c>
      <c r="P279" s="32" t="s">
        <v>255</v>
      </c>
      <c r="Q279" s="31">
        <f>2955</f>
        <v>2955</v>
      </c>
      <c r="R279" s="32" t="s">
        <v>1017</v>
      </c>
      <c r="S279" s="33">
        <f>3011.2</f>
        <v>3011.2</v>
      </c>
      <c r="T279" s="30">
        <f>965740</f>
        <v>965740</v>
      </c>
      <c r="U279" s="30">
        <f>74500</f>
        <v>74500</v>
      </c>
      <c r="V279" s="30">
        <f>2909986743</f>
        <v>2909986743</v>
      </c>
      <c r="W279" s="30">
        <f>226014508</f>
        <v>226014508</v>
      </c>
      <c r="X279" s="34">
        <f>20</f>
        <v>20</v>
      </c>
    </row>
    <row r="280" spans="1:24" ht="13.5" customHeight="1" x14ac:dyDescent="0.15">
      <c r="A280" s="25" t="s">
        <v>1140</v>
      </c>
      <c r="B280" s="25" t="s">
        <v>815</v>
      </c>
      <c r="C280" s="25" t="s">
        <v>816</v>
      </c>
      <c r="D280" s="25" t="s">
        <v>817</v>
      </c>
      <c r="E280" s="26" t="s">
        <v>45</v>
      </c>
      <c r="F280" s="27" t="s">
        <v>45</v>
      </c>
      <c r="G280" s="28" t="s">
        <v>45</v>
      </c>
      <c r="H280" s="29"/>
      <c r="I280" s="29" t="s">
        <v>46</v>
      </c>
      <c r="J280" s="30">
        <v>10</v>
      </c>
      <c r="K280" s="31">
        <f>2141.5</f>
        <v>2141.5</v>
      </c>
      <c r="L280" s="32" t="s">
        <v>995</v>
      </c>
      <c r="M280" s="31">
        <f>2145</f>
        <v>2145</v>
      </c>
      <c r="N280" s="32" t="s">
        <v>785</v>
      </c>
      <c r="O280" s="31">
        <f>2002.5</f>
        <v>2002.5</v>
      </c>
      <c r="P280" s="32" t="s">
        <v>997</v>
      </c>
      <c r="Q280" s="31">
        <f>2018.5</f>
        <v>2018.5</v>
      </c>
      <c r="R280" s="32" t="s">
        <v>1017</v>
      </c>
      <c r="S280" s="33">
        <f>2084.68</f>
        <v>2084.6799999999998</v>
      </c>
      <c r="T280" s="30">
        <f>920550</f>
        <v>920550</v>
      </c>
      <c r="U280" s="30">
        <f>125000</f>
        <v>125000</v>
      </c>
      <c r="V280" s="30">
        <f>1910109180</f>
        <v>1910109180</v>
      </c>
      <c r="W280" s="30">
        <f>257080000</f>
        <v>257080000</v>
      </c>
      <c r="X280" s="34">
        <f>20</f>
        <v>20</v>
      </c>
    </row>
    <row r="281" spans="1:24" ht="13.5" customHeight="1" x14ac:dyDescent="0.15">
      <c r="A281" s="25" t="s">
        <v>1140</v>
      </c>
      <c r="B281" s="25" t="s">
        <v>818</v>
      </c>
      <c r="C281" s="25" t="s">
        <v>819</v>
      </c>
      <c r="D281" s="25" t="s">
        <v>820</v>
      </c>
      <c r="E281" s="26" t="s">
        <v>45</v>
      </c>
      <c r="F281" s="27" t="s">
        <v>45</v>
      </c>
      <c r="G281" s="28" t="s">
        <v>45</v>
      </c>
      <c r="H281" s="29"/>
      <c r="I281" s="29" t="s">
        <v>46</v>
      </c>
      <c r="J281" s="30">
        <v>10</v>
      </c>
      <c r="K281" s="31">
        <f>3197</f>
        <v>3197</v>
      </c>
      <c r="L281" s="32" t="s">
        <v>995</v>
      </c>
      <c r="M281" s="31">
        <f>3211</f>
        <v>3211</v>
      </c>
      <c r="N281" s="32" t="s">
        <v>78</v>
      </c>
      <c r="O281" s="31">
        <f>3055</f>
        <v>3055</v>
      </c>
      <c r="P281" s="32" t="s">
        <v>255</v>
      </c>
      <c r="Q281" s="31">
        <f>3074</f>
        <v>3074</v>
      </c>
      <c r="R281" s="32" t="s">
        <v>1017</v>
      </c>
      <c r="S281" s="33">
        <f>3138.6</f>
        <v>3138.6</v>
      </c>
      <c r="T281" s="30">
        <f>7210</f>
        <v>7210</v>
      </c>
      <c r="U281" s="30">
        <f>20</f>
        <v>20</v>
      </c>
      <c r="V281" s="30">
        <f>22793510</f>
        <v>22793510</v>
      </c>
      <c r="W281" s="30">
        <f>62390</f>
        <v>62390</v>
      </c>
      <c r="X281" s="34">
        <f>20</f>
        <v>20</v>
      </c>
    </row>
    <row r="282" spans="1:24" ht="13.5" customHeight="1" x14ac:dyDescent="0.15">
      <c r="A282" s="25" t="s">
        <v>1140</v>
      </c>
      <c r="B282" s="25" t="s">
        <v>821</v>
      </c>
      <c r="C282" s="25" t="s">
        <v>822</v>
      </c>
      <c r="D282" s="25" t="s">
        <v>823</v>
      </c>
      <c r="E282" s="26" t="s">
        <v>45</v>
      </c>
      <c r="F282" s="27" t="s">
        <v>45</v>
      </c>
      <c r="G282" s="28" t="s">
        <v>45</v>
      </c>
      <c r="H282" s="29"/>
      <c r="I282" s="29" t="s">
        <v>46</v>
      </c>
      <c r="J282" s="30">
        <v>1</v>
      </c>
      <c r="K282" s="31">
        <f>2804</f>
        <v>2804</v>
      </c>
      <c r="L282" s="32" t="s">
        <v>995</v>
      </c>
      <c r="M282" s="31">
        <f>2876</f>
        <v>2876</v>
      </c>
      <c r="N282" s="32" t="s">
        <v>1002</v>
      </c>
      <c r="O282" s="31">
        <f>2709</f>
        <v>2709</v>
      </c>
      <c r="P282" s="32" t="s">
        <v>255</v>
      </c>
      <c r="Q282" s="31">
        <f>2724</f>
        <v>2724</v>
      </c>
      <c r="R282" s="32" t="s">
        <v>1017</v>
      </c>
      <c r="S282" s="33">
        <f>2795.4</f>
        <v>2795.4</v>
      </c>
      <c r="T282" s="30">
        <f>36365</f>
        <v>36365</v>
      </c>
      <c r="U282" s="30" t="str">
        <f>"－"</f>
        <v>－</v>
      </c>
      <c r="V282" s="30">
        <f>102488610</f>
        <v>102488610</v>
      </c>
      <c r="W282" s="30" t="str">
        <f>"－"</f>
        <v>－</v>
      </c>
      <c r="X282" s="34">
        <f>20</f>
        <v>20</v>
      </c>
    </row>
    <row r="283" spans="1:24" ht="13.5" customHeight="1" x14ac:dyDescent="0.15">
      <c r="A283" s="25" t="s">
        <v>1140</v>
      </c>
      <c r="B283" s="25" t="s">
        <v>824</v>
      </c>
      <c r="C283" s="25" t="s">
        <v>825</v>
      </c>
      <c r="D283" s="25" t="s">
        <v>826</v>
      </c>
      <c r="E283" s="26" t="s">
        <v>45</v>
      </c>
      <c r="F283" s="27" t="s">
        <v>45</v>
      </c>
      <c r="G283" s="28" t="s">
        <v>45</v>
      </c>
      <c r="H283" s="29"/>
      <c r="I283" s="29" t="s">
        <v>46</v>
      </c>
      <c r="J283" s="30">
        <v>1</v>
      </c>
      <c r="K283" s="31">
        <f>1557</f>
        <v>1557</v>
      </c>
      <c r="L283" s="32" t="s">
        <v>995</v>
      </c>
      <c r="M283" s="31">
        <f>1594</f>
        <v>1594</v>
      </c>
      <c r="N283" s="32" t="s">
        <v>78</v>
      </c>
      <c r="O283" s="31">
        <f>1488</f>
        <v>1488</v>
      </c>
      <c r="P283" s="32" t="s">
        <v>255</v>
      </c>
      <c r="Q283" s="31">
        <f>1493</f>
        <v>1493</v>
      </c>
      <c r="R283" s="32" t="s">
        <v>1017</v>
      </c>
      <c r="S283" s="33">
        <f>1541.75</f>
        <v>1541.75</v>
      </c>
      <c r="T283" s="30">
        <f>59099</f>
        <v>59099</v>
      </c>
      <c r="U283" s="30" t="str">
        <f>"－"</f>
        <v>－</v>
      </c>
      <c r="V283" s="30">
        <f>91601412</f>
        <v>91601412</v>
      </c>
      <c r="W283" s="30" t="str">
        <f>"－"</f>
        <v>－</v>
      </c>
      <c r="X283" s="34">
        <f>20</f>
        <v>20</v>
      </c>
    </row>
    <row r="284" spans="1:24" ht="13.5" customHeight="1" x14ac:dyDescent="0.15">
      <c r="A284" s="25" t="s">
        <v>1140</v>
      </c>
      <c r="B284" s="25" t="s">
        <v>827</v>
      </c>
      <c r="C284" s="25" t="s">
        <v>828</v>
      </c>
      <c r="D284" s="25" t="s">
        <v>829</v>
      </c>
      <c r="E284" s="26" t="s">
        <v>45</v>
      </c>
      <c r="F284" s="27" t="s">
        <v>45</v>
      </c>
      <c r="G284" s="28" t="s">
        <v>45</v>
      </c>
      <c r="H284" s="29"/>
      <c r="I284" s="29" t="s">
        <v>46</v>
      </c>
      <c r="J284" s="30">
        <v>1</v>
      </c>
      <c r="K284" s="31">
        <f>2007</f>
        <v>2007</v>
      </c>
      <c r="L284" s="32" t="s">
        <v>995</v>
      </c>
      <c r="M284" s="31">
        <f>2063</f>
        <v>2063</v>
      </c>
      <c r="N284" s="32" t="s">
        <v>790</v>
      </c>
      <c r="O284" s="31">
        <f>1915</f>
        <v>1915</v>
      </c>
      <c r="P284" s="32" t="s">
        <v>1017</v>
      </c>
      <c r="Q284" s="31">
        <f>1919</f>
        <v>1919</v>
      </c>
      <c r="R284" s="32" t="s">
        <v>1017</v>
      </c>
      <c r="S284" s="33">
        <f>1984.7</f>
        <v>1984.7</v>
      </c>
      <c r="T284" s="30">
        <f>83286</f>
        <v>83286</v>
      </c>
      <c r="U284" s="30">
        <f>14298</f>
        <v>14298</v>
      </c>
      <c r="V284" s="30">
        <f>165429263</f>
        <v>165429263</v>
      </c>
      <c r="W284" s="30">
        <f>27852504</f>
        <v>27852504</v>
      </c>
      <c r="X284" s="34">
        <f>20</f>
        <v>20</v>
      </c>
    </row>
    <row r="285" spans="1:24" ht="13.5" customHeight="1" x14ac:dyDescent="0.15">
      <c r="A285" s="25" t="s">
        <v>1140</v>
      </c>
      <c r="B285" s="25" t="s">
        <v>830</v>
      </c>
      <c r="C285" s="25" t="s">
        <v>831</v>
      </c>
      <c r="D285" s="25" t="s">
        <v>832</v>
      </c>
      <c r="E285" s="26" t="s">
        <v>45</v>
      </c>
      <c r="F285" s="27" t="s">
        <v>45</v>
      </c>
      <c r="G285" s="28" t="s">
        <v>45</v>
      </c>
      <c r="H285" s="29"/>
      <c r="I285" s="29" t="s">
        <v>46</v>
      </c>
      <c r="J285" s="30">
        <v>1</v>
      </c>
      <c r="K285" s="31">
        <f>1618</f>
        <v>1618</v>
      </c>
      <c r="L285" s="32" t="s">
        <v>995</v>
      </c>
      <c r="M285" s="31">
        <f>1628</f>
        <v>1628</v>
      </c>
      <c r="N285" s="32" t="s">
        <v>78</v>
      </c>
      <c r="O285" s="31">
        <f>1540</f>
        <v>1540</v>
      </c>
      <c r="P285" s="32" t="s">
        <v>255</v>
      </c>
      <c r="Q285" s="31">
        <f>1545</f>
        <v>1545</v>
      </c>
      <c r="R285" s="32" t="s">
        <v>1017</v>
      </c>
      <c r="S285" s="33">
        <f>1589.9</f>
        <v>1589.9</v>
      </c>
      <c r="T285" s="30">
        <f>4937</f>
        <v>4937</v>
      </c>
      <c r="U285" s="30" t="str">
        <f>"－"</f>
        <v>－</v>
      </c>
      <c r="V285" s="30">
        <f>7883172</f>
        <v>7883172</v>
      </c>
      <c r="W285" s="30" t="str">
        <f>"－"</f>
        <v>－</v>
      </c>
      <c r="X285" s="34">
        <f>20</f>
        <v>20</v>
      </c>
    </row>
    <row r="286" spans="1:24" ht="13.5" customHeight="1" x14ac:dyDescent="0.15">
      <c r="A286" s="25" t="s">
        <v>1140</v>
      </c>
      <c r="B286" s="25" t="s">
        <v>833</v>
      </c>
      <c r="C286" s="25" t="s">
        <v>834</v>
      </c>
      <c r="D286" s="25" t="s">
        <v>835</v>
      </c>
      <c r="E286" s="26" t="s">
        <v>45</v>
      </c>
      <c r="F286" s="27" t="s">
        <v>45</v>
      </c>
      <c r="G286" s="28" t="s">
        <v>45</v>
      </c>
      <c r="H286" s="29"/>
      <c r="I286" s="29" t="s">
        <v>46</v>
      </c>
      <c r="J286" s="30">
        <v>1</v>
      </c>
      <c r="K286" s="31">
        <f>2854</f>
        <v>2854</v>
      </c>
      <c r="L286" s="32" t="s">
        <v>995</v>
      </c>
      <c r="M286" s="31">
        <f>2890</f>
        <v>2890</v>
      </c>
      <c r="N286" s="32" t="s">
        <v>1003</v>
      </c>
      <c r="O286" s="31">
        <f>2657</f>
        <v>2657</v>
      </c>
      <c r="P286" s="32" t="s">
        <v>1001</v>
      </c>
      <c r="Q286" s="31">
        <f>2710</f>
        <v>2710</v>
      </c>
      <c r="R286" s="32" t="s">
        <v>1017</v>
      </c>
      <c r="S286" s="33">
        <f>2784.8</f>
        <v>2784.8</v>
      </c>
      <c r="T286" s="30">
        <f>51134</f>
        <v>51134</v>
      </c>
      <c r="U286" s="30">
        <f>1198</f>
        <v>1198</v>
      </c>
      <c r="V286" s="30">
        <f>140957847</f>
        <v>140957847</v>
      </c>
      <c r="W286" s="30">
        <f>3246181</f>
        <v>3246181</v>
      </c>
      <c r="X286" s="34">
        <f>20</f>
        <v>20</v>
      </c>
    </row>
    <row r="287" spans="1:24" ht="13.5" customHeight="1" x14ac:dyDescent="0.15">
      <c r="A287" s="25" t="s">
        <v>1140</v>
      </c>
      <c r="B287" s="25" t="s">
        <v>836</v>
      </c>
      <c r="C287" s="25" t="s">
        <v>837</v>
      </c>
      <c r="D287" s="25" t="s">
        <v>838</v>
      </c>
      <c r="E287" s="26" t="s">
        <v>45</v>
      </c>
      <c r="F287" s="27" t="s">
        <v>45</v>
      </c>
      <c r="G287" s="28" t="s">
        <v>45</v>
      </c>
      <c r="H287" s="29"/>
      <c r="I287" s="29" t="s">
        <v>46</v>
      </c>
      <c r="J287" s="30">
        <v>1</v>
      </c>
      <c r="K287" s="31">
        <f>2548</f>
        <v>2548</v>
      </c>
      <c r="L287" s="32" t="s">
        <v>995</v>
      </c>
      <c r="M287" s="31">
        <f>2850</f>
        <v>2850</v>
      </c>
      <c r="N287" s="32" t="s">
        <v>790</v>
      </c>
      <c r="O287" s="31">
        <f>2541</f>
        <v>2541</v>
      </c>
      <c r="P287" s="32" t="s">
        <v>1017</v>
      </c>
      <c r="Q287" s="31">
        <f>2541</f>
        <v>2541</v>
      </c>
      <c r="R287" s="32" t="s">
        <v>1017</v>
      </c>
      <c r="S287" s="33">
        <f>2608.1</f>
        <v>2608.1</v>
      </c>
      <c r="T287" s="30">
        <f>365347</f>
        <v>365347</v>
      </c>
      <c r="U287" s="30">
        <f>5</f>
        <v>5</v>
      </c>
      <c r="V287" s="30">
        <f>964008251</f>
        <v>964008251</v>
      </c>
      <c r="W287" s="30">
        <f>13069</f>
        <v>13069</v>
      </c>
      <c r="X287" s="34">
        <f>20</f>
        <v>20</v>
      </c>
    </row>
    <row r="288" spans="1:24" ht="13.5" customHeight="1" x14ac:dyDescent="0.15">
      <c r="A288" s="25" t="s">
        <v>1140</v>
      </c>
      <c r="B288" s="25" t="s">
        <v>839</v>
      </c>
      <c r="C288" s="25" t="s">
        <v>840</v>
      </c>
      <c r="D288" s="25" t="s">
        <v>841</v>
      </c>
      <c r="E288" s="26" t="s">
        <v>45</v>
      </c>
      <c r="F288" s="27" t="s">
        <v>45</v>
      </c>
      <c r="G288" s="28" t="s">
        <v>45</v>
      </c>
      <c r="H288" s="29"/>
      <c r="I288" s="29" t="s">
        <v>46</v>
      </c>
      <c r="J288" s="30">
        <v>1</v>
      </c>
      <c r="K288" s="31">
        <f>30950</f>
        <v>30950</v>
      </c>
      <c r="L288" s="32" t="s">
        <v>995</v>
      </c>
      <c r="M288" s="31">
        <f>32180</f>
        <v>32180</v>
      </c>
      <c r="N288" s="32" t="s">
        <v>80</v>
      </c>
      <c r="O288" s="31">
        <f>30950</f>
        <v>30950</v>
      </c>
      <c r="P288" s="32" t="s">
        <v>995</v>
      </c>
      <c r="Q288" s="31">
        <f>31100</f>
        <v>31100</v>
      </c>
      <c r="R288" s="32" t="s">
        <v>255</v>
      </c>
      <c r="S288" s="33">
        <f>31395.38</f>
        <v>31395.38</v>
      </c>
      <c r="T288" s="30">
        <f>91</f>
        <v>91</v>
      </c>
      <c r="U288" s="30" t="str">
        <f>"－"</f>
        <v>－</v>
      </c>
      <c r="V288" s="30">
        <f>2858260</f>
        <v>2858260</v>
      </c>
      <c r="W288" s="30" t="str">
        <f>"－"</f>
        <v>－</v>
      </c>
      <c r="X288" s="34">
        <f>13</f>
        <v>13</v>
      </c>
    </row>
    <row r="289" spans="1:24" ht="13.5" customHeight="1" x14ac:dyDescent="0.15">
      <c r="A289" s="25" t="s">
        <v>1140</v>
      </c>
      <c r="B289" s="25" t="s">
        <v>842</v>
      </c>
      <c r="C289" s="25" t="s">
        <v>843</v>
      </c>
      <c r="D289" s="25" t="s">
        <v>844</v>
      </c>
      <c r="E289" s="26" t="s">
        <v>45</v>
      </c>
      <c r="F289" s="27" t="s">
        <v>45</v>
      </c>
      <c r="G289" s="28" t="s">
        <v>45</v>
      </c>
      <c r="H289" s="29"/>
      <c r="I289" s="29" t="s">
        <v>46</v>
      </c>
      <c r="J289" s="30">
        <v>1</v>
      </c>
      <c r="K289" s="31">
        <f>2391</f>
        <v>2391</v>
      </c>
      <c r="L289" s="32" t="s">
        <v>995</v>
      </c>
      <c r="M289" s="31">
        <f>2468</f>
        <v>2468</v>
      </c>
      <c r="N289" s="32" t="s">
        <v>1002</v>
      </c>
      <c r="O289" s="31">
        <f>2373</f>
        <v>2373</v>
      </c>
      <c r="P289" s="32" t="s">
        <v>1017</v>
      </c>
      <c r="Q289" s="31">
        <f>2373</f>
        <v>2373</v>
      </c>
      <c r="R289" s="32" t="s">
        <v>1017</v>
      </c>
      <c r="S289" s="33">
        <f>2413.63</f>
        <v>2413.63</v>
      </c>
      <c r="T289" s="30">
        <f>443</f>
        <v>443</v>
      </c>
      <c r="U289" s="30" t="str">
        <f>"－"</f>
        <v>－</v>
      </c>
      <c r="V289" s="30">
        <f>1066006</f>
        <v>1066006</v>
      </c>
      <c r="W289" s="30" t="str">
        <f>"－"</f>
        <v>－</v>
      </c>
      <c r="X289" s="34">
        <f>16</f>
        <v>16</v>
      </c>
    </row>
    <row r="290" spans="1:24" ht="13.5" customHeight="1" x14ac:dyDescent="0.15">
      <c r="A290" s="25" t="s">
        <v>1140</v>
      </c>
      <c r="B290" s="25" t="s">
        <v>845</v>
      </c>
      <c r="C290" s="25" t="s">
        <v>846</v>
      </c>
      <c r="D290" s="25" t="s">
        <v>847</v>
      </c>
      <c r="E290" s="26" t="s">
        <v>45</v>
      </c>
      <c r="F290" s="27" t="s">
        <v>45</v>
      </c>
      <c r="G290" s="28" t="s">
        <v>45</v>
      </c>
      <c r="H290" s="29"/>
      <c r="I290" s="29" t="s">
        <v>46</v>
      </c>
      <c r="J290" s="30">
        <v>1</v>
      </c>
      <c r="K290" s="31">
        <f>3230</f>
        <v>3230</v>
      </c>
      <c r="L290" s="32" t="s">
        <v>995</v>
      </c>
      <c r="M290" s="31">
        <f>3265</f>
        <v>3265</v>
      </c>
      <c r="N290" s="32" t="s">
        <v>78</v>
      </c>
      <c r="O290" s="31">
        <f>2936</f>
        <v>2936</v>
      </c>
      <c r="P290" s="32" t="s">
        <v>1001</v>
      </c>
      <c r="Q290" s="31">
        <f>3095</f>
        <v>3095</v>
      </c>
      <c r="R290" s="32" t="s">
        <v>1017</v>
      </c>
      <c r="S290" s="33">
        <f>3098.95</f>
        <v>3098.95</v>
      </c>
      <c r="T290" s="30">
        <f>1166226</f>
        <v>1166226</v>
      </c>
      <c r="U290" s="30">
        <f>119</f>
        <v>119</v>
      </c>
      <c r="V290" s="30">
        <f>3604879333</f>
        <v>3604879333</v>
      </c>
      <c r="W290" s="30">
        <f>364075</f>
        <v>364075</v>
      </c>
      <c r="X290" s="34">
        <f>20</f>
        <v>20</v>
      </c>
    </row>
    <row r="291" spans="1:24" ht="13.5" customHeight="1" x14ac:dyDescent="0.15">
      <c r="A291" s="25" t="s">
        <v>1140</v>
      </c>
      <c r="B291" s="25" t="s">
        <v>848</v>
      </c>
      <c r="C291" s="25" t="s">
        <v>849</v>
      </c>
      <c r="D291" s="25" t="s">
        <v>850</v>
      </c>
      <c r="E291" s="26" t="s">
        <v>45</v>
      </c>
      <c r="F291" s="27" t="s">
        <v>45</v>
      </c>
      <c r="G291" s="28" t="s">
        <v>45</v>
      </c>
      <c r="H291" s="29"/>
      <c r="I291" s="29" t="s">
        <v>46</v>
      </c>
      <c r="J291" s="30">
        <v>1</v>
      </c>
      <c r="K291" s="31">
        <f>1966</f>
        <v>1966</v>
      </c>
      <c r="L291" s="32" t="s">
        <v>995</v>
      </c>
      <c r="M291" s="31">
        <f>2005</f>
        <v>2005</v>
      </c>
      <c r="N291" s="32" t="s">
        <v>78</v>
      </c>
      <c r="O291" s="31">
        <f>1876</f>
        <v>1876</v>
      </c>
      <c r="P291" s="32" t="s">
        <v>997</v>
      </c>
      <c r="Q291" s="31">
        <f>1882</f>
        <v>1882</v>
      </c>
      <c r="R291" s="32" t="s">
        <v>1017</v>
      </c>
      <c r="S291" s="33">
        <f>1949.5</f>
        <v>1949.5</v>
      </c>
      <c r="T291" s="30">
        <f>13505</f>
        <v>13505</v>
      </c>
      <c r="U291" s="30" t="str">
        <f>"－"</f>
        <v>－</v>
      </c>
      <c r="V291" s="30">
        <f>26694136</f>
        <v>26694136</v>
      </c>
      <c r="W291" s="30" t="str">
        <f>"－"</f>
        <v>－</v>
      </c>
      <c r="X291" s="34">
        <f>20</f>
        <v>20</v>
      </c>
    </row>
    <row r="292" spans="1:24" ht="13.5" customHeight="1" x14ac:dyDescent="0.15">
      <c r="A292" s="25" t="s">
        <v>1140</v>
      </c>
      <c r="B292" s="25" t="s">
        <v>851</v>
      </c>
      <c r="C292" s="25" t="s">
        <v>852</v>
      </c>
      <c r="D292" s="25" t="s">
        <v>853</v>
      </c>
      <c r="E292" s="26" t="s">
        <v>45</v>
      </c>
      <c r="F292" s="27" t="s">
        <v>45</v>
      </c>
      <c r="G292" s="28" t="s">
        <v>45</v>
      </c>
      <c r="H292" s="29"/>
      <c r="I292" s="29" t="s">
        <v>46</v>
      </c>
      <c r="J292" s="30">
        <v>1</v>
      </c>
      <c r="K292" s="31">
        <f>1712</f>
        <v>1712</v>
      </c>
      <c r="L292" s="32" t="s">
        <v>995</v>
      </c>
      <c r="M292" s="31">
        <f>1847</f>
        <v>1847</v>
      </c>
      <c r="N292" s="32" t="s">
        <v>790</v>
      </c>
      <c r="O292" s="31">
        <f>1712</f>
        <v>1712</v>
      </c>
      <c r="P292" s="32" t="s">
        <v>995</v>
      </c>
      <c r="Q292" s="31">
        <f>1736</f>
        <v>1736</v>
      </c>
      <c r="R292" s="32" t="s">
        <v>1017</v>
      </c>
      <c r="S292" s="33">
        <f>1782</f>
        <v>1782</v>
      </c>
      <c r="T292" s="30">
        <f>7944</f>
        <v>7944</v>
      </c>
      <c r="U292" s="30" t="str">
        <f>"－"</f>
        <v>－</v>
      </c>
      <c r="V292" s="30">
        <f>14322181</f>
        <v>14322181</v>
      </c>
      <c r="W292" s="30" t="str">
        <f>"－"</f>
        <v>－</v>
      </c>
      <c r="X292" s="34">
        <f>20</f>
        <v>20</v>
      </c>
    </row>
    <row r="293" spans="1:24" ht="13.5" customHeight="1" x14ac:dyDescent="0.15">
      <c r="A293" s="25" t="s">
        <v>1140</v>
      </c>
      <c r="B293" s="25" t="s">
        <v>854</v>
      </c>
      <c r="C293" s="25" t="s">
        <v>855</v>
      </c>
      <c r="D293" s="25" t="s">
        <v>856</v>
      </c>
      <c r="E293" s="26" t="s">
        <v>45</v>
      </c>
      <c r="F293" s="27" t="s">
        <v>45</v>
      </c>
      <c r="G293" s="28" t="s">
        <v>45</v>
      </c>
      <c r="H293" s="29"/>
      <c r="I293" s="29" t="s">
        <v>46</v>
      </c>
      <c r="J293" s="30">
        <v>10</v>
      </c>
      <c r="K293" s="31">
        <f>5385</f>
        <v>5385</v>
      </c>
      <c r="L293" s="32" t="s">
        <v>995</v>
      </c>
      <c r="M293" s="31">
        <f>5398</f>
        <v>5398</v>
      </c>
      <c r="N293" s="32" t="s">
        <v>784</v>
      </c>
      <c r="O293" s="31">
        <f>5292</f>
        <v>5292</v>
      </c>
      <c r="P293" s="32" t="s">
        <v>1001</v>
      </c>
      <c r="Q293" s="31">
        <f>5329</f>
        <v>5329</v>
      </c>
      <c r="R293" s="32" t="s">
        <v>1017</v>
      </c>
      <c r="S293" s="33">
        <f>5354.79</f>
        <v>5354.79</v>
      </c>
      <c r="T293" s="30">
        <f>13550</f>
        <v>13550</v>
      </c>
      <c r="U293" s="30">
        <f>11300</f>
        <v>11300</v>
      </c>
      <c r="V293" s="30">
        <f>72025415</f>
        <v>72025415</v>
      </c>
      <c r="W293" s="30">
        <f>59996375</f>
        <v>59996375</v>
      </c>
      <c r="X293" s="34">
        <f>14</f>
        <v>14</v>
      </c>
    </row>
    <row r="294" spans="1:24" ht="13.5" customHeight="1" x14ac:dyDescent="0.15">
      <c r="A294" s="25" t="s">
        <v>1140</v>
      </c>
      <c r="B294" s="25" t="s">
        <v>857</v>
      </c>
      <c r="C294" s="25" t="s">
        <v>858</v>
      </c>
      <c r="D294" s="25" t="s">
        <v>859</v>
      </c>
      <c r="E294" s="26" t="s">
        <v>45</v>
      </c>
      <c r="F294" s="27" t="s">
        <v>45</v>
      </c>
      <c r="G294" s="28" t="s">
        <v>45</v>
      </c>
      <c r="H294" s="29"/>
      <c r="I294" s="29" t="s">
        <v>46</v>
      </c>
      <c r="J294" s="30">
        <v>10</v>
      </c>
      <c r="K294" s="31">
        <f>3918</f>
        <v>3918</v>
      </c>
      <c r="L294" s="32" t="s">
        <v>995</v>
      </c>
      <c r="M294" s="31">
        <f>3918</f>
        <v>3918</v>
      </c>
      <c r="N294" s="32" t="s">
        <v>995</v>
      </c>
      <c r="O294" s="31">
        <f>3737</f>
        <v>3737</v>
      </c>
      <c r="P294" s="32" t="s">
        <v>997</v>
      </c>
      <c r="Q294" s="31">
        <f>3746</f>
        <v>3746</v>
      </c>
      <c r="R294" s="32" t="s">
        <v>1017</v>
      </c>
      <c r="S294" s="33">
        <f>3821.45</f>
        <v>3821.45</v>
      </c>
      <c r="T294" s="30">
        <f>1734610</f>
        <v>1734610</v>
      </c>
      <c r="U294" s="30">
        <f>1488400</f>
        <v>1488400</v>
      </c>
      <c r="V294" s="30">
        <f>6579664401</f>
        <v>6579664401</v>
      </c>
      <c r="W294" s="30">
        <f>5649851711</f>
        <v>5649851711</v>
      </c>
      <c r="X294" s="34">
        <f>20</f>
        <v>20</v>
      </c>
    </row>
    <row r="295" spans="1:24" ht="13.5" customHeight="1" x14ac:dyDescent="0.15">
      <c r="A295" s="25" t="s">
        <v>1140</v>
      </c>
      <c r="B295" s="25" t="s">
        <v>860</v>
      </c>
      <c r="C295" s="25" t="s">
        <v>861</v>
      </c>
      <c r="D295" s="25" t="s">
        <v>862</v>
      </c>
      <c r="E295" s="26" t="s">
        <v>45</v>
      </c>
      <c r="F295" s="27" t="s">
        <v>45</v>
      </c>
      <c r="G295" s="28" t="s">
        <v>45</v>
      </c>
      <c r="H295" s="29"/>
      <c r="I295" s="29" t="s">
        <v>46</v>
      </c>
      <c r="J295" s="30">
        <v>10</v>
      </c>
      <c r="K295" s="31">
        <f>657.8</f>
        <v>657.8</v>
      </c>
      <c r="L295" s="32" t="s">
        <v>995</v>
      </c>
      <c r="M295" s="31">
        <f>658</f>
        <v>658</v>
      </c>
      <c r="N295" s="32" t="s">
        <v>995</v>
      </c>
      <c r="O295" s="31">
        <f>633.4</f>
        <v>633.4</v>
      </c>
      <c r="P295" s="32" t="s">
        <v>997</v>
      </c>
      <c r="Q295" s="31">
        <f>633.4</f>
        <v>633.4</v>
      </c>
      <c r="R295" s="32" t="s">
        <v>1017</v>
      </c>
      <c r="S295" s="33">
        <f>647.02</f>
        <v>647.02</v>
      </c>
      <c r="T295" s="30">
        <f>14080</f>
        <v>14080</v>
      </c>
      <c r="U295" s="30" t="str">
        <f>"－"</f>
        <v>－</v>
      </c>
      <c r="V295" s="30">
        <f>9065277</f>
        <v>9065277</v>
      </c>
      <c r="W295" s="30" t="str">
        <f>"－"</f>
        <v>－</v>
      </c>
      <c r="X295" s="34">
        <f>20</f>
        <v>20</v>
      </c>
    </row>
    <row r="296" spans="1:24" ht="13.5" customHeight="1" x14ac:dyDescent="0.15">
      <c r="A296" s="25" t="s">
        <v>1140</v>
      </c>
      <c r="B296" s="25" t="s">
        <v>863</v>
      </c>
      <c r="C296" s="25" t="s">
        <v>864</v>
      </c>
      <c r="D296" s="25" t="s">
        <v>865</v>
      </c>
      <c r="E296" s="26" t="s">
        <v>45</v>
      </c>
      <c r="F296" s="27" t="s">
        <v>45</v>
      </c>
      <c r="G296" s="28" t="s">
        <v>45</v>
      </c>
      <c r="H296" s="29"/>
      <c r="I296" s="29" t="s">
        <v>46</v>
      </c>
      <c r="J296" s="30">
        <v>1</v>
      </c>
      <c r="K296" s="31">
        <f>2169</f>
        <v>2169</v>
      </c>
      <c r="L296" s="32" t="s">
        <v>995</v>
      </c>
      <c r="M296" s="31">
        <f>2242</f>
        <v>2242</v>
      </c>
      <c r="N296" s="32" t="s">
        <v>78</v>
      </c>
      <c r="O296" s="31">
        <f>2133</f>
        <v>2133</v>
      </c>
      <c r="P296" s="32" t="s">
        <v>1001</v>
      </c>
      <c r="Q296" s="31">
        <f>2150</f>
        <v>2150</v>
      </c>
      <c r="R296" s="32" t="s">
        <v>1017</v>
      </c>
      <c r="S296" s="33">
        <f>2190</f>
        <v>2190</v>
      </c>
      <c r="T296" s="30">
        <f>5515</f>
        <v>5515</v>
      </c>
      <c r="U296" s="30" t="str">
        <f>"－"</f>
        <v>－</v>
      </c>
      <c r="V296" s="30">
        <f>12091659</f>
        <v>12091659</v>
      </c>
      <c r="W296" s="30" t="str">
        <f>"－"</f>
        <v>－</v>
      </c>
      <c r="X296" s="34">
        <f>20</f>
        <v>20</v>
      </c>
    </row>
    <row r="297" spans="1:24" ht="13.5" customHeight="1" x14ac:dyDescent="0.15">
      <c r="A297" s="25" t="s">
        <v>1140</v>
      </c>
      <c r="B297" s="25" t="s">
        <v>866</v>
      </c>
      <c r="C297" s="25" t="s">
        <v>867</v>
      </c>
      <c r="D297" s="25" t="s">
        <v>868</v>
      </c>
      <c r="E297" s="26" t="s">
        <v>45</v>
      </c>
      <c r="F297" s="27" t="s">
        <v>45</v>
      </c>
      <c r="G297" s="28" t="s">
        <v>45</v>
      </c>
      <c r="H297" s="29"/>
      <c r="I297" s="29" t="s">
        <v>46</v>
      </c>
      <c r="J297" s="30">
        <v>1</v>
      </c>
      <c r="K297" s="31">
        <f>2137</f>
        <v>2137</v>
      </c>
      <c r="L297" s="32" t="s">
        <v>995</v>
      </c>
      <c r="M297" s="31">
        <f>2170</f>
        <v>2170</v>
      </c>
      <c r="N297" s="32" t="s">
        <v>78</v>
      </c>
      <c r="O297" s="31">
        <f>2004</f>
        <v>2004</v>
      </c>
      <c r="P297" s="32" t="s">
        <v>1001</v>
      </c>
      <c r="Q297" s="31">
        <f>2026</f>
        <v>2026</v>
      </c>
      <c r="R297" s="32" t="s">
        <v>1017</v>
      </c>
      <c r="S297" s="33">
        <f>2081.85</f>
        <v>2081.85</v>
      </c>
      <c r="T297" s="30">
        <f>12533</f>
        <v>12533</v>
      </c>
      <c r="U297" s="30" t="str">
        <f>"－"</f>
        <v>－</v>
      </c>
      <c r="V297" s="30">
        <f>25997040</f>
        <v>25997040</v>
      </c>
      <c r="W297" s="30" t="str">
        <f>"－"</f>
        <v>－</v>
      </c>
      <c r="X297" s="34">
        <f>20</f>
        <v>20</v>
      </c>
    </row>
    <row r="298" spans="1:24" ht="13.5" customHeight="1" x14ac:dyDescent="0.15">
      <c r="A298" s="25" t="s">
        <v>1140</v>
      </c>
      <c r="B298" s="25" t="s">
        <v>869</v>
      </c>
      <c r="C298" s="25" t="s">
        <v>870</v>
      </c>
      <c r="D298" s="25" t="s">
        <v>871</v>
      </c>
      <c r="E298" s="26" t="s">
        <v>45</v>
      </c>
      <c r="F298" s="27" t="s">
        <v>45</v>
      </c>
      <c r="G298" s="28" t="s">
        <v>45</v>
      </c>
      <c r="H298" s="29"/>
      <c r="I298" s="29" t="s">
        <v>46</v>
      </c>
      <c r="J298" s="30">
        <v>1</v>
      </c>
      <c r="K298" s="31">
        <f>8008</f>
        <v>8008</v>
      </c>
      <c r="L298" s="32" t="s">
        <v>995</v>
      </c>
      <c r="M298" s="31">
        <f>8048</f>
        <v>8048</v>
      </c>
      <c r="N298" s="32" t="s">
        <v>1005</v>
      </c>
      <c r="O298" s="31">
        <f>7910</f>
        <v>7910</v>
      </c>
      <c r="P298" s="32" t="s">
        <v>1001</v>
      </c>
      <c r="Q298" s="31">
        <f>7957</f>
        <v>7957</v>
      </c>
      <c r="R298" s="32" t="s">
        <v>1017</v>
      </c>
      <c r="S298" s="33">
        <f>7997.7</f>
        <v>7997.7</v>
      </c>
      <c r="T298" s="30">
        <f>33899</f>
        <v>33899</v>
      </c>
      <c r="U298" s="30">
        <f>16308</f>
        <v>16308</v>
      </c>
      <c r="V298" s="30">
        <f>271662259</f>
        <v>271662259</v>
      </c>
      <c r="W298" s="30">
        <f>130701743</f>
        <v>130701743</v>
      </c>
      <c r="X298" s="34">
        <f>20</f>
        <v>20</v>
      </c>
    </row>
    <row r="299" spans="1:24" ht="13.5" customHeight="1" x14ac:dyDescent="0.15">
      <c r="A299" s="25" t="s">
        <v>1140</v>
      </c>
      <c r="B299" s="25" t="s">
        <v>872</v>
      </c>
      <c r="C299" s="25" t="s">
        <v>873</v>
      </c>
      <c r="D299" s="25" t="s">
        <v>874</v>
      </c>
      <c r="E299" s="26" t="s">
        <v>45</v>
      </c>
      <c r="F299" s="27" t="s">
        <v>45</v>
      </c>
      <c r="G299" s="28" t="s">
        <v>45</v>
      </c>
      <c r="H299" s="29"/>
      <c r="I299" s="29" t="s">
        <v>46</v>
      </c>
      <c r="J299" s="30">
        <v>1</v>
      </c>
      <c r="K299" s="31">
        <f>5786</f>
        <v>5786</v>
      </c>
      <c r="L299" s="32" t="s">
        <v>995</v>
      </c>
      <c r="M299" s="31">
        <f>5788</f>
        <v>5788</v>
      </c>
      <c r="N299" s="32" t="s">
        <v>995</v>
      </c>
      <c r="O299" s="31">
        <f>5566</f>
        <v>5566</v>
      </c>
      <c r="P299" s="32" t="s">
        <v>997</v>
      </c>
      <c r="Q299" s="31">
        <f>5580</f>
        <v>5580</v>
      </c>
      <c r="R299" s="32" t="s">
        <v>1017</v>
      </c>
      <c r="S299" s="33">
        <f>5686.4</f>
        <v>5686.4</v>
      </c>
      <c r="T299" s="30">
        <f>5236</f>
        <v>5236</v>
      </c>
      <c r="U299" s="30" t="str">
        <f>"－"</f>
        <v>－</v>
      </c>
      <c r="V299" s="30">
        <f>29533772</f>
        <v>29533772</v>
      </c>
      <c r="W299" s="30" t="str">
        <f>"－"</f>
        <v>－</v>
      </c>
      <c r="X299" s="34">
        <f>20</f>
        <v>20</v>
      </c>
    </row>
    <row r="300" spans="1:24" ht="13.5" customHeight="1" x14ac:dyDescent="0.15">
      <c r="A300" s="25" t="s">
        <v>1140</v>
      </c>
      <c r="B300" s="25" t="s">
        <v>878</v>
      </c>
      <c r="C300" s="25" t="s">
        <v>879</v>
      </c>
      <c r="D300" s="25" t="s">
        <v>880</v>
      </c>
      <c r="E300" s="26" t="s">
        <v>45</v>
      </c>
      <c r="F300" s="27" t="s">
        <v>45</v>
      </c>
      <c r="G300" s="28" t="s">
        <v>45</v>
      </c>
      <c r="H300" s="29"/>
      <c r="I300" s="29" t="s">
        <v>46</v>
      </c>
      <c r="J300" s="30">
        <v>1</v>
      </c>
      <c r="K300" s="31">
        <f>21055</f>
        <v>21055</v>
      </c>
      <c r="L300" s="32" t="s">
        <v>995</v>
      </c>
      <c r="M300" s="31">
        <f>21355</f>
        <v>21355</v>
      </c>
      <c r="N300" s="32" t="s">
        <v>78</v>
      </c>
      <c r="O300" s="31">
        <f>20175</f>
        <v>20175</v>
      </c>
      <c r="P300" s="32" t="s">
        <v>1001</v>
      </c>
      <c r="Q300" s="31">
        <f>20485</f>
        <v>20485</v>
      </c>
      <c r="R300" s="32" t="s">
        <v>1017</v>
      </c>
      <c r="S300" s="33">
        <f>20843.75</f>
        <v>20843.75</v>
      </c>
      <c r="T300" s="30">
        <f>330590</f>
        <v>330590</v>
      </c>
      <c r="U300" s="30" t="str">
        <f>"－"</f>
        <v>－</v>
      </c>
      <c r="V300" s="30">
        <f>6921000785</f>
        <v>6921000785</v>
      </c>
      <c r="W300" s="30" t="str">
        <f>"－"</f>
        <v>－</v>
      </c>
      <c r="X300" s="34">
        <f>20</f>
        <v>20</v>
      </c>
    </row>
    <row r="301" spans="1:24" ht="13.5" customHeight="1" x14ac:dyDescent="0.15">
      <c r="A301" s="25" t="s">
        <v>1140</v>
      </c>
      <c r="B301" s="25" t="s">
        <v>881</v>
      </c>
      <c r="C301" s="25" t="s">
        <v>882</v>
      </c>
      <c r="D301" s="25" t="s">
        <v>883</v>
      </c>
      <c r="E301" s="26" t="s">
        <v>45</v>
      </c>
      <c r="F301" s="27" t="s">
        <v>45</v>
      </c>
      <c r="G301" s="28" t="s">
        <v>45</v>
      </c>
      <c r="H301" s="29"/>
      <c r="I301" s="29" t="s">
        <v>46</v>
      </c>
      <c r="J301" s="30">
        <v>1</v>
      </c>
      <c r="K301" s="31">
        <f>10225</f>
        <v>10225</v>
      </c>
      <c r="L301" s="32" t="s">
        <v>995</v>
      </c>
      <c r="M301" s="31">
        <f>10235</f>
        <v>10235</v>
      </c>
      <c r="N301" s="32" t="s">
        <v>995</v>
      </c>
      <c r="O301" s="31">
        <f>9532</f>
        <v>9532</v>
      </c>
      <c r="P301" s="32" t="s">
        <v>997</v>
      </c>
      <c r="Q301" s="31">
        <f>9648</f>
        <v>9648</v>
      </c>
      <c r="R301" s="32" t="s">
        <v>1017</v>
      </c>
      <c r="S301" s="33">
        <f>9956.85</f>
        <v>9956.85</v>
      </c>
      <c r="T301" s="30">
        <f>598695</f>
        <v>598695</v>
      </c>
      <c r="U301" s="30">
        <f>190301</f>
        <v>190301</v>
      </c>
      <c r="V301" s="30">
        <f>5922535110</f>
        <v>5922535110</v>
      </c>
      <c r="W301" s="30">
        <f>1847708624</f>
        <v>1847708624</v>
      </c>
      <c r="X301" s="34">
        <f>20</f>
        <v>20</v>
      </c>
    </row>
    <row r="302" spans="1:24" ht="13.5" customHeight="1" x14ac:dyDescent="0.15">
      <c r="A302" s="25" t="s">
        <v>1140</v>
      </c>
      <c r="B302" s="25" t="s">
        <v>884</v>
      </c>
      <c r="C302" s="25" t="s">
        <v>885</v>
      </c>
      <c r="D302" s="25" t="s">
        <v>886</v>
      </c>
      <c r="E302" s="26" t="s">
        <v>45</v>
      </c>
      <c r="F302" s="27" t="s">
        <v>45</v>
      </c>
      <c r="G302" s="28" t="s">
        <v>45</v>
      </c>
      <c r="H302" s="29"/>
      <c r="I302" s="29" t="s">
        <v>46</v>
      </c>
      <c r="J302" s="30">
        <v>1</v>
      </c>
      <c r="K302" s="31">
        <f>23500</f>
        <v>23500</v>
      </c>
      <c r="L302" s="32" t="s">
        <v>995</v>
      </c>
      <c r="M302" s="31">
        <f>25070</f>
        <v>25070</v>
      </c>
      <c r="N302" s="32" t="s">
        <v>997</v>
      </c>
      <c r="O302" s="31">
        <f>23465</f>
        <v>23465</v>
      </c>
      <c r="P302" s="32" t="s">
        <v>995</v>
      </c>
      <c r="Q302" s="31">
        <f>24780</f>
        <v>24780</v>
      </c>
      <c r="R302" s="32" t="s">
        <v>1017</v>
      </c>
      <c r="S302" s="33">
        <f>24089.75</f>
        <v>24089.75</v>
      </c>
      <c r="T302" s="30">
        <f>342476</f>
        <v>342476</v>
      </c>
      <c r="U302" s="30">
        <f>126000</f>
        <v>126000</v>
      </c>
      <c r="V302" s="30">
        <f>8292870435</f>
        <v>8292870435</v>
      </c>
      <c r="W302" s="30">
        <f>3042438000</f>
        <v>3042438000</v>
      </c>
      <c r="X302" s="34">
        <f>20</f>
        <v>20</v>
      </c>
    </row>
    <row r="303" spans="1:24" ht="13.5" customHeight="1" x14ac:dyDescent="0.15">
      <c r="A303" s="25" t="s">
        <v>1140</v>
      </c>
      <c r="B303" s="25" t="s">
        <v>887</v>
      </c>
      <c r="C303" s="25" t="s">
        <v>888</v>
      </c>
      <c r="D303" s="25" t="s">
        <v>889</v>
      </c>
      <c r="E303" s="26" t="s">
        <v>45</v>
      </c>
      <c r="F303" s="27" t="s">
        <v>45</v>
      </c>
      <c r="G303" s="28" t="s">
        <v>45</v>
      </c>
      <c r="H303" s="29"/>
      <c r="I303" s="29" t="s">
        <v>46</v>
      </c>
      <c r="J303" s="30">
        <v>10</v>
      </c>
      <c r="K303" s="31">
        <f>4229</f>
        <v>4229</v>
      </c>
      <c r="L303" s="32" t="s">
        <v>785</v>
      </c>
      <c r="M303" s="31">
        <f>4229</f>
        <v>4229</v>
      </c>
      <c r="N303" s="32" t="s">
        <v>785</v>
      </c>
      <c r="O303" s="31">
        <f>4094</f>
        <v>4094</v>
      </c>
      <c r="P303" s="32" t="s">
        <v>1017</v>
      </c>
      <c r="Q303" s="31">
        <f>4094</f>
        <v>4094</v>
      </c>
      <c r="R303" s="32" t="s">
        <v>1017</v>
      </c>
      <c r="S303" s="33">
        <f>4174.64</f>
        <v>4174.6400000000003</v>
      </c>
      <c r="T303" s="30">
        <f>385880</f>
        <v>385880</v>
      </c>
      <c r="U303" s="30">
        <f>364900</f>
        <v>364900</v>
      </c>
      <c r="V303" s="30">
        <f>1610154449</f>
        <v>1610154449</v>
      </c>
      <c r="W303" s="30">
        <f>1523091059</f>
        <v>1523091059</v>
      </c>
      <c r="X303" s="34">
        <f>14</f>
        <v>14</v>
      </c>
    </row>
    <row r="304" spans="1:24" ht="13.5" customHeight="1" x14ac:dyDescent="0.15">
      <c r="A304" s="25" t="s">
        <v>1140</v>
      </c>
      <c r="B304" s="25" t="s">
        <v>890</v>
      </c>
      <c r="C304" s="25" t="s">
        <v>891</v>
      </c>
      <c r="D304" s="25" t="s">
        <v>892</v>
      </c>
      <c r="E304" s="26" t="s">
        <v>45</v>
      </c>
      <c r="F304" s="27" t="s">
        <v>45</v>
      </c>
      <c r="G304" s="28" t="s">
        <v>45</v>
      </c>
      <c r="H304" s="29"/>
      <c r="I304" s="29" t="s">
        <v>46</v>
      </c>
      <c r="J304" s="30">
        <v>10</v>
      </c>
      <c r="K304" s="31">
        <f>5048</f>
        <v>5048</v>
      </c>
      <c r="L304" s="32" t="s">
        <v>995</v>
      </c>
      <c r="M304" s="31">
        <f>5048</f>
        <v>5048</v>
      </c>
      <c r="N304" s="32" t="s">
        <v>995</v>
      </c>
      <c r="O304" s="31">
        <f>4890</f>
        <v>4890</v>
      </c>
      <c r="P304" s="32" t="s">
        <v>997</v>
      </c>
      <c r="Q304" s="31">
        <f>4930</f>
        <v>4930</v>
      </c>
      <c r="R304" s="32" t="s">
        <v>1017</v>
      </c>
      <c r="S304" s="33">
        <f>4951.33</f>
        <v>4951.33</v>
      </c>
      <c r="T304" s="30">
        <f>6320</f>
        <v>6320</v>
      </c>
      <c r="U304" s="30">
        <f>4030</f>
        <v>4030</v>
      </c>
      <c r="V304" s="30">
        <f>31290921</f>
        <v>31290921</v>
      </c>
      <c r="W304" s="30">
        <f>19958971</f>
        <v>19958971</v>
      </c>
      <c r="X304" s="34">
        <f>18</f>
        <v>18</v>
      </c>
    </row>
    <row r="305" spans="1:24" ht="13.5" customHeight="1" x14ac:dyDescent="0.15">
      <c r="A305" s="25" t="s">
        <v>1140</v>
      </c>
      <c r="B305" s="25" t="s">
        <v>902</v>
      </c>
      <c r="C305" s="25" t="s">
        <v>903</v>
      </c>
      <c r="D305" s="25" t="s">
        <v>904</v>
      </c>
      <c r="E305" s="26" t="s">
        <v>45</v>
      </c>
      <c r="F305" s="27" t="s">
        <v>45</v>
      </c>
      <c r="G305" s="28" t="s">
        <v>45</v>
      </c>
      <c r="H305" s="29"/>
      <c r="I305" s="29" t="s">
        <v>46</v>
      </c>
      <c r="J305" s="30">
        <v>10</v>
      </c>
      <c r="K305" s="31">
        <f>2130.5</f>
        <v>2130.5</v>
      </c>
      <c r="L305" s="32" t="s">
        <v>995</v>
      </c>
      <c r="M305" s="31">
        <f>2134</f>
        <v>2134</v>
      </c>
      <c r="N305" s="32" t="s">
        <v>995</v>
      </c>
      <c r="O305" s="31">
        <f>1989</f>
        <v>1989</v>
      </c>
      <c r="P305" s="32" t="s">
        <v>997</v>
      </c>
      <c r="Q305" s="31">
        <f>2014</f>
        <v>2014</v>
      </c>
      <c r="R305" s="32" t="s">
        <v>1017</v>
      </c>
      <c r="S305" s="33">
        <f>2077.5</f>
        <v>2077.5</v>
      </c>
      <c r="T305" s="30">
        <f>1657500</f>
        <v>1657500</v>
      </c>
      <c r="U305" s="30" t="str">
        <f>"－"</f>
        <v>－</v>
      </c>
      <c r="V305" s="30">
        <f>3434582425</f>
        <v>3434582425</v>
      </c>
      <c r="W305" s="30" t="str">
        <f>"－"</f>
        <v>－</v>
      </c>
      <c r="X305" s="34">
        <f>20</f>
        <v>20</v>
      </c>
    </row>
    <row r="306" spans="1:24" ht="13.5" customHeight="1" x14ac:dyDescent="0.15">
      <c r="A306" s="25" t="s">
        <v>1140</v>
      </c>
      <c r="B306" s="25" t="s">
        <v>905</v>
      </c>
      <c r="C306" s="25" t="s">
        <v>906</v>
      </c>
      <c r="D306" s="25" t="s">
        <v>907</v>
      </c>
      <c r="E306" s="26" t="s">
        <v>45</v>
      </c>
      <c r="F306" s="27" t="s">
        <v>45</v>
      </c>
      <c r="G306" s="28" t="s">
        <v>45</v>
      </c>
      <c r="H306" s="29"/>
      <c r="I306" s="29" t="s">
        <v>46</v>
      </c>
      <c r="J306" s="30">
        <v>10</v>
      </c>
      <c r="K306" s="31">
        <f>1931.5</f>
        <v>1931.5</v>
      </c>
      <c r="L306" s="32" t="s">
        <v>995</v>
      </c>
      <c r="M306" s="31">
        <f>1939.5</f>
        <v>1939.5</v>
      </c>
      <c r="N306" s="32" t="s">
        <v>1002</v>
      </c>
      <c r="O306" s="31">
        <f>1850.5</f>
        <v>1850.5</v>
      </c>
      <c r="P306" s="32" t="s">
        <v>997</v>
      </c>
      <c r="Q306" s="31">
        <f>1860</f>
        <v>1860</v>
      </c>
      <c r="R306" s="32" t="s">
        <v>1017</v>
      </c>
      <c r="S306" s="33">
        <f>1905.53</f>
        <v>1905.53</v>
      </c>
      <c r="T306" s="30">
        <f>1122520</f>
        <v>1122520</v>
      </c>
      <c r="U306" s="30" t="str">
        <f>"－"</f>
        <v>－</v>
      </c>
      <c r="V306" s="30">
        <f>2141256970</f>
        <v>2141256970</v>
      </c>
      <c r="W306" s="30" t="str">
        <f>"－"</f>
        <v>－</v>
      </c>
      <c r="X306" s="34">
        <f>20</f>
        <v>20</v>
      </c>
    </row>
    <row r="307" spans="1:24" ht="13.5" customHeight="1" x14ac:dyDescent="0.15">
      <c r="A307" s="25" t="s">
        <v>1140</v>
      </c>
      <c r="B307" s="25" t="s">
        <v>908</v>
      </c>
      <c r="C307" s="25" t="s">
        <v>909</v>
      </c>
      <c r="D307" s="25" t="s">
        <v>910</v>
      </c>
      <c r="E307" s="26" t="s">
        <v>45</v>
      </c>
      <c r="F307" s="27" t="s">
        <v>45</v>
      </c>
      <c r="G307" s="28" t="s">
        <v>45</v>
      </c>
      <c r="H307" s="29"/>
      <c r="I307" s="29" t="s">
        <v>46</v>
      </c>
      <c r="J307" s="30">
        <v>1</v>
      </c>
      <c r="K307" s="31">
        <f>1744</f>
        <v>1744</v>
      </c>
      <c r="L307" s="32" t="s">
        <v>995</v>
      </c>
      <c r="M307" s="31">
        <f>1819</f>
        <v>1819</v>
      </c>
      <c r="N307" s="32" t="s">
        <v>790</v>
      </c>
      <c r="O307" s="31">
        <f>1711</f>
        <v>1711</v>
      </c>
      <c r="P307" s="32" t="s">
        <v>56</v>
      </c>
      <c r="Q307" s="31">
        <f>1769</f>
        <v>1769</v>
      </c>
      <c r="R307" s="32" t="s">
        <v>1017</v>
      </c>
      <c r="S307" s="33">
        <f>1767.25</f>
        <v>1767.25</v>
      </c>
      <c r="T307" s="30">
        <f>15359</f>
        <v>15359</v>
      </c>
      <c r="U307" s="30" t="str">
        <f>"－"</f>
        <v>－</v>
      </c>
      <c r="V307" s="30">
        <f>26959300</f>
        <v>26959300</v>
      </c>
      <c r="W307" s="30" t="str">
        <f>"－"</f>
        <v>－</v>
      </c>
      <c r="X307" s="34">
        <f>20</f>
        <v>20</v>
      </c>
    </row>
    <row r="308" spans="1:24" ht="13.5" customHeight="1" x14ac:dyDescent="0.15">
      <c r="A308" s="25" t="s">
        <v>1140</v>
      </c>
      <c r="B308" s="25" t="s">
        <v>911</v>
      </c>
      <c r="C308" s="25" t="s">
        <v>912</v>
      </c>
      <c r="D308" s="25" t="s">
        <v>913</v>
      </c>
      <c r="E308" s="26" t="s">
        <v>45</v>
      </c>
      <c r="F308" s="27" t="s">
        <v>45</v>
      </c>
      <c r="G308" s="28" t="s">
        <v>45</v>
      </c>
      <c r="H308" s="29"/>
      <c r="I308" s="29" t="s">
        <v>46</v>
      </c>
      <c r="J308" s="30">
        <v>1</v>
      </c>
      <c r="K308" s="31">
        <f>1815</f>
        <v>1815</v>
      </c>
      <c r="L308" s="32" t="s">
        <v>995</v>
      </c>
      <c r="M308" s="31">
        <f>1879</f>
        <v>1879</v>
      </c>
      <c r="N308" s="32" t="s">
        <v>1002</v>
      </c>
      <c r="O308" s="31">
        <f>1793</f>
        <v>1793</v>
      </c>
      <c r="P308" s="32" t="s">
        <v>997</v>
      </c>
      <c r="Q308" s="31">
        <f>1798</f>
        <v>1798</v>
      </c>
      <c r="R308" s="32" t="s">
        <v>1017</v>
      </c>
      <c r="S308" s="33">
        <f>1833.39</f>
        <v>1833.39</v>
      </c>
      <c r="T308" s="30">
        <f>619</f>
        <v>619</v>
      </c>
      <c r="U308" s="30" t="str">
        <f>"－"</f>
        <v>－</v>
      </c>
      <c r="V308" s="30">
        <f>1137582</f>
        <v>1137582</v>
      </c>
      <c r="W308" s="30" t="str">
        <f>"－"</f>
        <v>－</v>
      </c>
      <c r="X308" s="34">
        <f>18</f>
        <v>18</v>
      </c>
    </row>
    <row r="309" spans="1:24" ht="13.5" customHeight="1" x14ac:dyDescent="0.15">
      <c r="A309" s="25" t="s">
        <v>1140</v>
      </c>
      <c r="B309" s="25" t="s">
        <v>914</v>
      </c>
      <c r="C309" s="25" t="s">
        <v>915</v>
      </c>
      <c r="D309" s="25" t="s">
        <v>916</v>
      </c>
      <c r="E309" s="26" t="s">
        <v>45</v>
      </c>
      <c r="F309" s="27" t="s">
        <v>45</v>
      </c>
      <c r="G309" s="28" t="s">
        <v>45</v>
      </c>
      <c r="H309" s="29"/>
      <c r="I309" s="29" t="s">
        <v>46</v>
      </c>
      <c r="J309" s="30">
        <v>1</v>
      </c>
      <c r="K309" s="31">
        <f>3870</f>
        <v>3870</v>
      </c>
      <c r="L309" s="32" t="s">
        <v>995</v>
      </c>
      <c r="M309" s="31">
        <f>4030</f>
        <v>4030</v>
      </c>
      <c r="N309" s="32" t="s">
        <v>1002</v>
      </c>
      <c r="O309" s="31">
        <f>3865</f>
        <v>3865</v>
      </c>
      <c r="P309" s="32" t="s">
        <v>1017</v>
      </c>
      <c r="Q309" s="31">
        <f>3865</f>
        <v>3865</v>
      </c>
      <c r="R309" s="32" t="s">
        <v>1017</v>
      </c>
      <c r="S309" s="33">
        <f>3925.25</f>
        <v>3925.25</v>
      </c>
      <c r="T309" s="30">
        <f>33580</f>
        <v>33580</v>
      </c>
      <c r="U309" s="30">
        <f>28</f>
        <v>28</v>
      </c>
      <c r="V309" s="30">
        <f>132303265</f>
        <v>132303265</v>
      </c>
      <c r="W309" s="30">
        <f>109480</f>
        <v>109480</v>
      </c>
      <c r="X309" s="34">
        <f>20</f>
        <v>20</v>
      </c>
    </row>
    <row r="310" spans="1:24" ht="13.5" customHeight="1" x14ac:dyDescent="0.15">
      <c r="A310" s="25" t="s">
        <v>1140</v>
      </c>
      <c r="B310" s="25" t="s">
        <v>917</v>
      </c>
      <c r="C310" s="25" t="s">
        <v>918</v>
      </c>
      <c r="D310" s="25" t="s">
        <v>919</v>
      </c>
      <c r="E310" s="26" t="s">
        <v>45</v>
      </c>
      <c r="F310" s="27" t="s">
        <v>45</v>
      </c>
      <c r="G310" s="28" t="s">
        <v>45</v>
      </c>
      <c r="H310" s="29"/>
      <c r="I310" s="29" t="s">
        <v>46</v>
      </c>
      <c r="J310" s="30">
        <v>10</v>
      </c>
      <c r="K310" s="31">
        <f>2327.5</f>
        <v>2327.5</v>
      </c>
      <c r="L310" s="32" t="s">
        <v>1000</v>
      </c>
      <c r="M310" s="31">
        <f>2379.5</f>
        <v>2379.5</v>
      </c>
      <c r="N310" s="32" t="s">
        <v>790</v>
      </c>
      <c r="O310" s="31">
        <f>2301</f>
        <v>2301</v>
      </c>
      <c r="P310" s="32" t="s">
        <v>1017</v>
      </c>
      <c r="Q310" s="31">
        <f>2301</f>
        <v>2301</v>
      </c>
      <c r="R310" s="32" t="s">
        <v>1017</v>
      </c>
      <c r="S310" s="33">
        <f>2331.83</f>
        <v>2331.83</v>
      </c>
      <c r="T310" s="30">
        <f>690</f>
        <v>690</v>
      </c>
      <c r="U310" s="30" t="str">
        <f>"－"</f>
        <v>－</v>
      </c>
      <c r="V310" s="30">
        <f>1618940</f>
        <v>1618940</v>
      </c>
      <c r="W310" s="30" t="str">
        <f>"－"</f>
        <v>－</v>
      </c>
      <c r="X310" s="34">
        <f>6</f>
        <v>6</v>
      </c>
    </row>
    <row r="311" spans="1:24" ht="13.5" customHeight="1" x14ac:dyDescent="0.15">
      <c r="A311" s="25" t="s">
        <v>1140</v>
      </c>
      <c r="B311" s="25" t="s">
        <v>928</v>
      </c>
      <c r="C311" s="25" t="s">
        <v>929</v>
      </c>
      <c r="D311" s="25" t="s">
        <v>930</v>
      </c>
      <c r="E311" s="26" t="s">
        <v>45</v>
      </c>
      <c r="F311" s="27" t="s">
        <v>45</v>
      </c>
      <c r="G311" s="28" t="s">
        <v>45</v>
      </c>
      <c r="H311" s="29"/>
      <c r="I311" s="29" t="s">
        <v>46</v>
      </c>
      <c r="J311" s="30">
        <v>10</v>
      </c>
      <c r="K311" s="31">
        <f>229</f>
        <v>229</v>
      </c>
      <c r="L311" s="32" t="s">
        <v>995</v>
      </c>
      <c r="M311" s="31">
        <f>237.9</f>
        <v>237.9</v>
      </c>
      <c r="N311" s="32" t="s">
        <v>997</v>
      </c>
      <c r="O311" s="31">
        <f>225.1</f>
        <v>225.1</v>
      </c>
      <c r="P311" s="32" t="s">
        <v>1017</v>
      </c>
      <c r="Q311" s="31">
        <f>228.9</f>
        <v>228.9</v>
      </c>
      <c r="R311" s="32" t="s">
        <v>1017</v>
      </c>
      <c r="S311" s="33">
        <f>232.11</f>
        <v>232.11</v>
      </c>
      <c r="T311" s="30">
        <f>12900</f>
        <v>12900</v>
      </c>
      <c r="U311" s="30" t="str">
        <f>"－"</f>
        <v>－</v>
      </c>
      <c r="V311" s="30">
        <f>2995402</f>
        <v>2995402</v>
      </c>
      <c r="W311" s="30" t="str">
        <f>"－"</f>
        <v>－</v>
      </c>
      <c r="X311" s="34">
        <f>20</f>
        <v>20</v>
      </c>
    </row>
    <row r="312" spans="1:24" ht="13.5" customHeight="1" x14ac:dyDescent="0.15">
      <c r="A312" s="25" t="s">
        <v>1140</v>
      </c>
      <c r="B312" s="25" t="s">
        <v>920</v>
      </c>
      <c r="C312" s="25" t="s">
        <v>921</v>
      </c>
      <c r="D312" s="25" t="s">
        <v>922</v>
      </c>
      <c r="E312" s="26" t="s">
        <v>45</v>
      </c>
      <c r="F312" s="27" t="s">
        <v>45</v>
      </c>
      <c r="G312" s="28" t="s">
        <v>45</v>
      </c>
      <c r="H312" s="29"/>
      <c r="I312" s="29" t="s">
        <v>46</v>
      </c>
      <c r="J312" s="30">
        <v>10</v>
      </c>
      <c r="K312" s="31">
        <f>190</f>
        <v>190</v>
      </c>
      <c r="L312" s="32" t="s">
        <v>995</v>
      </c>
      <c r="M312" s="31">
        <f>191.9</f>
        <v>191.9</v>
      </c>
      <c r="N312" s="32" t="s">
        <v>78</v>
      </c>
      <c r="O312" s="31">
        <f>183.9</f>
        <v>183.9</v>
      </c>
      <c r="P312" s="32" t="s">
        <v>997</v>
      </c>
      <c r="Q312" s="31">
        <f>186.2</f>
        <v>186.2</v>
      </c>
      <c r="R312" s="32" t="s">
        <v>1017</v>
      </c>
      <c r="S312" s="33">
        <f>187.67</f>
        <v>187.67</v>
      </c>
      <c r="T312" s="30">
        <f>2738920</f>
        <v>2738920</v>
      </c>
      <c r="U312" s="30">
        <f>2725450</f>
        <v>2725450</v>
      </c>
      <c r="V312" s="30">
        <f>507546325</f>
        <v>507546325</v>
      </c>
      <c r="W312" s="30">
        <f>505043700</f>
        <v>505043700</v>
      </c>
      <c r="X312" s="34">
        <f>20</f>
        <v>20</v>
      </c>
    </row>
    <row r="313" spans="1:24" ht="13.5" customHeight="1" x14ac:dyDescent="0.15">
      <c r="A313" s="25" t="s">
        <v>1140</v>
      </c>
      <c r="B313" s="25" t="s">
        <v>923</v>
      </c>
      <c r="C313" s="25" t="s">
        <v>924</v>
      </c>
      <c r="D313" s="25" t="s">
        <v>925</v>
      </c>
      <c r="E313" s="26" t="s">
        <v>45</v>
      </c>
      <c r="F313" s="27" t="s">
        <v>45</v>
      </c>
      <c r="G313" s="28" t="s">
        <v>45</v>
      </c>
      <c r="H313" s="29"/>
      <c r="I313" s="29" t="s">
        <v>46</v>
      </c>
      <c r="J313" s="30">
        <v>10</v>
      </c>
      <c r="K313" s="31">
        <f>687</f>
        <v>687</v>
      </c>
      <c r="L313" s="32" t="s">
        <v>1003</v>
      </c>
      <c r="M313" s="31">
        <f>687</f>
        <v>687</v>
      </c>
      <c r="N313" s="32" t="s">
        <v>1003</v>
      </c>
      <c r="O313" s="31">
        <f>665.5</f>
        <v>665.5</v>
      </c>
      <c r="P313" s="32" t="s">
        <v>1017</v>
      </c>
      <c r="Q313" s="31">
        <f>668.6</f>
        <v>668.6</v>
      </c>
      <c r="R313" s="32" t="s">
        <v>1017</v>
      </c>
      <c r="S313" s="33">
        <f>677.57</f>
        <v>677.57</v>
      </c>
      <c r="T313" s="30">
        <f>13040</f>
        <v>13040</v>
      </c>
      <c r="U313" s="30">
        <f>12020</f>
        <v>12020</v>
      </c>
      <c r="V313" s="30">
        <f>8756988</f>
        <v>8756988</v>
      </c>
      <c r="W313" s="30">
        <f>8067824</f>
        <v>8067824</v>
      </c>
      <c r="X313" s="34">
        <f>11</f>
        <v>11</v>
      </c>
    </row>
    <row r="314" spans="1:24" ht="13.5" customHeight="1" x14ac:dyDescent="0.15">
      <c r="A314" s="25" t="s">
        <v>1140</v>
      </c>
      <c r="B314" s="25" t="s">
        <v>931</v>
      </c>
      <c r="C314" s="25" t="s">
        <v>932</v>
      </c>
      <c r="D314" s="25" t="s">
        <v>933</v>
      </c>
      <c r="E314" s="26" t="s">
        <v>45</v>
      </c>
      <c r="F314" s="27" t="s">
        <v>45</v>
      </c>
      <c r="G314" s="28" t="s">
        <v>45</v>
      </c>
      <c r="H314" s="29"/>
      <c r="I314" s="29" t="s">
        <v>46</v>
      </c>
      <c r="J314" s="30">
        <v>1</v>
      </c>
      <c r="K314" s="31">
        <f>1192</f>
        <v>1192</v>
      </c>
      <c r="L314" s="32" t="s">
        <v>995</v>
      </c>
      <c r="M314" s="31">
        <f>1219</f>
        <v>1219</v>
      </c>
      <c r="N314" s="32" t="s">
        <v>78</v>
      </c>
      <c r="O314" s="31">
        <f>1128</f>
        <v>1128</v>
      </c>
      <c r="P314" s="32" t="s">
        <v>255</v>
      </c>
      <c r="Q314" s="31">
        <f>1145</f>
        <v>1145</v>
      </c>
      <c r="R314" s="32" t="s">
        <v>1017</v>
      </c>
      <c r="S314" s="33">
        <f>1177.55</f>
        <v>1177.55</v>
      </c>
      <c r="T314" s="30">
        <f>97718</f>
        <v>97718</v>
      </c>
      <c r="U314" s="30">
        <f>2</f>
        <v>2</v>
      </c>
      <c r="V314" s="30">
        <f>114827017</f>
        <v>114827017</v>
      </c>
      <c r="W314" s="30">
        <f>2382</f>
        <v>2382</v>
      </c>
      <c r="X314" s="34">
        <f>20</f>
        <v>20</v>
      </c>
    </row>
    <row r="315" spans="1:24" ht="13.5" customHeight="1" x14ac:dyDescent="0.15">
      <c r="A315" s="25" t="s">
        <v>1140</v>
      </c>
      <c r="B315" s="25" t="s">
        <v>934</v>
      </c>
      <c r="C315" s="25" t="s">
        <v>935</v>
      </c>
      <c r="D315" s="25" t="s">
        <v>936</v>
      </c>
      <c r="E315" s="26" t="s">
        <v>45</v>
      </c>
      <c r="F315" s="27" t="s">
        <v>45</v>
      </c>
      <c r="G315" s="28" t="s">
        <v>45</v>
      </c>
      <c r="H315" s="29"/>
      <c r="I315" s="29" t="s">
        <v>46</v>
      </c>
      <c r="J315" s="30">
        <v>1</v>
      </c>
      <c r="K315" s="31">
        <f>979</f>
        <v>979</v>
      </c>
      <c r="L315" s="32" t="s">
        <v>995</v>
      </c>
      <c r="M315" s="31">
        <f>994</f>
        <v>994</v>
      </c>
      <c r="N315" s="32" t="s">
        <v>78</v>
      </c>
      <c r="O315" s="31">
        <f>947</f>
        <v>947</v>
      </c>
      <c r="P315" s="32" t="s">
        <v>997</v>
      </c>
      <c r="Q315" s="31">
        <f>953</f>
        <v>953</v>
      </c>
      <c r="R315" s="32" t="s">
        <v>1017</v>
      </c>
      <c r="S315" s="33">
        <f>968.9</f>
        <v>968.9</v>
      </c>
      <c r="T315" s="30">
        <f>228126</f>
        <v>228126</v>
      </c>
      <c r="U315" s="30">
        <f>210105</f>
        <v>210105</v>
      </c>
      <c r="V315" s="30">
        <f>217190887</f>
        <v>217190887</v>
      </c>
      <c r="W315" s="30">
        <f>199998770</f>
        <v>199998770</v>
      </c>
      <c r="X315" s="34">
        <f>20</f>
        <v>20</v>
      </c>
    </row>
    <row r="316" spans="1:24" ht="13.5" customHeight="1" x14ac:dyDescent="0.15">
      <c r="A316" s="25" t="s">
        <v>1140</v>
      </c>
      <c r="B316" s="25" t="s">
        <v>937</v>
      </c>
      <c r="C316" s="25" t="s">
        <v>938</v>
      </c>
      <c r="D316" s="25" t="s">
        <v>939</v>
      </c>
      <c r="E316" s="26" t="s">
        <v>45</v>
      </c>
      <c r="F316" s="27" t="s">
        <v>45</v>
      </c>
      <c r="G316" s="28" t="s">
        <v>45</v>
      </c>
      <c r="H316" s="29"/>
      <c r="I316" s="29" t="s">
        <v>46</v>
      </c>
      <c r="J316" s="30">
        <v>10</v>
      </c>
      <c r="K316" s="31">
        <f>726.7</f>
        <v>726.7</v>
      </c>
      <c r="L316" s="32" t="s">
        <v>995</v>
      </c>
      <c r="M316" s="31">
        <f>726.8</f>
        <v>726.8</v>
      </c>
      <c r="N316" s="32" t="s">
        <v>1005</v>
      </c>
      <c r="O316" s="31">
        <f>710.2</f>
        <v>710.2</v>
      </c>
      <c r="P316" s="32" t="s">
        <v>997</v>
      </c>
      <c r="Q316" s="31">
        <f>713.6</f>
        <v>713.6</v>
      </c>
      <c r="R316" s="32" t="s">
        <v>1017</v>
      </c>
      <c r="S316" s="33">
        <f>718.6</f>
        <v>718.6</v>
      </c>
      <c r="T316" s="30">
        <f>2396920</f>
        <v>2396920</v>
      </c>
      <c r="U316" s="30">
        <f>2068550</f>
        <v>2068550</v>
      </c>
      <c r="V316" s="30">
        <f>1712274659</f>
        <v>1712274659</v>
      </c>
      <c r="W316" s="30">
        <f>1476381468</f>
        <v>1476381468</v>
      </c>
      <c r="X316" s="34">
        <f>20</f>
        <v>20</v>
      </c>
    </row>
    <row r="317" spans="1:24" ht="13.5" customHeight="1" x14ac:dyDescent="0.15">
      <c r="A317" s="25" t="s">
        <v>1140</v>
      </c>
      <c r="B317" s="25" t="s">
        <v>940</v>
      </c>
      <c r="C317" s="25" t="s">
        <v>941</v>
      </c>
      <c r="D317" s="25" t="s">
        <v>942</v>
      </c>
      <c r="E317" s="26" t="s">
        <v>45</v>
      </c>
      <c r="F317" s="27" t="s">
        <v>45</v>
      </c>
      <c r="G317" s="28" t="s">
        <v>45</v>
      </c>
      <c r="H317" s="29"/>
      <c r="I317" s="29" t="s">
        <v>46</v>
      </c>
      <c r="J317" s="30">
        <v>10</v>
      </c>
      <c r="K317" s="31">
        <f>698.3</f>
        <v>698.3</v>
      </c>
      <c r="L317" s="32" t="s">
        <v>995</v>
      </c>
      <c r="M317" s="31">
        <f>709</f>
        <v>709</v>
      </c>
      <c r="N317" s="32" t="s">
        <v>785</v>
      </c>
      <c r="O317" s="31">
        <f>681.4</f>
        <v>681.4</v>
      </c>
      <c r="P317" s="32" t="s">
        <v>1017</v>
      </c>
      <c r="Q317" s="31">
        <f>681.7</f>
        <v>681.7</v>
      </c>
      <c r="R317" s="32" t="s">
        <v>1017</v>
      </c>
      <c r="S317" s="33">
        <f>692.57</f>
        <v>692.57</v>
      </c>
      <c r="T317" s="30">
        <f>8445930</f>
        <v>8445930</v>
      </c>
      <c r="U317" s="30">
        <f>8428620</f>
        <v>8428620</v>
      </c>
      <c r="V317" s="30">
        <f>5829601689</f>
        <v>5829601689</v>
      </c>
      <c r="W317" s="30">
        <f>5817651517</f>
        <v>5817651517</v>
      </c>
      <c r="X317" s="34">
        <f>19</f>
        <v>19</v>
      </c>
    </row>
    <row r="318" spans="1:24" ht="13.5" customHeight="1" x14ac:dyDescent="0.15">
      <c r="A318" s="25" t="s">
        <v>1140</v>
      </c>
      <c r="B318" s="25" t="s">
        <v>943</v>
      </c>
      <c r="C318" s="25" t="s">
        <v>944</v>
      </c>
      <c r="D318" s="25" t="s">
        <v>945</v>
      </c>
      <c r="E318" s="26" t="s">
        <v>45</v>
      </c>
      <c r="F318" s="27" t="s">
        <v>45</v>
      </c>
      <c r="G318" s="28" t="s">
        <v>45</v>
      </c>
      <c r="H318" s="29"/>
      <c r="I318" s="29" t="s">
        <v>46</v>
      </c>
      <c r="J318" s="30">
        <v>1</v>
      </c>
      <c r="K318" s="31">
        <f>1148</f>
        <v>1148</v>
      </c>
      <c r="L318" s="32" t="s">
        <v>995</v>
      </c>
      <c r="M318" s="31">
        <f>1163</f>
        <v>1163</v>
      </c>
      <c r="N318" s="32" t="s">
        <v>1002</v>
      </c>
      <c r="O318" s="31">
        <f>1130</f>
        <v>1130</v>
      </c>
      <c r="P318" s="32" t="s">
        <v>255</v>
      </c>
      <c r="Q318" s="31">
        <f>1133</f>
        <v>1133</v>
      </c>
      <c r="R318" s="32" t="s">
        <v>1017</v>
      </c>
      <c r="S318" s="33">
        <f>1147.2</f>
        <v>1147.2</v>
      </c>
      <c r="T318" s="30">
        <f>30035</f>
        <v>30035</v>
      </c>
      <c r="U318" s="30">
        <f>19</f>
        <v>19</v>
      </c>
      <c r="V318" s="30">
        <f>34450198</f>
        <v>34450198</v>
      </c>
      <c r="W318" s="30">
        <f>20237</f>
        <v>20237</v>
      </c>
      <c r="X318" s="34">
        <f>20</f>
        <v>20</v>
      </c>
    </row>
    <row r="319" spans="1:24" ht="13.5" customHeight="1" x14ac:dyDescent="0.15">
      <c r="A319" s="25" t="s">
        <v>1140</v>
      </c>
      <c r="B319" s="25" t="s">
        <v>952</v>
      </c>
      <c r="C319" s="25" t="s">
        <v>953</v>
      </c>
      <c r="D319" s="25" t="s">
        <v>954</v>
      </c>
      <c r="E319" s="26" t="s">
        <v>45</v>
      </c>
      <c r="F319" s="27" t="s">
        <v>45</v>
      </c>
      <c r="G319" s="28" t="s">
        <v>45</v>
      </c>
      <c r="H319" s="29"/>
      <c r="I319" s="29" t="s">
        <v>46</v>
      </c>
      <c r="J319" s="30">
        <v>10</v>
      </c>
      <c r="K319" s="31">
        <f>2345</f>
        <v>2345</v>
      </c>
      <c r="L319" s="32" t="s">
        <v>995</v>
      </c>
      <c r="M319" s="31">
        <f>2346</f>
        <v>2346</v>
      </c>
      <c r="N319" s="32" t="s">
        <v>1002</v>
      </c>
      <c r="O319" s="31">
        <f>2236</f>
        <v>2236</v>
      </c>
      <c r="P319" s="32" t="s">
        <v>255</v>
      </c>
      <c r="Q319" s="31">
        <f>2258</f>
        <v>2258</v>
      </c>
      <c r="R319" s="32" t="s">
        <v>1017</v>
      </c>
      <c r="S319" s="33">
        <f>2299.68</f>
        <v>2299.6799999999998</v>
      </c>
      <c r="T319" s="30">
        <f>254540</f>
        <v>254540</v>
      </c>
      <c r="U319" s="30" t="str">
        <f>"－"</f>
        <v>－</v>
      </c>
      <c r="V319" s="30">
        <f>588283535</f>
        <v>588283535</v>
      </c>
      <c r="W319" s="30" t="str">
        <f>"－"</f>
        <v>－</v>
      </c>
      <c r="X319" s="34">
        <f>20</f>
        <v>20</v>
      </c>
    </row>
    <row r="320" spans="1:24" ht="13.5" customHeight="1" x14ac:dyDescent="0.15">
      <c r="A320" s="25" t="s">
        <v>1140</v>
      </c>
      <c r="B320" s="25" t="s">
        <v>955</v>
      </c>
      <c r="C320" s="25" t="s">
        <v>956</v>
      </c>
      <c r="D320" s="25" t="s">
        <v>957</v>
      </c>
      <c r="E320" s="26" t="s">
        <v>45</v>
      </c>
      <c r="F320" s="27" t="s">
        <v>45</v>
      </c>
      <c r="G320" s="28" t="s">
        <v>45</v>
      </c>
      <c r="H320" s="29"/>
      <c r="I320" s="29" t="s">
        <v>46</v>
      </c>
      <c r="J320" s="30">
        <v>10</v>
      </c>
      <c r="K320" s="31">
        <f>2374.5</f>
        <v>2374.5</v>
      </c>
      <c r="L320" s="32" t="s">
        <v>995</v>
      </c>
      <c r="M320" s="31">
        <f>2380.5</f>
        <v>2380.5</v>
      </c>
      <c r="N320" s="32" t="s">
        <v>785</v>
      </c>
      <c r="O320" s="31">
        <f>2220</f>
        <v>2220</v>
      </c>
      <c r="P320" s="32" t="s">
        <v>255</v>
      </c>
      <c r="Q320" s="31">
        <f>2220</f>
        <v>2220</v>
      </c>
      <c r="R320" s="32" t="s">
        <v>997</v>
      </c>
      <c r="S320" s="33">
        <f>2280.57</f>
        <v>2280.5700000000002</v>
      </c>
      <c r="T320" s="30">
        <f>222140</f>
        <v>222140</v>
      </c>
      <c r="U320" s="30">
        <f>102000</f>
        <v>102000</v>
      </c>
      <c r="V320" s="30">
        <f>515883475</f>
        <v>515883475</v>
      </c>
      <c r="W320" s="30">
        <f>237999040</f>
        <v>237999040</v>
      </c>
      <c r="X320" s="34">
        <f>15</f>
        <v>15</v>
      </c>
    </row>
    <row r="321" spans="1:24" ht="13.5" customHeight="1" x14ac:dyDescent="0.15">
      <c r="A321" s="25" t="s">
        <v>1140</v>
      </c>
      <c r="B321" s="25" t="s">
        <v>946</v>
      </c>
      <c r="C321" s="25" t="s">
        <v>947</v>
      </c>
      <c r="D321" s="25" t="s">
        <v>948</v>
      </c>
      <c r="E321" s="26" t="s">
        <v>45</v>
      </c>
      <c r="F321" s="27" t="s">
        <v>45</v>
      </c>
      <c r="G321" s="28" t="s">
        <v>45</v>
      </c>
      <c r="H321" s="29"/>
      <c r="I321" s="29" t="s">
        <v>46</v>
      </c>
      <c r="J321" s="30">
        <v>10</v>
      </c>
      <c r="K321" s="31">
        <f>5113</f>
        <v>5113</v>
      </c>
      <c r="L321" s="32" t="s">
        <v>1000</v>
      </c>
      <c r="M321" s="31">
        <f>5113</f>
        <v>5113</v>
      </c>
      <c r="N321" s="32" t="s">
        <v>1000</v>
      </c>
      <c r="O321" s="31">
        <f>5010</f>
        <v>5010</v>
      </c>
      <c r="P321" s="32" t="s">
        <v>790</v>
      </c>
      <c r="Q321" s="31">
        <f>5038</f>
        <v>5038</v>
      </c>
      <c r="R321" s="32" t="s">
        <v>1001</v>
      </c>
      <c r="S321" s="33">
        <f>5069</f>
        <v>5069</v>
      </c>
      <c r="T321" s="30">
        <f>340</f>
        <v>340</v>
      </c>
      <c r="U321" s="30" t="str">
        <f>"－"</f>
        <v>－</v>
      </c>
      <c r="V321" s="30">
        <f>1727660</f>
        <v>1727660</v>
      </c>
      <c r="W321" s="30" t="str">
        <f>"－"</f>
        <v>－</v>
      </c>
      <c r="X321" s="34">
        <f>6</f>
        <v>6</v>
      </c>
    </row>
    <row r="322" spans="1:24" ht="13.5" customHeight="1" x14ac:dyDescent="0.15">
      <c r="A322" s="25" t="s">
        <v>1140</v>
      </c>
      <c r="B322" s="25" t="s">
        <v>949</v>
      </c>
      <c r="C322" s="25" t="s">
        <v>950</v>
      </c>
      <c r="D322" s="25" t="s">
        <v>951</v>
      </c>
      <c r="E322" s="26" t="s">
        <v>45</v>
      </c>
      <c r="F322" s="27" t="s">
        <v>45</v>
      </c>
      <c r="G322" s="28" t="s">
        <v>45</v>
      </c>
      <c r="H322" s="29"/>
      <c r="I322" s="29" t="s">
        <v>46</v>
      </c>
      <c r="J322" s="30">
        <v>10</v>
      </c>
      <c r="K322" s="31">
        <f>4360</f>
        <v>4360</v>
      </c>
      <c r="L322" s="32" t="s">
        <v>995</v>
      </c>
      <c r="M322" s="31">
        <f>4360</f>
        <v>4360</v>
      </c>
      <c r="N322" s="32" t="s">
        <v>995</v>
      </c>
      <c r="O322" s="31">
        <f>4218</f>
        <v>4218</v>
      </c>
      <c r="P322" s="32" t="s">
        <v>997</v>
      </c>
      <c r="Q322" s="31">
        <f>4218</f>
        <v>4218</v>
      </c>
      <c r="R322" s="32" t="s">
        <v>997</v>
      </c>
      <c r="S322" s="33">
        <f>4285.23</f>
        <v>4285.2299999999996</v>
      </c>
      <c r="T322" s="30">
        <f>164650</f>
        <v>164650</v>
      </c>
      <c r="U322" s="30">
        <f>164290</f>
        <v>164290</v>
      </c>
      <c r="V322" s="30">
        <f>700889091</f>
        <v>700889091</v>
      </c>
      <c r="W322" s="30">
        <f>699348041</f>
        <v>699348041</v>
      </c>
      <c r="X322" s="34">
        <f>13</f>
        <v>13</v>
      </c>
    </row>
    <row r="323" spans="1:24" ht="13.5" customHeight="1" x14ac:dyDescent="0.15">
      <c r="A323" s="25" t="s">
        <v>1140</v>
      </c>
      <c r="B323" s="25" t="s">
        <v>958</v>
      </c>
      <c r="C323" s="25" t="s">
        <v>959</v>
      </c>
      <c r="D323" s="25" t="s">
        <v>960</v>
      </c>
      <c r="E323" s="26" t="s">
        <v>45</v>
      </c>
      <c r="F323" s="27" t="s">
        <v>45</v>
      </c>
      <c r="G323" s="28" t="s">
        <v>45</v>
      </c>
      <c r="H323" s="29"/>
      <c r="I323" s="29" t="s">
        <v>46</v>
      </c>
      <c r="J323" s="30">
        <v>10</v>
      </c>
      <c r="K323" s="31">
        <f>1911.5</f>
        <v>1911.5</v>
      </c>
      <c r="L323" s="32" t="s">
        <v>995</v>
      </c>
      <c r="M323" s="31">
        <f>1913.5</f>
        <v>1913.5</v>
      </c>
      <c r="N323" s="32" t="s">
        <v>785</v>
      </c>
      <c r="O323" s="31">
        <f>1838</f>
        <v>1838</v>
      </c>
      <c r="P323" s="32" t="s">
        <v>255</v>
      </c>
      <c r="Q323" s="31">
        <f>1878</f>
        <v>1878</v>
      </c>
      <c r="R323" s="32" t="s">
        <v>255</v>
      </c>
      <c r="S323" s="33">
        <f>1887</f>
        <v>1887</v>
      </c>
      <c r="T323" s="30">
        <f>660</f>
        <v>660</v>
      </c>
      <c r="U323" s="30" t="str">
        <f>"－"</f>
        <v>－</v>
      </c>
      <c r="V323" s="30">
        <f>1242495</f>
        <v>1242495</v>
      </c>
      <c r="W323" s="30" t="str">
        <f>"－"</f>
        <v>－</v>
      </c>
      <c r="X323" s="34">
        <f>11</f>
        <v>11</v>
      </c>
    </row>
    <row r="324" spans="1:24" ht="13.5" customHeight="1" x14ac:dyDescent="0.15">
      <c r="A324" s="25" t="s">
        <v>1140</v>
      </c>
      <c r="B324" s="25" t="s">
        <v>961</v>
      </c>
      <c r="C324" s="25" t="s">
        <v>962</v>
      </c>
      <c r="D324" s="25" t="s">
        <v>963</v>
      </c>
      <c r="E324" s="26" t="s">
        <v>45</v>
      </c>
      <c r="F324" s="27" t="s">
        <v>45</v>
      </c>
      <c r="G324" s="28" t="s">
        <v>45</v>
      </c>
      <c r="H324" s="29"/>
      <c r="I324" s="29" t="s">
        <v>46</v>
      </c>
      <c r="J324" s="30">
        <v>1</v>
      </c>
      <c r="K324" s="31">
        <f>1248</f>
        <v>1248</v>
      </c>
      <c r="L324" s="32" t="s">
        <v>995</v>
      </c>
      <c r="M324" s="31">
        <f>1257</f>
        <v>1257</v>
      </c>
      <c r="N324" s="32" t="s">
        <v>784</v>
      </c>
      <c r="O324" s="31">
        <f>1147</f>
        <v>1147</v>
      </c>
      <c r="P324" s="32" t="s">
        <v>997</v>
      </c>
      <c r="Q324" s="31">
        <f>1155</f>
        <v>1155</v>
      </c>
      <c r="R324" s="32" t="s">
        <v>1017</v>
      </c>
      <c r="S324" s="33">
        <f>1205.9</f>
        <v>1205.9000000000001</v>
      </c>
      <c r="T324" s="30">
        <f>3269</f>
        <v>3269</v>
      </c>
      <c r="U324" s="30" t="str">
        <f>"－"</f>
        <v>－</v>
      </c>
      <c r="V324" s="30">
        <f>3896629</f>
        <v>3896629</v>
      </c>
      <c r="W324" s="30" t="str">
        <f>"－"</f>
        <v>－</v>
      </c>
      <c r="X324" s="34">
        <f>20</f>
        <v>20</v>
      </c>
    </row>
    <row r="325" spans="1:24" ht="13.5" customHeight="1" x14ac:dyDescent="0.15">
      <c r="A325" s="25" t="s">
        <v>1140</v>
      </c>
      <c r="B325" s="25" t="s">
        <v>964</v>
      </c>
      <c r="C325" s="25" t="s">
        <v>965</v>
      </c>
      <c r="D325" s="25" t="s">
        <v>966</v>
      </c>
      <c r="E325" s="26" t="s">
        <v>45</v>
      </c>
      <c r="F325" s="27" t="s">
        <v>45</v>
      </c>
      <c r="G325" s="28" t="s">
        <v>45</v>
      </c>
      <c r="H325" s="29"/>
      <c r="I325" s="29" t="s">
        <v>46</v>
      </c>
      <c r="J325" s="30">
        <v>1</v>
      </c>
      <c r="K325" s="31">
        <f>1113</f>
        <v>1113</v>
      </c>
      <c r="L325" s="32" t="s">
        <v>995</v>
      </c>
      <c r="M325" s="31">
        <f>1130</f>
        <v>1130</v>
      </c>
      <c r="N325" s="32" t="s">
        <v>78</v>
      </c>
      <c r="O325" s="31">
        <f>1076</f>
        <v>1076</v>
      </c>
      <c r="P325" s="32" t="s">
        <v>1001</v>
      </c>
      <c r="Q325" s="31">
        <f>1092</f>
        <v>1092</v>
      </c>
      <c r="R325" s="32" t="s">
        <v>1017</v>
      </c>
      <c r="S325" s="33">
        <f>1105</f>
        <v>1105</v>
      </c>
      <c r="T325" s="30">
        <f>947899</f>
        <v>947899</v>
      </c>
      <c r="U325" s="30">
        <f>169</f>
        <v>169</v>
      </c>
      <c r="V325" s="30">
        <f>1044538230</f>
        <v>1044538230</v>
      </c>
      <c r="W325" s="30">
        <f>183660</f>
        <v>183660</v>
      </c>
      <c r="X325" s="34">
        <f>20</f>
        <v>20</v>
      </c>
    </row>
    <row r="326" spans="1:24" ht="13.5" customHeight="1" x14ac:dyDescent="0.15">
      <c r="A326" s="25" t="s">
        <v>1140</v>
      </c>
      <c r="B326" s="25" t="s">
        <v>967</v>
      </c>
      <c r="C326" s="25" t="s">
        <v>968</v>
      </c>
      <c r="D326" s="25" t="s">
        <v>969</v>
      </c>
      <c r="E326" s="26" t="s">
        <v>45</v>
      </c>
      <c r="F326" s="27" t="s">
        <v>45</v>
      </c>
      <c r="G326" s="28" t="s">
        <v>45</v>
      </c>
      <c r="H326" s="29"/>
      <c r="I326" s="29" t="s">
        <v>46</v>
      </c>
      <c r="J326" s="30">
        <v>1</v>
      </c>
      <c r="K326" s="31">
        <f>939</f>
        <v>939</v>
      </c>
      <c r="L326" s="32" t="s">
        <v>995</v>
      </c>
      <c r="M326" s="31">
        <f>954</f>
        <v>954</v>
      </c>
      <c r="N326" s="32" t="s">
        <v>785</v>
      </c>
      <c r="O326" s="31">
        <f>929</f>
        <v>929</v>
      </c>
      <c r="P326" s="32" t="s">
        <v>995</v>
      </c>
      <c r="Q326" s="31">
        <f>944</f>
        <v>944</v>
      </c>
      <c r="R326" s="32" t="s">
        <v>1017</v>
      </c>
      <c r="S326" s="33">
        <f>942.35</f>
        <v>942.35</v>
      </c>
      <c r="T326" s="30">
        <f>508190</f>
        <v>508190</v>
      </c>
      <c r="U326" s="30" t="str">
        <f>"－"</f>
        <v>－</v>
      </c>
      <c r="V326" s="30">
        <f>479125784</f>
        <v>479125784</v>
      </c>
      <c r="W326" s="30" t="str">
        <f>"－"</f>
        <v>－</v>
      </c>
      <c r="X326" s="34">
        <f>20</f>
        <v>20</v>
      </c>
    </row>
    <row r="327" spans="1:24" ht="13.5" customHeight="1" x14ac:dyDescent="0.15">
      <c r="A327" s="25" t="s">
        <v>1140</v>
      </c>
      <c r="B327" s="25" t="s">
        <v>974</v>
      </c>
      <c r="C327" s="25" t="s">
        <v>975</v>
      </c>
      <c r="D327" s="25" t="s">
        <v>976</v>
      </c>
      <c r="E327" s="26" t="s">
        <v>45</v>
      </c>
      <c r="F327" s="27" t="s">
        <v>45</v>
      </c>
      <c r="G327" s="28" t="s">
        <v>45</v>
      </c>
      <c r="H327" s="29"/>
      <c r="I327" s="29" t="s">
        <v>46</v>
      </c>
      <c r="J327" s="30">
        <v>1</v>
      </c>
      <c r="K327" s="31">
        <f>1164</f>
        <v>1164</v>
      </c>
      <c r="L327" s="32" t="s">
        <v>995</v>
      </c>
      <c r="M327" s="31">
        <f>1174</f>
        <v>1174</v>
      </c>
      <c r="N327" s="32" t="s">
        <v>78</v>
      </c>
      <c r="O327" s="31">
        <f>1086</f>
        <v>1086</v>
      </c>
      <c r="P327" s="32" t="s">
        <v>255</v>
      </c>
      <c r="Q327" s="31">
        <f>1108</f>
        <v>1108</v>
      </c>
      <c r="R327" s="32" t="s">
        <v>1017</v>
      </c>
      <c r="S327" s="33">
        <f>1135.1</f>
        <v>1135.0999999999999</v>
      </c>
      <c r="T327" s="30">
        <f>34074</f>
        <v>34074</v>
      </c>
      <c r="U327" s="30" t="str">
        <f>"－"</f>
        <v>－</v>
      </c>
      <c r="V327" s="30">
        <f>38481377</f>
        <v>38481377</v>
      </c>
      <c r="W327" s="30" t="str">
        <f>"－"</f>
        <v>－</v>
      </c>
      <c r="X327" s="34">
        <f>20</f>
        <v>20</v>
      </c>
    </row>
    <row r="328" spans="1:24" ht="13.5" customHeight="1" x14ac:dyDescent="0.15">
      <c r="A328" s="25" t="s">
        <v>1140</v>
      </c>
      <c r="B328" s="25" t="s">
        <v>977</v>
      </c>
      <c r="C328" s="25" t="s">
        <v>978</v>
      </c>
      <c r="D328" s="25" t="s">
        <v>979</v>
      </c>
      <c r="E328" s="26" t="s">
        <v>45</v>
      </c>
      <c r="F328" s="27" t="s">
        <v>45</v>
      </c>
      <c r="G328" s="28" t="s">
        <v>45</v>
      </c>
      <c r="H328" s="29"/>
      <c r="I328" s="29" t="s">
        <v>46</v>
      </c>
      <c r="J328" s="30">
        <v>1</v>
      </c>
      <c r="K328" s="31">
        <f>1014</f>
        <v>1014</v>
      </c>
      <c r="L328" s="32" t="s">
        <v>995</v>
      </c>
      <c r="M328" s="31">
        <f>1029</f>
        <v>1029</v>
      </c>
      <c r="N328" s="32" t="s">
        <v>78</v>
      </c>
      <c r="O328" s="31">
        <f>994</f>
        <v>994</v>
      </c>
      <c r="P328" s="32" t="s">
        <v>1001</v>
      </c>
      <c r="Q328" s="31">
        <f>1003</f>
        <v>1003</v>
      </c>
      <c r="R328" s="32" t="s">
        <v>1017</v>
      </c>
      <c r="S328" s="33">
        <f>1012.5</f>
        <v>1012.5</v>
      </c>
      <c r="T328" s="30">
        <f>276554</f>
        <v>276554</v>
      </c>
      <c r="U328" s="30">
        <f>156</f>
        <v>156</v>
      </c>
      <c r="V328" s="30">
        <f>279544155</f>
        <v>279544155</v>
      </c>
      <c r="W328" s="30">
        <f>153799</f>
        <v>153799</v>
      </c>
      <c r="X328" s="34">
        <f>20</f>
        <v>20</v>
      </c>
    </row>
    <row r="329" spans="1:24" ht="13.5" customHeight="1" x14ac:dyDescent="0.15">
      <c r="A329" s="25" t="s">
        <v>1140</v>
      </c>
      <c r="B329" s="25" t="s">
        <v>980</v>
      </c>
      <c r="C329" s="25" t="s">
        <v>981</v>
      </c>
      <c r="D329" s="25" t="s">
        <v>1089</v>
      </c>
      <c r="E329" s="26" t="s">
        <v>45</v>
      </c>
      <c r="F329" s="27" t="s">
        <v>45</v>
      </c>
      <c r="G329" s="28" t="s">
        <v>45</v>
      </c>
      <c r="H329" s="29"/>
      <c r="I329" s="29" t="s">
        <v>46</v>
      </c>
      <c r="J329" s="30">
        <v>1</v>
      </c>
      <c r="K329" s="31">
        <f>30970</f>
        <v>30970</v>
      </c>
      <c r="L329" s="32" t="s">
        <v>995</v>
      </c>
      <c r="M329" s="31">
        <f>31060</f>
        <v>31060</v>
      </c>
      <c r="N329" s="32" t="s">
        <v>995</v>
      </c>
      <c r="O329" s="31">
        <f>26975</f>
        <v>26975</v>
      </c>
      <c r="P329" s="32" t="s">
        <v>997</v>
      </c>
      <c r="Q329" s="31">
        <f>27600</f>
        <v>27600</v>
      </c>
      <c r="R329" s="32" t="s">
        <v>1017</v>
      </c>
      <c r="S329" s="33">
        <f>29418</f>
        <v>29418</v>
      </c>
      <c r="T329" s="30">
        <f>344823</f>
        <v>344823</v>
      </c>
      <c r="U329" s="30" t="str">
        <f>"－"</f>
        <v>－</v>
      </c>
      <c r="V329" s="30">
        <f>9982334220</f>
        <v>9982334220</v>
      </c>
      <c r="W329" s="30" t="str">
        <f>"－"</f>
        <v>－</v>
      </c>
      <c r="X329" s="34">
        <f>20</f>
        <v>20</v>
      </c>
    </row>
    <row r="330" spans="1:24" ht="13.5" customHeight="1" x14ac:dyDescent="0.15">
      <c r="A330" s="25" t="s">
        <v>1140</v>
      </c>
      <c r="B330" s="25" t="s">
        <v>983</v>
      </c>
      <c r="C330" s="25" t="s">
        <v>984</v>
      </c>
      <c r="D330" s="25" t="s">
        <v>1090</v>
      </c>
      <c r="E330" s="26" t="s">
        <v>45</v>
      </c>
      <c r="F330" s="27" t="s">
        <v>45</v>
      </c>
      <c r="G330" s="28" t="s">
        <v>45</v>
      </c>
      <c r="H330" s="29"/>
      <c r="I330" s="29" t="s">
        <v>46</v>
      </c>
      <c r="J330" s="30">
        <v>1</v>
      </c>
      <c r="K330" s="31">
        <f>32570</f>
        <v>32570</v>
      </c>
      <c r="L330" s="32" t="s">
        <v>995</v>
      </c>
      <c r="M330" s="31">
        <f>37020</f>
        <v>37020</v>
      </c>
      <c r="N330" s="32" t="s">
        <v>997</v>
      </c>
      <c r="O330" s="31">
        <f>32490</f>
        <v>32490</v>
      </c>
      <c r="P330" s="32" t="s">
        <v>995</v>
      </c>
      <c r="Q330" s="31">
        <f>36170</f>
        <v>36170</v>
      </c>
      <c r="R330" s="32" t="s">
        <v>1017</v>
      </c>
      <c r="S330" s="33">
        <f>34215</f>
        <v>34215</v>
      </c>
      <c r="T330" s="30">
        <f>295587</f>
        <v>295587</v>
      </c>
      <c r="U330" s="30">
        <f>3032</f>
        <v>3032</v>
      </c>
      <c r="V330" s="30">
        <f>10201852362</f>
        <v>10201852362</v>
      </c>
      <c r="W330" s="30">
        <f>106920912</f>
        <v>106920912</v>
      </c>
      <c r="X330" s="34">
        <f>20</f>
        <v>20</v>
      </c>
    </row>
  </sheetData>
  <mergeCells count="3">
    <mergeCell ref="N1:X3"/>
    <mergeCell ref="A2:M2"/>
    <mergeCell ref="A3:M3"/>
  </mergeCells>
  <phoneticPr fontId="3"/>
  <printOptions horizontalCentered="1"/>
  <pageMargins left="0.39370078740157483" right="0.39370078740157483" top="0.39370078740157483" bottom="0.59055118110236227" header="0.27559055118110237" footer="0.27559055118110237"/>
  <pageSetup paperSize="9" scale="34" fitToHeight="0" orientation="landscape" r:id="rId1"/>
  <headerFooter>
    <oddFooter>&amp;C&amp;P/&amp;N&amp;RCopyright (c) Tokyo Stock Exchange, Inc. All Rights Reserved.</oddFooter>
  </headerFooter>
  <customProperties>
    <customPr name="layoutContexts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1BF156-B517-432D-AE7D-287DEE6C16CA}">
  <sheetPr>
    <pageSetUpPr fitToPage="1"/>
  </sheetPr>
  <dimension ref="A1:X317"/>
  <sheetViews>
    <sheetView showGridLines="0" view="pageBreakPreview" zoomScaleNormal="70" zoomScaleSheetLayoutView="100" workbookViewId="0">
      <pane ySplit="6" topLeftCell="A7" activePane="bottomLeft" state="frozen"/>
      <selection activeCell="A2" sqref="A2:M2"/>
      <selection pane="bottomLeft" activeCell="A2" sqref="A2:M2"/>
    </sheetView>
  </sheetViews>
  <sheetFormatPr defaultRowHeight="13.5" customHeight="1" x14ac:dyDescent="0.4"/>
  <cols>
    <col min="1" max="1" width="13.125" style="3" bestFit="1" customWidth="1"/>
    <col min="2" max="2" width="10.75" style="3" bestFit="1" customWidth="1"/>
    <col min="3" max="4" width="27.625" style="3" customWidth="1"/>
    <col min="5" max="5" width="13.75" style="3" bestFit="1" customWidth="1"/>
    <col min="6" max="6" width="20.75" style="3" bestFit="1" customWidth="1"/>
    <col min="7" max="7" width="11.25" style="3" customWidth="1"/>
    <col min="8" max="8" width="8.75" style="3" bestFit="1" customWidth="1"/>
    <col min="9" max="9" width="11.75" style="3" bestFit="1" customWidth="1"/>
    <col min="10" max="10" width="12.625" style="3" bestFit="1" customWidth="1"/>
    <col min="11" max="11" width="16.25" style="3" customWidth="1"/>
    <col min="12" max="12" width="5.625" style="3" bestFit="1" customWidth="1"/>
    <col min="13" max="13" width="16.25" style="3" customWidth="1"/>
    <col min="14" max="14" width="5.625" style="3" bestFit="1" customWidth="1"/>
    <col min="15" max="15" width="16.25" style="3" customWidth="1"/>
    <col min="16" max="16" width="5.625" style="3" bestFit="1" customWidth="1"/>
    <col min="17" max="17" width="16.25" style="3" customWidth="1"/>
    <col min="18" max="18" width="5.625" style="3" bestFit="1" customWidth="1"/>
    <col min="19" max="19" width="23.875" style="3" bestFit="1" customWidth="1"/>
    <col min="20" max="20" width="16.25" style="3" customWidth="1"/>
    <col min="21" max="21" width="24.125" style="3" customWidth="1"/>
    <col min="22" max="22" width="19.875" style="3" bestFit="1" customWidth="1"/>
    <col min="23" max="23" width="25" style="3" bestFit="1" customWidth="1"/>
    <col min="24" max="24" width="13.125" style="3" bestFit="1" customWidth="1"/>
    <col min="25" max="16384" width="9" style="3"/>
  </cols>
  <sheetData>
    <row r="1" spans="1:24" ht="13.5" customHeight="1" x14ac:dyDescent="0.4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6" t="s">
        <v>0</v>
      </c>
      <c r="O1" s="36"/>
      <c r="P1" s="36"/>
      <c r="Q1" s="36"/>
      <c r="R1" s="36"/>
      <c r="S1" s="36"/>
      <c r="T1" s="36"/>
      <c r="U1" s="36"/>
      <c r="V1" s="36"/>
      <c r="W1" s="36"/>
      <c r="X1" s="37"/>
    </row>
    <row r="2" spans="1:24" ht="99" customHeight="1" x14ac:dyDescent="0.4">
      <c r="A2" s="42" t="s">
        <v>1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38"/>
      <c r="O2" s="38"/>
      <c r="P2" s="38"/>
      <c r="Q2" s="38"/>
      <c r="R2" s="38"/>
      <c r="S2" s="38"/>
      <c r="T2" s="38"/>
      <c r="U2" s="38"/>
      <c r="V2" s="38"/>
      <c r="W2" s="38"/>
      <c r="X2" s="39"/>
    </row>
    <row r="3" spans="1:24" ht="39" customHeight="1" x14ac:dyDescent="0.4">
      <c r="A3" s="44" t="s">
        <v>2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0"/>
      <c r="O3" s="40"/>
      <c r="P3" s="40"/>
      <c r="Q3" s="40"/>
      <c r="R3" s="40"/>
      <c r="S3" s="40"/>
      <c r="T3" s="40"/>
      <c r="U3" s="40"/>
      <c r="V3" s="40"/>
      <c r="W3" s="40"/>
      <c r="X3" s="41"/>
    </row>
    <row r="4" spans="1:24" s="10" customFormat="1" ht="13.5" customHeight="1" x14ac:dyDescent="0.4">
      <c r="A4" s="4" t="s">
        <v>3</v>
      </c>
      <c r="B4" s="4" t="s">
        <v>4</v>
      </c>
      <c r="C4" s="4"/>
      <c r="D4" s="4"/>
      <c r="E4" s="5"/>
      <c r="F4" s="6"/>
      <c r="G4" s="7" t="s">
        <v>5</v>
      </c>
      <c r="H4" s="4" t="s">
        <v>6</v>
      </c>
      <c r="I4" s="4" t="s">
        <v>7</v>
      </c>
      <c r="J4" s="4" t="s">
        <v>8</v>
      </c>
      <c r="K4" s="8" t="s">
        <v>9</v>
      </c>
      <c r="L4" s="7" t="s">
        <v>5</v>
      </c>
      <c r="M4" s="8" t="s">
        <v>10</v>
      </c>
      <c r="N4" s="7" t="s">
        <v>5</v>
      </c>
      <c r="O4" s="8" t="s">
        <v>11</v>
      </c>
      <c r="P4" s="7" t="s">
        <v>5</v>
      </c>
      <c r="Q4" s="8" t="s">
        <v>12</v>
      </c>
      <c r="R4" s="7" t="s">
        <v>5</v>
      </c>
      <c r="S4" s="4" t="s">
        <v>13</v>
      </c>
      <c r="T4" s="4" t="s">
        <v>14</v>
      </c>
      <c r="U4" s="9" t="s">
        <v>15</v>
      </c>
      <c r="V4" s="4" t="s">
        <v>16</v>
      </c>
      <c r="W4" s="4" t="s">
        <v>17</v>
      </c>
      <c r="X4" s="4" t="s">
        <v>18</v>
      </c>
    </row>
    <row r="5" spans="1:24" ht="13.5" customHeight="1" x14ac:dyDescent="0.4">
      <c r="A5" s="11" t="s">
        <v>19</v>
      </c>
      <c r="B5" s="11" t="s">
        <v>20</v>
      </c>
      <c r="C5" s="11" t="s">
        <v>21</v>
      </c>
      <c r="D5" s="11" t="s">
        <v>22</v>
      </c>
      <c r="E5" s="12" t="s">
        <v>23</v>
      </c>
      <c r="F5" s="13" t="s">
        <v>24</v>
      </c>
      <c r="G5" s="14" t="s">
        <v>25</v>
      </c>
      <c r="H5" s="15" t="s">
        <v>26</v>
      </c>
      <c r="I5" s="15" t="s">
        <v>27</v>
      </c>
      <c r="J5" s="15" t="s">
        <v>28</v>
      </c>
      <c r="K5" s="16" t="s">
        <v>29</v>
      </c>
      <c r="L5" s="14" t="s">
        <v>25</v>
      </c>
      <c r="M5" s="16" t="s">
        <v>30</v>
      </c>
      <c r="N5" s="14" t="s">
        <v>25</v>
      </c>
      <c r="O5" s="16" t="s">
        <v>31</v>
      </c>
      <c r="P5" s="14" t="s">
        <v>25</v>
      </c>
      <c r="Q5" s="16" t="s">
        <v>32</v>
      </c>
      <c r="R5" s="14" t="s">
        <v>25</v>
      </c>
      <c r="S5" s="17" t="s">
        <v>33</v>
      </c>
      <c r="T5" s="17" t="s">
        <v>34</v>
      </c>
      <c r="U5" s="11" t="s">
        <v>35</v>
      </c>
      <c r="V5" s="17" t="s">
        <v>36</v>
      </c>
      <c r="W5" s="17" t="s">
        <v>37</v>
      </c>
      <c r="X5" s="17" t="s">
        <v>38</v>
      </c>
    </row>
    <row r="6" spans="1:24" ht="13.5" customHeight="1" x14ac:dyDescent="0.15">
      <c r="A6" s="18"/>
      <c r="B6" s="18"/>
      <c r="C6" s="18"/>
      <c r="D6" s="18"/>
      <c r="E6" s="19"/>
      <c r="F6" s="20"/>
      <c r="G6" s="21"/>
      <c r="H6" s="22"/>
      <c r="I6" s="22"/>
      <c r="J6" s="22" t="s">
        <v>39</v>
      </c>
      <c r="K6" s="23" t="s">
        <v>40</v>
      </c>
      <c r="L6" s="24"/>
      <c r="M6" s="23" t="s">
        <v>40</v>
      </c>
      <c r="N6" s="24"/>
      <c r="O6" s="23" t="s">
        <v>40</v>
      </c>
      <c r="P6" s="24"/>
      <c r="Q6" s="23" t="s">
        <v>40</v>
      </c>
      <c r="R6" s="24"/>
      <c r="S6" s="23" t="s">
        <v>40</v>
      </c>
      <c r="T6" s="22" t="s">
        <v>41</v>
      </c>
      <c r="U6" s="22" t="s">
        <v>41</v>
      </c>
      <c r="V6" s="23" t="s">
        <v>40</v>
      </c>
      <c r="W6" s="23" t="s">
        <v>40</v>
      </c>
      <c r="X6" s="22"/>
    </row>
    <row r="7" spans="1:24" s="35" customFormat="1" ht="13.5" customHeight="1" x14ac:dyDescent="0.15">
      <c r="A7" s="25" t="s">
        <v>1139</v>
      </c>
      <c r="B7" s="25" t="s">
        <v>42</v>
      </c>
      <c r="C7" s="25" t="s">
        <v>1033</v>
      </c>
      <c r="D7" s="25" t="s">
        <v>1034</v>
      </c>
      <c r="E7" s="26" t="s">
        <v>45</v>
      </c>
      <c r="F7" s="27" t="s">
        <v>45</v>
      </c>
      <c r="G7" s="28" t="s">
        <v>45</v>
      </c>
      <c r="H7" s="29"/>
      <c r="I7" s="29" t="s">
        <v>46</v>
      </c>
      <c r="J7" s="30">
        <v>10</v>
      </c>
      <c r="K7" s="31">
        <f>2437</f>
        <v>2437</v>
      </c>
      <c r="L7" s="32" t="s">
        <v>995</v>
      </c>
      <c r="M7" s="31">
        <f>2447</f>
        <v>2447</v>
      </c>
      <c r="N7" s="32" t="s">
        <v>995</v>
      </c>
      <c r="O7" s="31">
        <f>2330</f>
        <v>2330</v>
      </c>
      <c r="P7" s="32" t="s">
        <v>792</v>
      </c>
      <c r="Q7" s="31">
        <f>2438.5</f>
        <v>2438.5</v>
      </c>
      <c r="R7" s="32" t="s">
        <v>791</v>
      </c>
      <c r="S7" s="33">
        <f>2389.57</f>
        <v>2389.5700000000002</v>
      </c>
      <c r="T7" s="30">
        <f>4883100</f>
        <v>4883100</v>
      </c>
      <c r="U7" s="30">
        <f>734560</f>
        <v>734560</v>
      </c>
      <c r="V7" s="30">
        <f>11680680229</f>
        <v>11680680229</v>
      </c>
      <c r="W7" s="30">
        <f>1766842264</f>
        <v>1766842264</v>
      </c>
      <c r="X7" s="34">
        <f>22</f>
        <v>22</v>
      </c>
    </row>
    <row r="8" spans="1:24" ht="13.5" customHeight="1" x14ac:dyDescent="0.15">
      <c r="A8" s="25" t="s">
        <v>1139</v>
      </c>
      <c r="B8" s="25" t="s">
        <v>47</v>
      </c>
      <c r="C8" s="25" t="s">
        <v>48</v>
      </c>
      <c r="D8" s="25" t="s">
        <v>49</v>
      </c>
      <c r="E8" s="26" t="s">
        <v>45</v>
      </c>
      <c r="F8" s="27" t="s">
        <v>45</v>
      </c>
      <c r="G8" s="28" t="s">
        <v>45</v>
      </c>
      <c r="H8" s="29"/>
      <c r="I8" s="29" t="s">
        <v>46</v>
      </c>
      <c r="J8" s="30">
        <v>10</v>
      </c>
      <c r="K8" s="31">
        <f>2409.5</f>
        <v>2409.5</v>
      </c>
      <c r="L8" s="32" t="s">
        <v>995</v>
      </c>
      <c r="M8" s="31">
        <f>2421</f>
        <v>2421</v>
      </c>
      <c r="N8" s="32" t="s">
        <v>995</v>
      </c>
      <c r="O8" s="31">
        <f>2306</f>
        <v>2306</v>
      </c>
      <c r="P8" s="32" t="s">
        <v>792</v>
      </c>
      <c r="Q8" s="31">
        <f>2409.5</f>
        <v>2409.5</v>
      </c>
      <c r="R8" s="32" t="s">
        <v>791</v>
      </c>
      <c r="S8" s="33">
        <f>2363.91</f>
        <v>2363.91</v>
      </c>
      <c r="T8" s="30">
        <f>51060010</f>
        <v>51060010</v>
      </c>
      <c r="U8" s="30">
        <f>12902600</f>
        <v>12902600</v>
      </c>
      <c r="V8" s="30">
        <f>121002246526</f>
        <v>121002246526</v>
      </c>
      <c r="W8" s="30">
        <f>30521751511</f>
        <v>30521751511</v>
      </c>
      <c r="X8" s="34">
        <f>22</f>
        <v>22</v>
      </c>
    </row>
    <row r="9" spans="1:24" ht="13.5" customHeight="1" x14ac:dyDescent="0.15">
      <c r="A9" s="25" t="s">
        <v>1139</v>
      </c>
      <c r="B9" s="25" t="s">
        <v>50</v>
      </c>
      <c r="C9" s="25" t="s">
        <v>51</v>
      </c>
      <c r="D9" s="25" t="s">
        <v>52</v>
      </c>
      <c r="E9" s="26" t="s">
        <v>45</v>
      </c>
      <c r="F9" s="27" t="s">
        <v>45</v>
      </c>
      <c r="G9" s="28" t="s">
        <v>45</v>
      </c>
      <c r="H9" s="29"/>
      <c r="I9" s="29" t="s">
        <v>46</v>
      </c>
      <c r="J9" s="30">
        <v>1</v>
      </c>
      <c r="K9" s="31">
        <f>2383</f>
        <v>2383</v>
      </c>
      <c r="L9" s="32" t="s">
        <v>995</v>
      </c>
      <c r="M9" s="31">
        <f>2392</f>
        <v>2392</v>
      </c>
      <c r="N9" s="32" t="s">
        <v>995</v>
      </c>
      <c r="O9" s="31">
        <f>2279</f>
        <v>2279</v>
      </c>
      <c r="P9" s="32" t="s">
        <v>792</v>
      </c>
      <c r="Q9" s="31">
        <f>2384</f>
        <v>2384</v>
      </c>
      <c r="R9" s="32" t="s">
        <v>791</v>
      </c>
      <c r="S9" s="33">
        <f>2336.64</f>
        <v>2336.64</v>
      </c>
      <c r="T9" s="30">
        <f>7205797</f>
        <v>7205797</v>
      </c>
      <c r="U9" s="30">
        <f>116868</f>
        <v>116868</v>
      </c>
      <c r="V9" s="30">
        <f>16888380575</f>
        <v>16888380575</v>
      </c>
      <c r="W9" s="30">
        <f>266991074</f>
        <v>266991074</v>
      </c>
      <c r="X9" s="34">
        <f>22</f>
        <v>22</v>
      </c>
    </row>
    <row r="10" spans="1:24" ht="13.5" customHeight="1" x14ac:dyDescent="0.15">
      <c r="A10" s="25" t="s">
        <v>1139</v>
      </c>
      <c r="B10" s="25" t="s">
        <v>53</v>
      </c>
      <c r="C10" s="25" t="s">
        <v>54</v>
      </c>
      <c r="D10" s="25" t="s">
        <v>55</v>
      </c>
      <c r="E10" s="26" t="s">
        <v>45</v>
      </c>
      <c r="F10" s="27" t="s">
        <v>45</v>
      </c>
      <c r="G10" s="28" t="s">
        <v>45</v>
      </c>
      <c r="H10" s="29"/>
      <c r="I10" s="29" t="s">
        <v>46</v>
      </c>
      <c r="J10" s="30">
        <v>1</v>
      </c>
      <c r="K10" s="31">
        <f>41490</f>
        <v>41490</v>
      </c>
      <c r="L10" s="32" t="s">
        <v>995</v>
      </c>
      <c r="M10" s="31">
        <f>41500</f>
        <v>41500</v>
      </c>
      <c r="N10" s="32" t="s">
        <v>995</v>
      </c>
      <c r="O10" s="31">
        <f>38050</f>
        <v>38050</v>
      </c>
      <c r="P10" s="32" t="s">
        <v>1001</v>
      </c>
      <c r="Q10" s="31">
        <f>38900</f>
        <v>38900</v>
      </c>
      <c r="R10" s="32" t="s">
        <v>791</v>
      </c>
      <c r="S10" s="33">
        <f>39520.45</f>
        <v>39520.449999999997</v>
      </c>
      <c r="T10" s="30">
        <f>4828</f>
        <v>4828</v>
      </c>
      <c r="U10" s="30">
        <f>6</f>
        <v>6</v>
      </c>
      <c r="V10" s="30">
        <f>191411650</f>
        <v>191411650</v>
      </c>
      <c r="W10" s="30">
        <f>235600</f>
        <v>235600</v>
      </c>
      <c r="X10" s="34">
        <f>22</f>
        <v>22</v>
      </c>
    </row>
    <row r="11" spans="1:24" ht="13.5" customHeight="1" x14ac:dyDescent="0.15">
      <c r="A11" s="25" t="s">
        <v>1139</v>
      </c>
      <c r="B11" s="25" t="s">
        <v>57</v>
      </c>
      <c r="C11" s="25" t="s">
        <v>58</v>
      </c>
      <c r="D11" s="25" t="s">
        <v>59</v>
      </c>
      <c r="E11" s="26" t="s">
        <v>45</v>
      </c>
      <c r="F11" s="27" t="s">
        <v>45</v>
      </c>
      <c r="G11" s="28" t="s">
        <v>45</v>
      </c>
      <c r="H11" s="29"/>
      <c r="I11" s="29" t="s">
        <v>46</v>
      </c>
      <c r="J11" s="30">
        <v>10</v>
      </c>
      <c r="K11" s="31">
        <f>1156.5</f>
        <v>1156.5</v>
      </c>
      <c r="L11" s="32" t="s">
        <v>995</v>
      </c>
      <c r="M11" s="31">
        <f>1162</f>
        <v>1162</v>
      </c>
      <c r="N11" s="32" t="s">
        <v>995</v>
      </c>
      <c r="O11" s="31">
        <f>1095</f>
        <v>1095</v>
      </c>
      <c r="P11" s="32" t="s">
        <v>792</v>
      </c>
      <c r="Q11" s="31">
        <f>1146.5</f>
        <v>1146.5</v>
      </c>
      <c r="R11" s="32" t="s">
        <v>791</v>
      </c>
      <c r="S11" s="33">
        <f>1128.11</f>
        <v>1128.1099999999999</v>
      </c>
      <c r="T11" s="30">
        <f>134470</f>
        <v>134470</v>
      </c>
      <c r="U11" s="30">
        <f>10</f>
        <v>10</v>
      </c>
      <c r="V11" s="30">
        <f>151764375</f>
        <v>151764375</v>
      </c>
      <c r="W11" s="30">
        <f>11210</f>
        <v>11210</v>
      </c>
      <c r="X11" s="34">
        <f>22</f>
        <v>22</v>
      </c>
    </row>
    <row r="12" spans="1:24" ht="13.5" customHeight="1" x14ac:dyDescent="0.15">
      <c r="A12" s="25" t="s">
        <v>1139</v>
      </c>
      <c r="B12" s="25" t="s">
        <v>66</v>
      </c>
      <c r="C12" s="25" t="s">
        <v>67</v>
      </c>
      <c r="D12" s="25" t="s">
        <v>68</v>
      </c>
      <c r="E12" s="26" t="s">
        <v>45</v>
      </c>
      <c r="F12" s="27" t="s">
        <v>45</v>
      </c>
      <c r="G12" s="28" t="s">
        <v>45</v>
      </c>
      <c r="H12" s="29"/>
      <c r="I12" s="29" t="s">
        <v>46</v>
      </c>
      <c r="J12" s="30">
        <v>1000</v>
      </c>
      <c r="K12" s="31">
        <f>398.5</f>
        <v>398.5</v>
      </c>
      <c r="L12" s="32" t="s">
        <v>995</v>
      </c>
      <c r="M12" s="31">
        <f>403.2</f>
        <v>403.2</v>
      </c>
      <c r="N12" s="32" t="s">
        <v>893</v>
      </c>
      <c r="O12" s="31">
        <f>385.3</f>
        <v>385.3</v>
      </c>
      <c r="P12" s="32" t="s">
        <v>998</v>
      </c>
      <c r="Q12" s="31">
        <f>403.2</f>
        <v>403.2</v>
      </c>
      <c r="R12" s="32" t="s">
        <v>893</v>
      </c>
      <c r="S12" s="33">
        <f>395.52</f>
        <v>395.52</v>
      </c>
      <c r="T12" s="30">
        <f>48000</f>
        <v>48000</v>
      </c>
      <c r="U12" s="30">
        <f>3000</f>
        <v>3000</v>
      </c>
      <c r="V12" s="30">
        <f>19009600</f>
        <v>19009600</v>
      </c>
      <c r="W12" s="30">
        <f>1192300</f>
        <v>1192300</v>
      </c>
      <c r="X12" s="34">
        <f>13</f>
        <v>13</v>
      </c>
    </row>
    <row r="13" spans="1:24" ht="13.5" customHeight="1" x14ac:dyDescent="0.15">
      <c r="A13" s="25" t="s">
        <v>1139</v>
      </c>
      <c r="B13" s="25" t="s">
        <v>69</v>
      </c>
      <c r="C13" s="25" t="s">
        <v>1035</v>
      </c>
      <c r="D13" s="25" t="s">
        <v>1036</v>
      </c>
      <c r="E13" s="26" t="s">
        <v>45</v>
      </c>
      <c r="F13" s="27" t="s">
        <v>45</v>
      </c>
      <c r="G13" s="28" t="s">
        <v>45</v>
      </c>
      <c r="H13" s="29"/>
      <c r="I13" s="29" t="s">
        <v>46</v>
      </c>
      <c r="J13" s="30">
        <v>1</v>
      </c>
      <c r="K13" s="31">
        <f>34090</f>
        <v>34090</v>
      </c>
      <c r="L13" s="32" t="s">
        <v>995</v>
      </c>
      <c r="M13" s="31">
        <f>34300</f>
        <v>34300</v>
      </c>
      <c r="N13" s="32" t="s">
        <v>995</v>
      </c>
      <c r="O13" s="31">
        <f>32020</f>
        <v>32020</v>
      </c>
      <c r="P13" s="32" t="s">
        <v>788</v>
      </c>
      <c r="Q13" s="31">
        <f>33430</f>
        <v>33430</v>
      </c>
      <c r="R13" s="32" t="s">
        <v>791</v>
      </c>
      <c r="S13" s="33">
        <f>32957.27</f>
        <v>32957.269999999997</v>
      </c>
      <c r="T13" s="30">
        <f>1800451</f>
        <v>1800451</v>
      </c>
      <c r="U13" s="30">
        <f>706577</f>
        <v>706577</v>
      </c>
      <c r="V13" s="30">
        <f>59403770385</f>
        <v>59403770385</v>
      </c>
      <c r="W13" s="30">
        <f>23347432805</f>
        <v>23347432805</v>
      </c>
      <c r="X13" s="34">
        <f>22</f>
        <v>22</v>
      </c>
    </row>
    <row r="14" spans="1:24" ht="13.5" customHeight="1" x14ac:dyDescent="0.15">
      <c r="A14" s="25" t="s">
        <v>1139</v>
      </c>
      <c r="B14" s="25" t="s">
        <v>72</v>
      </c>
      <c r="C14" s="25" t="s">
        <v>73</v>
      </c>
      <c r="D14" s="25" t="s">
        <v>74</v>
      </c>
      <c r="E14" s="26" t="s">
        <v>45</v>
      </c>
      <c r="F14" s="27" t="s">
        <v>45</v>
      </c>
      <c r="G14" s="28" t="s">
        <v>45</v>
      </c>
      <c r="H14" s="29"/>
      <c r="I14" s="29" t="s">
        <v>46</v>
      </c>
      <c r="J14" s="30">
        <v>1</v>
      </c>
      <c r="K14" s="31">
        <f>34190</f>
        <v>34190</v>
      </c>
      <c r="L14" s="32" t="s">
        <v>995</v>
      </c>
      <c r="M14" s="31">
        <f>34420</f>
        <v>34420</v>
      </c>
      <c r="N14" s="32" t="s">
        <v>995</v>
      </c>
      <c r="O14" s="31">
        <f>32130</f>
        <v>32130</v>
      </c>
      <c r="P14" s="32" t="s">
        <v>788</v>
      </c>
      <c r="Q14" s="31">
        <f>33530</f>
        <v>33530</v>
      </c>
      <c r="R14" s="32" t="s">
        <v>791</v>
      </c>
      <c r="S14" s="33">
        <f>33069.55</f>
        <v>33069.550000000003</v>
      </c>
      <c r="T14" s="30">
        <f>6181885</f>
        <v>6181885</v>
      </c>
      <c r="U14" s="30">
        <f>94317</f>
        <v>94317</v>
      </c>
      <c r="V14" s="30">
        <f>204286840944</f>
        <v>204286840944</v>
      </c>
      <c r="W14" s="30">
        <f>3127490304</f>
        <v>3127490304</v>
      </c>
      <c r="X14" s="34">
        <f>22</f>
        <v>22</v>
      </c>
    </row>
    <row r="15" spans="1:24" ht="13.5" customHeight="1" x14ac:dyDescent="0.15">
      <c r="A15" s="25" t="s">
        <v>1139</v>
      </c>
      <c r="B15" s="25" t="s">
        <v>75</v>
      </c>
      <c r="C15" s="25" t="s">
        <v>76</v>
      </c>
      <c r="D15" s="25" t="s">
        <v>77</v>
      </c>
      <c r="E15" s="26" t="s">
        <v>45</v>
      </c>
      <c r="F15" s="27" t="s">
        <v>45</v>
      </c>
      <c r="G15" s="28" t="s">
        <v>45</v>
      </c>
      <c r="H15" s="29"/>
      <c r="I15" s="29" t="s">
        <v>46</v>
      </c>
      <c r="J15" s="30">
        <v>10</v>
      </c>
      <c r="K15" s="31">
        <f>8047</f>
        <v>8047</v>
      </c>
      <c r="L15" s="32" t="s">
        <v>995</v>
      </c>
      <c r="M15" s="31">
        <f>8130</f>
        <v>8130</v>
      </c>
      <c r="N15" s="32" t="s">
        <v>1000</v>
      </c>
      <c r="O15" s="31">
        <f>7500</f>
        <v>7500</v>
      </c>
      <c r="P15" s="32" t="s">
        <v>793</v>
      </c>
      <c r="Q15" s="31">
        <f>7600</f>
        <v>7600</v>
      </c>
      <c r="R15" s="32" t="s">
        <v>791</v>
      </c>
      <c r="S15" s="33">
        <f>7821.32</f>
        <v>7821.32</v>
      </c>
      <c r="T15" s="30">
        <f>13250</f>
        <v>13250</v>
      </c>
      <c r="U15" s="30" t="str">
        <f>"－"</f>
        <v>－</v>
      </c>
      <c r="V15" s="30">
        <f>103214800</f>
        <v>103214800</v>
      </c>
      <c r="W15" s="30" t="str">
        <f>"－"</f>
        <v>－</v>
      </c>
      <c r="X15" s="34">
        <f>22</f>
        <v>22</v>
      </c>
    </row>
    <row r="16" spans="1:24" ht="13.5" customHeight="1" x14ac:dyDescent="0.15">
      <c r="A16" s="25" t="s">
        <v>1139</v>
      </c>
      <c r="B16" s="25" t="s">
        <v>79</v>
      </c>
      <c r="C16" s="25" t="s">
        <v>926</v>
      </c>
      <c r="D16" s="25" t="s">
        <v>927</v>
      </c>
      <c r="E16" s="26" t="s">
        <v>45</v>
      </c>
      <c r="F16" s="27" t="s">
        <v>45</v>
      </c>
      <c r="G16" s="28" t="s">
        <v>45</v>
      </c>
      <c r="H16" s="29"/>
      <c r="I16" s="29" t="s">
        <v>46</v>
      </c>
      <c r="J16" s="30">
        <v>100</v>
      </c>
      <c r="K16" s="31" t="str">
        <f>"－"</f>
        <v>－</v>
      </c>
      <c r="L16" s="32"/>
      <c r="M16" s="31" t="str">
        <f>"－"</f>
        <v>－</v>
      </c>
      <c r="N16" s="32"/>
      <c r="O16" s="31" t="str">
        <f>"－"</f>
        <v>－</v>
      </c>
      <c r="P16" s="32"/>
      <c r="Q16" s="31" t="str">
        <f>"－"</f>
        <v>－</v>
      </c>
      <c r="R16" s="32"/>
      <c r="S16" s="33" t="str">
        <f>"－"</f>
        <v>－</v>
      </c>
      <c r="T16" s="30" t="str">
        <f>"－"</f>
        <v>－</v>
      </c>
      <c r="U16" s="30" t="str">
        <f>"－"</f>
        <v>－</v>
      </c>
      <c r="V16" s="30" t="str">
        <f>"－"</f>
        <v>－</v>
      </c>
      <c r="W16" s="30" t="str">
        <f>"－"</f>
        <v>－</v>
      </c>
      <c r="X16" s="34" t="str">
        <f>"－"</f>
        <v>－</v>
      </c>
    </row>
    <row r="17" spans="1:24" ht="13.5" customHeight="1" x14ac:dyDescent="0.15">
      <c r="A17" s="25" t="s">
        <v>1139</v>
      </c>
      <c r="B17" s="25" t="s">
        <v>81</v>
      </c>
      <c r="C17" s="25" t="s">
        <v>82</v>
      </c>
      <c r="D17" s="25" t="s">
        <v>83</v>
      </c>
      <c r="E17" s="26" t="s">
        <v>45</v>
      </c>
      <c r="F17" s="27" t="s">
        <v>45</v>
      </c>
      <c r="G17" s="28" t="s">
        <v>45</v>
      </c>
      <c r="H17" s="29"/>
      <c r="I17" s="29" t="s">
        <v>46</v>
      </c>
      <c r="J17" s="30">
        <v>100</v>
      </c>
      <c r="K17" s="31">
        <f>239.5</f>
        <v>239.5</v>
      </c>
      <c r="L17" s="32" t="s">
        <v>995</v>
      </c>
      <c r="M17" s="31">
        <f>239.5</f>
        <v>239.5</v>
      </c>
      <c r="N17" s="32" t="s">
        <v>995</v>
      </c>
      <c r="O17" s="31">
        <f>217</f>
        <v>217</v>
      </c>
      <c r="P17" s="32" t="s">
        <v>788</v>
      </c>
      <c r="Q17" s="31">
        <f>225</f>
        <v>225</v>
      </c>
      <c r="R17" s="32" t="s">
        <v>791</v>
      </c>
      <c r="S17" s="33">
        <f>224.4</f>
        <v>224.4</v>
      </c>
      <c r="T17" s="30">
        <f>671900</f>
        <v>671900</v>
      </c>
      <c r="U17" s="30">
        <f>100</f>
        <v>100</v>
      </c>
      <c r="V17" s="30">
        <f>150803290</f>
        <v>150803290</v>
      </c>
      <c r="W17" s="30">
        <f>22810</f>
        <v>22810</v>
      </c>
      <c r="X17" s="34">
        <f>22</f>
        <v>22</v>
      </c>
    </row>
    <row r="18" spans="1:24" ht="13.5" customHeight="1" x14ac:dyDescent="0.15">
      <c r="A18" s="25" t="s">
        <v>1139</v>
      </c>
      <c r="B18" s="25" t="s">
        <v>84</v>
      </c>
      <c r="C18" s="25" t="s">
        <v>85</v>
      </c>
      <c r="D18" s="25" t="s">
        <v>86</v>
      </c>
      <c r="E18" s="26" t="s">
        <v>45</v>
      </c>
      <c r="F18" s="27" t="s">
        <v>45</v>
      </c>
      <c r="G18" s="28" t="s">
        <v>45</v>
      </c>
      <c r="H18" s="29"/>
      <c r="I18" s="29" t="s">
        <v>46</v>
      </c>
      <c r="J18" s="30">
        <v>1</v>
      </c>
      <c r="K18" s="31">
        <f>25955</f>
        <v>25955</v>
      </c>
      <c r="L18" s="32" t="s">
        <v>995</v>
      </c>
      <c r="M18" s="31">
        <f>26380</f>
        <v>26380</v>
      </c>
      <c r="N18" s="32" t="s">
        <v>791</v>
      </c>
      <c r="O18" s="31">
        <f>25435</f>
        <v>25435</v>
      </c>
      <c r="P18" s="32" t="s">
        <v>998</v>
      </c>
      <c r="Q18" s="31">
        <f>26355</f>
        <v>26355</v>
      </c>
      <c r="R18" s="32" t="s">
        <v>791</v>
      </c>
      <c r="S18" s="33">
        <f>25813.64</f>
        <v>25813.64</v>
      </c>
      <c r="T18" s="30">
        <f>181785</f>
        <v>181785</v>
      </c>
      <c r="U18" s="30">
        <f>78507</f>
        <v>78507</v>
      </c>
      <c r="V18" s="30">
        <f>4724541855</f>
        <v>4724541855</v>
      </c>
      <c r="W18" s="30">
        <f>2059776945</f>
        <v>2059776945</v>
      </c>
      <c r="X18" s="34">
        <f>22</f>
        <v>22</v>
      </c>
    </row>
    <row r="19" spans="1:24" ht="13.5" customHeight="1" x14ac:dyDescent="0.15">
      <c r="A19" s="25" t="s">
        <v>1139</v>
      </c>
      <c r="B19" s="25" t="s">
        <v>87</v>
      </c>
      <c r="C19" s="25" t="s">
        <v>88</v>
      </c>
      <c r="D19" s="25" t="s">
        <v>89</v>
      </c>
      <c r="E19" s="26" t="s">
        <v>45</v>
      </c>
      <c r="F19" s="27" t="s">
        <v>45</v>
      </c>
      <c r="G19" s="28" t="s">
        <v>45</v>
      </c>
      <c r="H19" s="29"/>
      <c r="I19" s="29" t="s">
        <v>46</v>
      </c>
      <c r="J19" s="30">
        <v>10</v>
      </c>
      <c r="K19" s="31">
        <f>6918</f>
        <v>6918</v>
      </c>
      <c r="L19" s="32" t="s">
        <v>995</v>
      </c>
      <c r="M19" s="31">
        <f>7030</f>
        <v>7030</v>
      </c>
      <c r="N19" s="32" t="s">
        <v>791</v>
      </c>
      <c r="O19" s="31">
        <f>6778</f>
        <v>6778</v>
      </c>
      <c r="P19" s="32" t="s">
        <v>998</v>
      </c>
      <c r="Q19" s="31">
        <f>7023</f>
        <v>7023</v>
      </c>
      <c r="R19" s="32" t="s">
        <v>791</v>
      </c>
      <c r="S19" s="33">
        <f>6881.68</f>
        <v>6881.68</v>
      </c>
      <c r="T19" s="30">
        <f>318440</f>
        <v>318440</v>
      </c>
      <c r="U19" s="30">
        <f>195220</f>
        <v>195220</v>
      </c>
      <c r="V19" s="30">
        <f>2218239310</f>
        <v>2218239310</v>
      </c>
      <c r="W19" s="30">
        <f>1368302630</f>
        <v>1368302630</v>
      </c>
      <c r="X19" s="34">
        <f>22</f>
        <v>22</v>
      </c>
    </row>
    <row r="20" spans="1:24" ht="13.5" customHeight="1" x14ac:dyDescent="0.15">
      <c r="A20" s="25" t="s">
        <v>1139</v>
      </c>
      <c r="B20" s="25" t="s">
        <v>90</v>
      </c>
      <c r="C20" s="25" t="s">
        <v>91</v>
      </c>
      <c r="D20" s="25" t="s">
        <v>92</v>
      </c>
      <c r="E20" s="26" t="s">
        <v>45</v>
      </c>
      <c r="F20" s="27" t="s">
        <v>45</v>
      </c>
      <c r="G20" s="28" t="s">
        <v>45</v>
      </c>
      <c r="H20" s="29"/>
      <c r="I20" s="29" t="s">
        <v>46</v>
      </c>
      <c r="J20" s="30">
        <v>1</v>
      </c>
      <c r="K20" s="31">
        <f>34680</f>
        <v>34680</v>
      </c>
      <c r="L20" s="32" t="s">
        <v>995</v>
      </c>
      <c r="M20" s="31">
        <f>34910</f>
        <v>34910</v>
      </c>
      <c r="N20" s="32" t="s">
        <v>995</v>
      </c>
      <c r="O20" s="31">
        <f>32270</f>
        <v>32270</v>
      </c>
      <c r="P20" s="32" t="s">
        <v>788</v>
      </c>
      <c r="Q20" s="31">
        <f>33720</f>
        <v>33720</v>
      </c>
      <c r="R20" s="32" t="s">
        <v>791</v>
      </c>
      <c r="S20" s="33">
        <f>33294.09</f>
        <v>33294.089999999997</v>
      </c>
      <c r="T20" s="30">
        <f>1727045</f>
        <v>1727045</v>
      </c>
      <c r="U20" s="30">
        <f>811908</f>
        <v>811908</v>
      </c>
      <c r="V20" s="30">
        <f>57814221423</f>
        <v>57814221423</v>
      </c>
      <c r="W20" s="30">
        <f>27322061653</f>
        <v>27322061653</v>
      </c>
      <c r="X20" s="34">
        <f>22</f>
        <v>22</v>
      </c>
    </row>
    <row r="21" spans="1:24" ht="13.5" customHeight="1" x14ac:dyDescent="0.15">
      <c r="A21" s="25" t="s">
        <v>1139</v>
      </c>
      <c r="B21" s="25" t="s">
        <v>93</v>
      </c>
      <c r="C21" s="25" t="s">
        <v>94</v>
      </c>
      <c r="D21" s="25" t="s">
        <v>95</v>
      </c>
      <c r="E21" s="26" t="s">
        <v>45</v>
      </c>
      <c r="F21" s="27" t="s">
        <v>45</v>
      </c>
      <c r="G21" s="28" t="s">
        <v>45</v>
      </c>
      <c r="H21" s="29"/>
      <c r="I21" s="29" t="s">
        <v>46</v>
      </c>
      <c r="J21" s="30">
        <v>1</v>
      </c>
      <c r="K21" s="31">
        <f>34250</f>
        <v>34250</v>
      </c>
      <c r="L21" s="32" t="s">
        <v>995</v>
      </c>
      <c r="M21" s="31">
        <f>34460</f>
        <v>34460</v>
      </c>
      <c r="N21" s="32" t="s">
        <v>995</v>
      </c>
      <c r="O21" s="31">
        <f>32170</f>
        <v>32170</v>
      </c>
      <c r="P21" s="32" t="s">
        <v>788</v>
      </c>
      <c r="Q21" s="31">
        <f>33560</f>
        <v>33560</v>
      </c>
      <c r="R21" s="32" t="s">
        <v>791</v>
      </c>
      <c r="S21" s="33">
        <f>33109.09</f>
        <v>33109.089999999997</v>
      </c>
      <c r="T21" s="30">
        <f>539516</f>
        <v>539516</v>
      </c>
      <c r="U21" s="30">
        <f>88220</f>
        <v>88220</v>
      </c>
      <c r="V21" s="30">
        <f>17859431161</f>
        <v>17859431161</v>
      </c>
      <c r="W21" s="30">
        <f>2922686991</f>
        <v>2922686991</v>
      </c>
      <c r="X21" s="34">
        <f>22</f>
        <v>22</v>
      </c>
    </row>
    <row r="22" spans="1:24" ht="13.5" customHeight="1" x14ac:dyDescent="0.15">
      <c r="A22" s="25" t="s">
        <v>1139</v>
      </c>
      <c r="B22" s="25" t="s">
        <v>96</v>
      </c>
      <c r="C22" s="25" t="s">
        <v>1113</v>
      </c>
      <c r="D22" s="25" t="s">
        <v>98</v>
      </c>
      <c r="E22" s="26" t="s">
        <v>45</v>
      </c>
      <c r="F22" s="27" t="s">
        <v>45</v>
      </c>
      <c r="G22" s="28" t="s">
        <v>45</v>
      </c>
      <c r="H22" s="29"/>
      <c r="I22" s="29" t="s">
        <v>46</v>
      </c>
      <c r="J22" s="30">
        <v>10</v>
      </c>
      <c r="K22" s="31">
        <f>2030.5</f>
        <v>2030.5</v>
      </c>
      <c r="L22" s="32" t="s">
        <v>995</v>
      </c>
      <c r="M22" s="31">
        <f>2056</f>
        <v>2056</v>
      </c>
      <c r="N22" s="32" t="s">
        <v>791</v>
      </c>
      <c r="O22" s="31">
        <f>1978.5</f>
        <v>1978.5</v>
      </c>
      <c r="P22" s="32" t="s">
        <v>788</v>
      </c>
      <c r="Q22" s="31">
        <f>2037.5</f>
        <v>2037.5</v>
      </c>
      <c r="R22" s="32" t="s">
        <v>791</v>
      </c>
      <c r="S22" s="33">
        <f>2012.09</f>
        <v>2012.09</v>
      </c>
      <c r="T22" s="30">
        <f>10670150</f>
        <v>10670150</v>
      </c>
      <c r="U22" s="30">
        <f>3393010</f>
        <v>3393010</v>
      </c>
      <c r="V22" s="30">
        <f>21493810266</f>
        <v>21493810266</v>
      </c>
      <c r="W22" s="30">
        <f>6838600821</f>
        <v>6838600821</v>
      </c>
      <c r="X22" s="34">
        <f>22</f>
        <v>22</v>
      </c>
    </row>
    <row r="23" spans="1:24" ht="13.5" customHeight="1" x14ac:dyDescent="0.15">
      <c r="A23" s="25" t="s">
        <v>1139</v>
      </c>
      <c r="B23" s="25" t="s">
        <v>99</v>
      </c>
      <c r="C23" s="25" t="s">
        <v>100</v>
      </c>
      <c r="D23" s="25" t="s">
        <v>1114</v>
      </c>
      <c r="E23" s="26" t="s">
        <v>45</v>
      </c>
      <c r="F23" s="27" t="s">
        <v>45</v>
      </c>
      <c r="G23" s="28" t="s">
        <v>45</v>
      </c>
      <c r="H23" s="29"/>
      <c r="I23" s="29" t="s">
        <v>46</v>
      </c>
      <c r="J23" s="30">
        <v>100</v>
      </c>
      <c r="K23" s="31">
        <f>1908.5</f>
        <v>1908.5</v>
      </c>
      <c r="L23" s="32" t="s">
        <v>995</v>
      </c>
      <c r="M23" s="31">
        <f>1944</f>
        <v>1944</v>
      </c>
      <c r="N23" s="32" t="s">
        <v>791</v>
      </c>
      <c r="O23" s="31">
        <f>1873</f>
        <v>1873</v>
      </c>
      <c r="P23" s="32" t="s">
        <v>788</v>
      </c>
      <c r="Q23" s="31">
        <f>1929.5</f>
        <v>1929.5</v>
      </c>
      <c r="R23" s="32" t="s">
        <v>791</v>
      </c>
      <c r="S23" s="33">
        <f>1899.5</f>
        <v>1899.5</v>
      </c>
      <c r="T23" s="30">
        <f>2534700</f>
        <v>2534700</v>
      </c>
      <c r="U23" s="30">
        <f>1718700</f>
        <v>1718700</v>
      </c>
      <c r="V23" s="30">
        <f>4796086714</f>
        <v>4796086714</v>
      </c>
      <c r="W23" s="30">
        <f>3248906014</f>
        <v>3248906014</v>
      </c>
      <c r="X23" s="34">
        <f>22</f>
        <v>22</v>
      </c>
    </row>
    <row r="24" spans="1:24" ht="13.5" customHeight="1" x14ac:dyDescent="0.15">
      <c r="A24" s="25" t="s">
        <v>1139</v>
      </c>
      <c r="B24" s="25" t="s">
        <v>102</v>
      </c>
      <c r="C24" s="25" t="s">
        <v>103</v>
      </c>
      <c r="D24" s="25" t="s">
        <v>1115</v>
      </c>
      <c r="E24" s="26" t="s">
        <v>45</v>
      </c>
      <c r="F24" s="27" t="s">
        <v>45</v>
      </c>
      <c r="G24" s="28" t="s">
        <v>45</v>
      </c>
      <c r="H24" s="29"/>
      <c r="I24" s="29" t="s">
        <v>46</v>
      </c>
      <c r="J24" s="30">
        <v>1</v>
      </c>
      <c r="K24" s="31">
        <f>34290</f>
        <v>34290</v>
      </c>
      <c r="L24" s="32" t="s">
        <v>995</v>
      </c>
      <c r="M24" s="31">
        <f>34520</f>
        <v>34520</v>
      </c>
      <c r="N24" s="32" t="s">
        <v>995</v>
      </c>
      <c r="O24" s="31">
        <f>32220</f>
        <v>32220</v>
      </c>
      <c r="P24" s="32" t="s">
        <v>788</v>
      </c>
      <c r="Q24" s="31">
        <f>33630</f>
        <v>33630</v>
      </c>
      <c r="R24" s="32" t="s">
        <v>791</v>
      </c>
      <c r="S24" s="33">
        <f>33169.09</f>
        <v>33169.089999999997</v>
      </c>
      <c r="T24" s="30">
        <f>878859</f>
        <v>878859</v>
      </c>
      <c r="U24" s="30">
        <f>439696</f>
        <v>439696</v>
      </c>
      <c r="V24" s="30">
        <f>29529578222</f>
        <v>29529578222</v>
      </c>
      <c r="W24" s="30">
        <f>14990586272</f>
        <v>14990586272</v>
      </c>
      <c r="X24" s="34">
        <f>22</f>
        <v>22</v>
      </c>
    </row>
    <row r="25" spans="1:24" ht="13.5" customHeight="1" x14ac:dyDescent="0.15">
      <c r="A25" s="25" t="s">
        <v>1139</v>
      </c>
      <c r="B25" s="25" t="s">
        <v>105</v>
      </c>
      <c r="C25" s="25" t="s">
        <v>106</v>
      </c>
      <c r="D25" s="25" t="s">
        <v>107</v>
      </c>
      <c r="E25" s="26" t="s">
        <v>45</v>
      </c>
      <c r="F25" s="27" t="s">
        <v>45</v>
      </c>
      <c r="G25" s="28" t="s">
        <v>45</v>
      </c>
      <c r="H25" s="29"/>
      <c r="I25" s="29" t="s">
        <v>46</v>
      </c>
      <c r="J25" s="30">
        <v>10</v>
      </c>
      <c r="K25" s="31">
        <f>2405.5</f>
        <v>2405.5</v>
      </c>
      <c r="L25" s="32" t="s">
        <v>995</v>
      </c>
      <c r="M25" s="31">
        <f>2417</f>
        <v>2417</v>
      </c>
      <c r="N25" s="32" t="s">
        <v>791</v>
      </c>
      <c r="O25" s="31">
        <f>2303</f>
        <v>2303</v>
      </c>
      <c r="P25" s="32" t="s">
        <v>792</v>
      </c>
      <c r="Q25" s="31">
        <f>2410</f>
        <v>2410</v>
      </c>
      <c r="R25" s="32" t="s">
        <v>791</v>
      </c>
      <c r="S25" s="33">
        <f>2361.14</f>
        <v>2361.14</v>
      </c>
      <c r="T25" s="30">
        <f>3431680</f>
        <v>3431680</v>
      </c>
      <c r="U25" s="30">
        <f>115380</f>
        <v>115380</v>
      </c>
      <c r="V25" s="30">
        <f>8121260555</f>
        <v>8121260555</v>
      </c>
      <c r="W25" s="30">
        <f>270348325</f>
        <v>270348325</v>
      </c>
      <c r="X25" s="34">
        <f>22</f>
        <v>22</v>
      </c>
    </row>
    <row r="26" spans="1:24" ht="13.5" customHeight="1" x14ac:dyDescent="0.15">
      <c r="A26" s="25" t="s">
        <v>1139</v>
      </c>
      <c r="B26" s="25" t="s">
        <v>108</v>
      </c>
      <c r="C26" s="25" t="s">
        <v>109</v>
      </c>
      <c r="D26" s="25" t="s">
        <v>110</v>
      </c>
      <c r="E26" s="26" t="s">
        <v>45</v>
      </c>
      <c r="F26" s="27" t="s">
        <v>45</v>
      </c>
      <c r="G26" s="28" t="s">
        <v>45</v>
      </c>
      <c r="H26" s="29"/>
      <c r="I26" s="29" t="s">
        <v>46</v>
      </c>
      <c r="J26" s="30">
        <v>1</v>
      </c>
      <c r="K26" s="31">
        <f>15235</f>
        <v>15235</v>
      </c>
      <c r="L26" s="32" t="s">
        <v>995</v>
      </c>
      <c r="M26" s="31">
        <f>15415</f>
        <v>15415</v>
      </c>
      <c r="N26" s="32" t="s">
        <v>1005</v>
      </c>
      <c r="O26" s="31">
        <f>15135</f>
        <v>15135</v>
      </c>
      <c r="P26" s="32" t="s">
        <v>998</v>
      </c>
      <c r="Q26" s="31">
        <f>15375</f>
        <v>15375</v>
      </c>
      <c r="R26" s="32" t="s">
        <v>791</v>
      </c>
      <c r="S26" s="33">
        <f>15312.86</f>
        <v>15312.86</v>
      </c>
      <c r="T26" s="30">
        <f>614</f>
        <v>614</v>
      </c>
      <c r="U26" s="30" t="str">
        <f>"－"</f>
        <v>－</v>
      </c>
      <c r="V26" s="30">
        <f>9379795</f>
        <v>9379795</v>
      </c>
      <c r="W26" s="30" t="str">
        <f>"－"</f>
        <v>－</v>
      </c>
      <c r="X26" s="34">
        <f>21</f>
        <v>21</v>
      </c>
    </row>
    <row r="27" spans="1:24" ht="13.5" customHeight="1" x14ac:dyDescent="0.15">
      <c r="A27" s="25" t="s">
        <v>1139</v>
      </c>
      <c r="B27" s="25" t="s">
        <v>111</v>
      </c>
      <c r="C27" s="25" t="s">
        <v>112</v>
      </c>
      <c r="D27" s="25" t="s">
        <v>113</v>
      </c>
      <c r="E27" s="26" t="s">
        <v>45</v>
      </c>
      <c r="F27" s="27" t="s">
        <v>45</v>
      </c>
      <c r="G27" s="28" t="s">
        <v>45</v>
      </c>
      <c r="H27" s="29"/>
      <c r="I27" s="29" t="s">
        <v>46</v>
      </c>
      <c r="J27" s="30">
        <v>10</v>
      </c>
      <c r="K27" s="31">
        <f>591.4</f>
        <v>591.4</v>
      </c>
      <c r="L27" s="32" t="s">
        <v>995</v>
      </c>
      <c r="M27" s="31">
        <f>644</f>
        <v>644</v>
      </c>
      <c r="N27" s="32" t="s">
        <v>792</v>
      </c>
      <c r="O27" s="31">
        <f>583.1</f>
        <v>583.1</v>
      </c>
      <c r="P27" s="32" t="s">
        <v>791</v>
      </c>
      <c r="Q27" s="31">
        <f>586.4</f>
        <v>586.4</v>
      </c>
      <c r="R27" s="32" t="s">
        <v>791</v>
      </c>
      <c r="S27" s="33">
        <f>612.6</f>
        <v>612.6</v>
      </c>
      <c r="T27" s="30">
        <f>14597700</f>
        <v>14597700</v>
      </c>
      <c r="U27" s="30">
        <f>10</f>
        <v>10</v>
      </c>
      <c r="V27" s="30">
        <f>8952658267</f>
        <v>8952658267</v>
      </c>
      <c r="W27" s="30">
        <f>6433</f>
        <v>6433</v>
      </c>
      <c r="X27" s="34">
        <f>22</f>
        <v>22</v>
      </c>
    </row>
    <row r="28" spans="1:24" ht="13.5" customHeight="1" x14ac:dyDescent="0.15">
      <c r="A28" s="25" t="s">
        <v>1139</v>
      </c>
      <c r="B28" s="25" t="s">
        <v>114</v>
      </c>
      <c r="C28" s="25" t="s">
        <v>115</v>
      </c>
      <c r="D28" s="25" t="s">
        <v>1116</v>
      </c>
      <c r="E28" s="26" t="s">
        <v>45</v>
      </c>
      <c r="F28" s="27" t="s">
        <v>45</v>
      </c>
      <c r="G28" s="28" t="s">
        <v>45</v>
      </c>
      <c r="H28" s="29"/>
      <c r="I28" s="29" t="s">
        <v>46</v>
      </c>
      <c r="J28" s="30">
        <v>1</v>
      </c>
      <c r="K28" s="31">
        <f>224</f>
        <v>224</v>
      </c>
      <c r="L28" s="32" t="s">
        <v>995</v>
      </c>
      <c r="M28" s="31">
        <f>254</f>
        <v>254</v>
      </c>
      <c r="N28" s="32" t="s">
        <v>788</v>
      </c>
      <c r="O28" s="31">
        <f>221</f>
        <v>221</v>
      </c>
      <c r="P28" s="32" t="s">
        <v>995</v>
      </c>
      <c r="Q28" s="31">
        <f>231</f>
        <v>231</v>
      </c>
      <c r="R28" s="32" t="s">
        <v>791</v>
      </c>
      <c r="S28" s="33">
        <f>239.14</f>
        <v>239.14</v>
      </c>
      <c r="T28" s="30">
        <f>1505045259</f>
        <v>1505045259</v>
      </c>
      <c r="U28" s="30">
        <f>5764453</f>
        <v>5764453</v>
      </c>
      <c r="V28" s="30">
        <f>360299097247</f>
        <v>360299097247</v>
      </c>
      <c r="W28" s="30">
        <f>1339616175</f>
        <v>1339616175</v>
      </c>
      <c r="X28" s="34">
        <f>22</f>
        <v>22</v>
      </c>
    </row>
    <row r="29" spans="1:24" ht="13.5" customHeight="1" x14ac:dyDescent="0.15">
      <c r="A29" s="25" t="s">
        <v>1139</v>
      </c>
      <c r="B29" s="25" t="s">
        <v>117</v>
      </c>
      <c r="C29" s="25" t="s">
        <v>118</v>
      </c>
      <c r="D29" s="25" t="s">
        <v>119</v>
      </c>
      <c r="E29" s="26" t="s">
        <v>45</v>
      </c>
      <c r="F29" s="27" t="s">
        <v>45</v>
      </c>
      <c r="G29" s="28" t="s">
        <v>45</v>
      </c>
      <c r="H29" s="29"/>
      <c r="I29" s="29" t="s">
        <v>46</v>
      </c>
      <c r="J29" s="30">
        <v>1</v>
      </c>
      <c r="K29" s="31">
        <f>38670</f>
        <v>38670</v>
      </c>
      <c r="L29" s="32" t="s">
        <v>995</v>
      </c>
      <c r="M29" s="31">
        <f>39150</f>
        <v>39150</v>
      </c>
      <c r="N29" s="32" t="s">
        <v>995</v>
      </c>
      <c r="O29" s="31">
        <f>34040</f>
        <v>34040</v>
      </c>
      <c r="P29" s="32" t="s">
        <v>788</v>
      </c>
      <c r="Q29" s="31">
        <f>37050</f>
        <v>37050</v>
      </c>
      <c r="R29" s="32" t="s">
        <v>791</v>
      </c>
      <c r="S29" s="33">
        <f>36102.73</f>
        <v>36102.730000000003</v>
      </c>
      <c r="T29" s="30">
        <f>342042</f>
        <v>342042</v>
      </c>
      <c r="U29" s="30">
        <f>16</f>
        <v>16</v>
      </c>
      <c r="V29" s="30">
        <f>12355394800</f>
        <v>12355394800</v>
      </c>
      <c r="W29" s="30">
        <f>582420</f>
        <v>582420</v>
      </c>
      <c r="X29" s="34">
        <f>22</f>
        <v>22</v>
      </c>
    </row>
    <row r="30" spans="1:24" ht="13.5" customHeight="1" x14ac:dyDescent="0.15">
      <c r="A30" s="25" t="s">
        <v>1139</v>
      </c>
      <c r="B30" s="25" t="s">
        <v>120</v>
      </c>
      <c r="C30" s="25" t="s">
        <v>121</v>
      </c>
      <c r="D30" s="25" t="s">
        <v>122</v>
      </c>
      <c r="E30" s="26" t="s">
        <v>45</v>
      </c>
      <c r="F30" s="27" t="s">
        <v>45</v>
      </c>
      <c r="G30" s="28" t="s">
        <v>45</v>
      </c>
      <c r="H30" s="29"/>
      <c r="I30" s="29" t="s">
        <v>46</v>
      </c>
      <c r="J30" s="30">
        <v>10</v>
      </c>
      <c r="K30" s="31">
        <f>548.4</f>
        <v>548.4</v>
      </c>
      <c r="L30" s="32" t="s">
        <v>995</v>
      </c>
      <c r="M30" s="31">
        <f>617.7</f>
        <v>617.70000000000005</v>
      </c>
      <c r="N30" s="32" t="s">
        <v>788</v>
      </c>
      <c r="O30" s="31">
        <f>541.1</f>
        <v>541.1</v>
      </c>
      <c r="P30" s="32" t="s">
        <v>995</v>
      </c>
      <c r="Q30" s="31">
        <f>565</f>
        <v>565</v>
      </c>
      <c r="R30" s="32" t="s">
        <v>791</v>
      </c>
      <c r="S30" s="33">
        <f>584.14</f>
        <v>584.14</v>
      </c>
      <c r="T30" s="30">
        <f>305415190</f>
        <v>305415190</v>
      </c>
      <c r="U30" s="30">
        <f>153140</f>
        <v>153140</v>
      </c>
      <c r="V30" s="30">
        <f>178870032483</f>
        <v>178870032483</v>
      </c>
      <c r="W30" s="30">
        <f>87092848</f>
        <v>87092848</v>
      </c>
      <c r="X30" s="34">
        <f>22</f>
        <v>22</v>
      </c>
    </row>
    <row r="31" spans="1:24" ht="13.5" customHeight="1" x14ac:dyDescent="0.15">
      <c r="A31" s="25" t="s">
        <v>1139</v>
      </c>
      <c r="B31" s="25" t="s">
        <v>123</v>
      </c>
      <c r="C31" s="25" t="s">
        <v>124</v>
      </c>
      <c r="D31" s="25" t="s">
        <v>125</v>
      </c>
      <c r="E31" s="26" t="s">
        <v>45</v>
      </c>
      <c r="F31" s="27" t="s">
        <v>45</v>
      </c>
      <c r="G31" s="28" t="s">
        <v>45</v>
      </c>
      <c r="H31" s="29"/>
      <c r="I31" s="29" t="s">
        <v>46</v>
      </c>
      <c r="J31" s="30">
        <v>1</v>
      </c>
      <c r="K31" s="31">
        <f>21770</f>
        <v>21770</v>
      </c>
      <c r="L31" s="32" t="s">
        <v>995</v>
      </c>
      <c r="M31" s="31">
        <f>21860</f>
        <v>21860</v>
      </c>
      <c r="N31" s="32" t="s">
        <v>995</v>
      </c>
      <c r="O31" s="31">
        <f>20505</f>
        <v>20505</v>
      </c>
      <c r="P31" s="32" t="s">
        <v>788</v>
      </c>
      <c r="Q31" s="31">
        <f>21545</f>
        <v>21545</v>
      </c>
      <c r="R31" s="32" t="s">
        <v>791</v>
      </c>
      <c r="S31" s="33">
        <f>21114.77</f>
        <v>21114.77</v>
      </c>
      <c r="T31" s="30">
        <f>649746</f>
        <v>649746</v>
      </c>
      <c r="U31" s="30">
        <f>637681</f>
        <v>637681</v>
      </c>
      <c r="V31" s="30">
        <f>13722231990</f>
        <v>13722231990</v>
      </c>
      <c r="W31" s="30">
        <f>13466530520</f>
        <v>13466530520</v>
      </c>
      <c r="X31" s="34">
        <f>22</f>
        <v>22</v>
      </c>
    </row>
    <row r="32" spans="1:24" ht="13.5" customHeight="1" x14ac:dyDescent="0.15">
      <c r="A32" s="25" t="s">
        <v>1139</v>
      </c>
      <c r="B32" s="25" t="s">
        <v>126</v>
      </c>
      <c r="C32" s="25" t="s">
        <v>1037</v>
      </c>
      <c r="D32" s="25" t="s">
        <v>1038</v>
      </c>
      <c r="E32" s="26" t="s">
        <v>45</v>
      </c>
      <c r="F32" s="27" t="s">
        <v>45</v>
      </c>
      <c r="G32" s="28" t="s">
        <v>45</v>
      </c>
      <c r="H32" s="29"/>
      <c r="I32" s="29" t="s">
        <v>46</v>
      </c>
      <c r="J32" s="30">
        <v>1</v>
      </c>
      <c r="K32" s="31">
        <f>32140</f>
        <v>32140</v>
      </c>
      <c r="L32" s="32" t="s">
        <v>995</v>
      </c>
      <c r="M32" s="31">
        <f>32580</f>
        <v>32580</v>
      </c>
      <c r="N32" s="32" t="s">
        <v>995</v>
      </c>
      <c r="O32" s="31">
        <f>28335</f>
        <v>28335</v>
      </c>
      <c r="P32" s="32" t="s">
        <v>788</v>
      </c>
      <c r="Q32" s="31">
        <f>30800</f>
        <v>30800</v>
      </c>
      <c r="R32" s="32" t="s">
        <v>791</v>
      </c>
      <c r="S32" s="33">
        <f>30010.91</f>
        <v>30010.91</v>
      </c>
      <c r="T32" s="30">
        <f>783796</f>
        <v>783796</v>
      </c>
      <c r="U32" s="30" t="str">
        <f>"－"</f>
        <v>－</v>
      </c>
      <c r="V32" s="30">
        <f>23447089135</f>
        <v>23447089135</v>
      </c>
      <c r="W32" s="30" t="str">
        <f>"－"</f>
        <v>－</v>
      </c>
      <c r="X32" s="34">
        <f>22</f>
        <v>22</v>
      </c>
    </row>
    <row r="33" spans="1:24" ht="13.5" customHeight="1" x14ac:dyDescent="0.15">
      <c r="A33" s="25" t="s">
        <v>1139</v>
      </c>
      <c r="B33" s="25" t="s">
        <v>129</v>
      </c>
      <c r="C33" s="25" t="s">
        <v>1039</v>
      </c>
      <c r="D33" s="25" t="s">
        <v>1040</v>
      </c>
      <c r="E33" s="26" t="s">
        <v>45</v>
      </c>
      <c r="F33" s="27" t="s">
        <v>45</v>
      </c>
      <c r="G33" s="28" t="s">
        <v>45</v>
      </c>
      <c r="H33" s="29"/>
      <c r="I33" s="29" t="s">
        <v>46</v>
      </c>
      <c r="J33" s="30">
        <v>1</v>
      </c>
      <c r="K33" s="31">
        <f>584</f>
        <v>584</v>
      </c>
      <c r="L33" s="32" t="s">
        <v>995</v>
      </c>
      <c r="M33" s="31">
        <f>658</f>
        <v>658</v>
      </c>
      <c r="N33" s="32" t="s">
        <v>788</v>
      </c>
      <c r="O33" s="31">
        <f>576</f>
        <v>576</v>
      </c>
      <c r="P33" s="32" t="s">
        <v>995</v>
      </c>
      <c r="Q33" s="31">
        <f>603</f>
        <v>603</v>
      </c>
      <c r="R33" s="32" t="s">
        <v>791</v>
      </c>
      <c r="S33" s="33">
        <f>622.18</f>
        <v>622.17999999999995</v>
      </c>
      <c r="T33" s="30">
        <f>26879758</f>
        <v>26879758</v>
      </c>
      <c r="U33" s="30">
        <f>40</f>
        <v>40</v>
      </c>
      <c r="V33" s="30">
        <f>16772443172</f>
        <v>16772443172</v>
      </c>
      <c r="W33" s="30">
        <f>24880</f>
        <v>24880</v>
      </c>
      <c r="X33" s="34">
        <f>22</f>
        <v>22</v>
      </c>
    </row>
    <row r="34" spans="1:24" ht="13.5" customHeight="1" x14ac:dyDescent="0.15">
      <c r="A34" s="25" t="s">
        <v>1139</v>
      </c>
      <c r="B34" s="25" t="s">
        <v>132</v>
      </c>
      <c r="C34" s="25" t="s">
        <v>1041</v>
      </c>
      <c r="D34" s="25" t="s">
        <v>1042</v>
      </c>
      <c r="E34" s="26" t="s">
        <v>45</v>
      </c>
      <c r="F34" s="27" t="s">
        <v>45</v>
      </c>
      <c r="G34" s="28" t="s">
        <v>45</v>
      </c>
      <c r="H34" s="29"/>
      <c r="I34" s="29" t="s">
        <v>46</v>
      </c>
      <c r="J34" s="30">
        <v>1</v>
      </c>
      <c r="K34" s="31">
        <f>27185</f>
        <v>27185</v>
      </c>
      <c r="L34" s="32" t="s">
        <v>995</v>
      </c>
      <c r="M34" s="31">
        <f>27430</f>
        <v>27430</v>
      </c>
      <c r="N34" s="32" t="s">
        <v>995</v>
      </c>
      <c r="O34" s="31">
        <f>24830</f>
        <v>24830</v>
      </c>
      <c r="P34" s="32" t="s">
        <v>792</v>
      </c>
      <c r="Q34" s="31">
        <f>27155</f>
        <v>27155</v>
      </c>
      <c r="R34" s="32" t="s">
        <v>791</v>
      </c>
      <c r="S34" s="33">
        <f>26140.91</f>
        <v>26140.91</v>
      </c>
      <c r="T34" s="30">
        <f>322411</f>
        <v>322411</v>
      </c>
      <c r="U34" s="30" t="str">
        <f>"－"</f>
        <v>－</v>
      </c>
      <c r="V34" s="30">
        <f>8440821200</f>
        <v>8440821200</v>
      </c>
      <c r="W34" s="30" t="str">
        <f>"－"</f>
        <v>－</v>
      </c>
      <c r="X34" s="34">
        <f>22</f>
        <v>22</v>
      </c>
    </row>
    <row r="35" spans="1:24" ht="13.5" customHeight="1" x14ac:dyDescent="0.15">
      <c r="A35" s="25" t="s">
        <v>1139</v>
      </c>
      <c r="B35" s="25" t="s">
        <v>135</v>
      </c>
      <c r="C35" s="25" t="s">
        <v>1043</v>
      </c>
      <c r="D35" s="25" t="s">
        <v>1044</v>
      </c>
      <c r="E35" s="26" t="s">
        <v>45</v>
      </c>
      <c r="F35" s="27" t="s">
        <v>45</v>
      </c>
      <c r="G35" s="28" t="s">
        <v>45</v>
      </c>
      <c r="H35" s="29"/>
      <c r="I35" s="29" t="s">
        <v>46</v>
      </c>
      <c r="J35" s="30">
        <v>1</v>
      </c>
      <c r="K35" s="31">
        <f>860</f>
        <v>860</v>
      </c>
      <c r="L35" s="32" t="s">
        <v>995</v>
      </c>
      <c r="M35" s="31">
        <f>935</f>
        <v>935</v>
      </c>
      <c r="N35" s="32" t="s">
        <v>792</v>
      </c>
      <c r="O35" s="31">
        <f>847</f>
        <v>847</v>
      </c>
      <c r="P35" s="32" t="s">
        <v>791</v>
      </c>
      <c r="Q35" s="31">
        <f>853</f>
        <v>853</v>
      </c>
      <c r="R35" s="32" t="s">
        <v>791</v>
      </c>
      <c r="S35" s="33">
        <f>890.27</f>
        <v>890.27</v>
      </c>
      <c r="T35" s="30">
        <f>1427870</f>
        <v>1427870</v>
      </c>
      <c r="U35" s="30" t="str">
        <f>"－"</f>
        <v>－</v>
      </c>
      <c r="V35" s="30">
        <f>1273851025</f>
        <v>1273851025</v>
      </c>
      <c r="W35" s="30" t="str">
        <f>"－"</f>
        <v>－</v>
      </c>
      <c r="X35" s="34">
        <f>22</f>
        <v>22</v>
      </c>
    </row>
    <row r="36" spans="1:24" ht="13.5" customHeight="1" x14ac:dyDescent="0.15">
      <c r="A36" s="25" t="s">
        <v>1139</v>
      </c>
      <c r="B36" s="25" t="s">
        <v>138</v>
      </c>
      <c r="C36" s="25" t="s">
        <v>139</v>
      </c>
      <c r="D36" s="25" t="s">
        <v>140</v>
      </c>
      <c r="E36" s="26" t="s">
        <v>45</v>
      </c>
      <c r="F36" s="27" t="s">
        <v>45</v>
      </c>
      <c r="G36" s="28" t="s">
        <v>45</v>
      </c>
      <c r="H36" s="29"/>
      <c r="I36" s="29" t="s">
        <v>46</v>
      </c>
      <c r="J36" s="30">
        <v>1</v>
      </c>
      <c r="K36" s="31">
        <f>33300</f>
        <v>33300</v>
      </c>
      <c r="L36" s="32" t="s">
        <v>995</v>
      </c>
      <c r="M36" s="31">
        <f>33510</f>
        <v>33510</v>
      </c>
      <c r="N36" s="32" t="s">
        <v>995</v>
      </c>
      <c r="O36" s="31">
        <f>31280</f>
        <v>31280</v>
      </c>
      <c r="P36" s="32" t="s">
        <v>788</v>
      </c>
      <c r="Q36" s="31">
        <f>32630</f>
        <v>32630</v>
      </c>
      <c r="R36" s="32" t="s">
        <v>791</v>
      </c>
      <c r="S36" s="33">
        <f>32197.73</f>
        <v>32197.73</v>
      </c>
      <c r="T36" s="30">
        <f>55368</f>
        <v>55368</v>
      </c>
      <c r="U36" s="30">
        <f>6317</f>
        <v>6317</v>
      </c>
      <c r="V36" s="30">
        <f>1779289738</f>
        <v>1779289738</v>
      </c>
      <c r="W36" s="30">
        <f>204859678</f>
        <v>204859678</v>
      </c>
      <c r="X36" s="34">
        <f>22</f>
        <v>22</v>
      </c>
    </row>
    <row r="37" spans="1:24" ht="13.5" customHeight="1" x14ac:dyDescent="0.15">
      <c r="A37" s="25" t="s">
        <v>1139</v>
      </c>
      <c r="B37" s="25" t="s">
        <v>171</v>
      </c>
      <c r="C37" s="25" t="s">
        <v>172</v>
      </c>
      <c r="D37" s="25" t="s">
        <v>173</v>
      </c>
      <c r="E37" s="26" t="s">
        <v>45</v>
      </c>
      <c r="F37" s="27" t="s">
        <v>45</v>
      </c>
      <c r="G37" s="28" t="s">
        <v>45</v>
      </c>
      <c r="H37" s="29"/>
      <c r="I37" s="29" t="s">
        <v>46</v>
      </c>
      <c r="J37" s="30">
        <v>1</v>
      </c>
      <c r="K37" s="31">
        <f>33620</f>
        <v>33620</v>
      </c>
      <c r="L37" s="32" t="s">
        <v>995</v>
      </c>
      <c r="M37" s="31">
        <f>33830</f>
        <v>33830</v>
      </c>
      <c r="N37" s="32" t="s">
        <v>995</v>
      </c>
      <c r="O37" s="31">
        <f>31600</f>
        <v>31600</v>
      </c>
      <c r="P37" s="32" t="s">
        <v>788</v>
      </c>
      <c r="Q37" s="31">
        <f>32960</f>
        <v>32960</v>
      </c>
      <c r="R37" s="32" t="s">
        <v>791</v>
      </c>
      <c r="S37" s="33">
        <f>32497.73</f>
        <v>32497.73</v>
      </c>
      <c r="T37" s="30">
        <f>156533</f>
        <v>156533</v>
      </c>
      <c r="U37" s="30">
        <f>38465</f>
        <v>38465</v>
      </c>
      <c r="V37" s="30">
        <f>5095196165</f>
        <v>5095196165</v>
      </c>
      <c r="W37" s="30">
        <f>1251041245</f>
        <v>1251041245</v>
      </c>
      <c r="X37" s="34">
        <f>22</f>
        <v>22</v>
      </c>
    </row>
    <row r="38" spans="1:24" ht="13.5" customHeight="1" x14ac:dyDescent="0.15">
      <c r="A38" s="25" t="s">
        <v>1139</v>
      </c>
      <c r="B38" s="25" t="s">
        <v>174</v>
      </c>
      <c r="C38" s="25" t="s">
        <v>175</v>
      </c>
      <c r="D38" s="25" t="s">
        <v>176</v>
      </c>
      <c r="E38" s="26" t="s">
        <v>45</v>
      </c>
      <c r="F38" s="27" t="s">
        <v>45</v>
      </c>
      <c r="G38" s="28" t="s">
        <v>45</v>
      </c>
      <c r="H38" s="29"/>
      <c r="I38" s="29" t="s">
        <v>46</v>
      </c>
      <c r="J38" s="30">
        <v>10</v>
      </c>
      <c r="K38" s="31">
        <f>1933.5</f>
        <v>1933.5</v>
      </c>
      <c r="L38" s="32" t="s">
        <v>995</v>
      </c>
      <c r="M38" s="31">
        <f>1971.5</f>
        <v>1971.5</v>
      </c>
      <c r="N38" s="32" t="s">
        <v>791</v>
      </c>
      <c r="O38" s="31">
        <f>1896.5</f>
        <v>1896.5</v>
      </c>
      <c r="P38" s="32" t="s">
        <v>1001</v>
      </c>
      <c r="Q38" s="31">
        <f>1954.5</f>
        <v>1954.5</v>
      </c>
      <c r="R38" s="32" t="s">
        <v>791</v>
      </c>
      <c r="S38" s="33">
        <f>1925.32</f>
        <v>1925.32</v>
      </c>
      <c r="T38" s="30">
        <f>3903290</f>
        <v>3903290</v>
      </c>
      <c r="U38" s="30">
        <f>643970</f>
        <v>643970</v>
      </c>
      <c r="V38" s="30">
        <f>7478833990</f>
        <v>7478833990</v>
      </c>
      <c r="W38" s="30">
        <f>1229018245</f>
        <v>1229018245</v>
      </c>
      <c r="X38" s="34">
        <f>22</f>
        <v>22</v>
      </c>
    </row>
    <row r="39" spans="1:24" ht="13.5" customHeight="1" x14ac:dyDescent="0.15">
      <c r="A39" s="25" t="s">
        <v>1139</v>
      </c>
      <c r="B39" s="25" t="s">
        <v>177</v>
      </c>
      <c r="C39" s="25" t="s">
        <v>178</v>
      </c>
      <c r="D39" s="25" t="s">
        <v>179</v>
      </c>
      <c r="E39" s="26" t="s">
        <v>45</v>
      </c>
      <c r="F39" s="27" t="s">
        <v>45</v>
      </c>
      <c r="G39" s="28" t="s">
        <v>45</v>
      </c>
      <c r="H39" s="29"/>
      <c r="I39" s="29" t="s">
        <v>46</v>
      </c>
      <c r="J39" s="30">
        <v>10</v>
      </c>
      <c r="K39" s="31">
        <f>1901</f>
        <v>1901</v>
      </c>
      <c r="L39" s="32" t="s">
        <v>995</v>
      </c>
      <c r="M39" s="31">
        <f>1943</f>
        <v>1943</v>
      </c>
      <c r="N39" s="32" t="s">
        <v>791</v>
      </c>
      <c r="O39" s="31">
        <f>1863</f>
        <v>1863</v>
      </c>
      <c r="P39" s="32" t="s">
        <v>785</v>
      </c>
      <c r="Q39" s="31">
        <f>1940.5</f>
        <v>1940.5</v>
      </c>
      <c r="R39" s="32" t="s">
        <v>791</v>
      </c>
      <c r="S39" s="33">
        <f>1895.66</f>
        <v>1895.66</v>
      </c>
      <c r="T39" s="30">
        <f>8180</f>
        <v>8180</v>
      </c>
      <c r="U39" s="30" t="str">
        <f>"－"</f>
        <v>－</v>
      </c>
      <c r="V39" s="30">
        <f>15569630</f>
        <v>15569630</v>
      </c>
      <c r="W39" s="30" t="str">
        <f>"－"</f>
        <v>－</v>
      </c>
      <c r="X39" s="34">
        <f>22</f>
        <v>22</v>
      </c>
    </row>
    <row r="40" spans="1:24" ht="13.5" customHeight="1" x14ac:dyDescent="0.15">
      <c r="A40" s="25" t="s">
        <v>1139</v>
      </c>
      <c r="B40" s="25" t="s">
        <v>180</v>
      </c>
      <c r="C40" s="25" t="s">
        <v>1045</v>
      </c>
      <c r="D40" s="25" t="s">
        <v>1046</v>
      </c>
      <c r="E40" s="26" t="s">
        <v>45</v>
      </c>
      <c r="F40" s="27" t="s">
        <v>45</v>
      </c>
      <c r="G40" s="28" t="s">
        <v>45</v>
      </c>
      <c r="H40" s="29"/>
      <c r="I40" s="29" t="s">
        <v>46</v>
      </c>
      <c r="J40" s="30">
        <v>1</v>
      </c>
      <c r="K40" s="31">
        <f>3290</f>
        <v>3290</v>
      </c>
      <c r="L40" s="32" t="s">
        <v>995</v>
      </c>
      <c r="M40" s="31">
        <f>3490</f>
        <v>3490</v>
      </c>
      <c r="N40" s="32" t="s">
        <v>788</v>
      </c>
      <c r="O40" s="31">
        <f>3265</f>
        <v>3265</v>
      </c>
      <c r="P40" s="32" t="s">
        <v>995</v>
      </c>
      <c r="Q40" s="31">
        <f>3345</f>
        <v>3345</v>
      </c>
      <c r="R40" s="32" t="s">
        <v>791</v>
      </c>
      <c r="S40" s="33">
        <f>3393.64</f>
        <v>3393.64</v>
      </c>
      <c r="T40" s="30">
        <f>970171</f>
        <v>970171</v>
      </c>
      <c r="U40" s="30">
        <f>396000</f>
        <v>396000</v>
      </c>
      <c r="V40" s="30">
        <f>3295301479</f>
        <v>3295301479</v>
      </c>
      <c r="W40" s="30">
        <f>1342783724</f>
        <v>1342783724</v>
      </c>
      <c r="X40" s="34">
        <f>22</f>
        <v>22</v>
      </c>
    </row>
    <row r="41" spans="1:24" ht="13.5" customHeight="1" x14ac:dyDescent="0.15">
      <c r="A41" s="25" t="s">
        <v>1139</v>
      </c>
      <c r="B41" s="25" t="s">
        <v>183</v>
      </c>
      <c r="C41" s="25" t="s">
        <v>1047</v>
      </c>
      <c r="D41" s="25" t="s">
        <v>1048</v>
      </c>
      <c r="E41" s="26" t="s">
        <v>45</v>
      </c>
      <c r="F41" s="27" t="s">
        <v>45</v>
      </c>
      <c r="G41" s="28" t="s">
        <v>45</v>
      </c>
      <c r="H41" s="29"/>
      <c r="I41" s="29" t="s">
        <v>46</v>
      </c>
      <c r="J41" s="30">
        <v>1</v>
      </c>
      <c r="K41" s="31">
        <f>3900</f>
        <v>3900</v>
      </c>
      <c r="L41" s="32" t="s">
        <v>995</v>
      </c>
      <c r="M41" s="31">
        <f>4075</f>
        <v>4075</v>
      </c>
      <c r="N41" s="32" t="s">
        <v>792</v>
      </c>
      <c r="O41" s="31">
        <f>3880</f>
        <v>3880</v>
      </c>
      <c r="P41" s="32" t="s">
        <v>791</v>
      </c>
      <c r="Q41" s="31">
        <f>3890</f>
        <v>3890</v>
      </c>
      <c r="R41" s="32" t="s">
        <v>791</v>
      </c>
      <c r="S41" s="33">
        <f>3973.41</f>
        <v>3973.41</v>
      </c>
      <c r="T41" s="30">
        <f>157988</f>
        <v>157988</v>
      </c>
      <c r="U41" s="30">
        <f>60000</f>
        <v>60000</v>
      </c>
      <c r="V41" s="30">
        <f>626125955</f>
        <v>626125955</v>
      </c>
      <c r="W41" s="30">
        <f>237444000</f>
        <v>237444000</v>
      </c>
      <c r="X41" s="34">
        <f>22</f>
        <v>22</v>
      </c>
    </row>
    <row r="42" spans="1:24" ht="13.5" customHeight="1" x14ac:dyDescent="0.15">
      <c r="A42" s="25" t="s">
        <v>1139</v>
      </c>
      <c r="B42" s="25" t="s">
        <v>186</v>
      </c>
      <c r="C42" s="25" t="s">
        <v>187</v>
      </c>
      <c r="D42" s="25" t="s">
        <v>188</v>
      </c>
      <c r="E42" s="26" t="s">
        <v>45</v>
      </c>
      <c r="F42" s="27" t="s">
        <v>45</v>
      </c>
      <c r="G42" s="28" t="s">
        <v>45</v>
      </c>
      <c r="H42" s="29"/>
      <c r="I42" s="29" t="s">
        <v>46</v>
      </c>
      <c r="J42" s="30">
        <v>1</v>
      </c>
      <c r="K42" s="31">
        <f>24510</f>
        <v>24510</v>
      </c>
      <c r="L42" s="32" t="s">
        <v>995</v>
      </c>
      <c r="M42" s="31">
        <f>24815</f>
        <v>24815</v>
      </c>
      <c r="N42" s="32" t="s">
        <v>995</v>
      </c>
      <c r="O42" s="31">
        <f>21565</f>
        <v>21565</v>
      </c>
      <c r="P42" s="32" t="s">
        <v>788</v>
      </c>
      <c r="Q42" s="31">
        <f>23495</f>
        <v>23495</v>
      </c>
      <c r="R42" s="32" t="s">
        <v>791</v>
      </c>
      <c r="S42" s="33">
        <f>22867.05</f>
        <v>22867.05</v>
      </c>
      <c r="T42" s="30">
        <f>8469511</f>
        <v>8469511</v>
      </c>
      <c r="U42" s="30">
        <f>25</f>
        <v>25</v>
      </c>
      <c r="V42" s="30">
        <f>193663056175</f>
        <v>193663056175</v>
      </c>
      <c r="W42" s="30">
        <f>512125</f>
        <v>512125</v>
      </c>
      <c r="X42" s="34">
        <f>22</f>
        <v>22</v>
      </c>
    </row>
    <row r="43" spans="1:24" ht="13.5" customHeight="1" x14ac:dyDescent="0.15">
      <c r="A43" s="25" t="s">
        <v>1139</v>
      </c>
      <c r="B43" s="25" t="s">
        <v>189</v>
      </c>
      <c r="C43" s="25" t="s">
        <v>190</v>
      </c>
      <c r="D43" s="25" t="s">
        <v>191</v>
      </c>
      <c r="E43" s="26" t="s">
        <v>45</v>
      </c>
      <c r="F43" s="27" t="s">
        <v>45</v>
      </c>
      <c r="G43" s="28" t="s">
        <v>45</v>
      </c>
      <c r="H43" s="29"/>
      <c r="I43" s="29" t="s">
        <v>46</v>
      </c>
      <c r="J43" s="30">
        <v>1</v>
      </c>
      <c r="K43" s="31">
        <f>904</f>
        <v>904</v>
      </c>
      <c r="L43" s="32" t="s">
        <v>995</v>
      </c>
      <c r="M43" s="31">
        <f>1018</f>
        <v>1018</v>
      </c>
      <c r="N43" s="32" t="s">
        <v>788</v>
      </c>
      <c r="O43" s="31">
        <f>891</f>
        <v>891</v>
      </c>
      <c r="P43" s="32" t="s">
        <v>995</v>
      </c>
      <c r="Q43" s="31">
        <f>931</f>
        <v>931</v>
      </c>
      <c r="R43" s="32" t="s">
        <v>791</v>
      </c>
      <c r="S43" s="33">
        <f>962.23</f>
        <v>962.23</v>
      </c>
      <c r="T43" s="30">
        <f>198369840</f>
        <v>198369840</v>
      </c>
      <c r="U43" s="30">
        <f>174</f>
        <v>174</v>
      </c>
      <c r="V43" s="30">
        <f>191211113914</f>
        <v>191211113914</v>
      </c>
      <c r="W43" s="30">
        <f>154712</f>
        <v>154712</v>
      </c>
      <c r="X43" s="34">
        <f>22</f>
        <v>22</v>
      </c>
    </row>
    <row r="44" spans="1:24" ht="13.5" customHeight="1" x14ac:dyDescent="0.15">
      <c r="A44" s="25" t="s">
        <v>1139</v>
      </c>
      <c r="B44" s="25" t="s">
        <v>192</v>
      </c>
      <c r="C44" s="25" t="s">
        <v>1049</v>
      </c>
      <c r="D44" s="25" t="s">
        <v>1050</v>
      </c>
      <c r="E44" s="26" t="s">
        <v>45</v>
      </c>
      <c r="F44" s="27" t="s">
        <v>45</v>
      </c>
      <c r="G44" s="28" t="s">
        <v>45</v>
      </c>
      <c r="H44" s="29"/>
      <c r="I44" s="29" t="s">
        <v>46</v>
      </c>
      <c r="J44" s="30">
        <v>1</v>
      </c>
      <c r="K44" s="31">
        <f>21850</f>
        <v>21850</v>
      </c>
      <c r="L44" s="32" t="s">
        <v>995</v>
      </c>
      <c r="M44" s="31">
        <f>22000</f>
        <v>22000</v>
      </c>
      <c r="N44" s="32" t="s">
        <v>995</v>
      </c>
      <c r="O44" s="31">
        <f>19945</f>
        <v>19945</v>
      </c>
      <c r="P44" s="32" t="s">
        <v>792</v>
      </c>
      <c r="Q44" s="31">
        <f>21850</f>
        <v>21850</v>
      </c>
      <c r="R44" s="32" t="s">
        <v>791</v>
      </c>
      <c r="S44" s="33">
        <f>20936.14</f>
        <v>20936.14</v>
      </c>
      <c r="T44" s="30">
        <f>1964</f>
        <v>1964</v>
      </c>
      <c r="U44" s="30" t="str">
        <f>"－"</f>
        <v>－</v>
      </c>
      <c r="V44" s="30">
        <f>40968075</f>
        <v>40968075</v>
      </c>
      <c r="W44" s="30" t="str">
        <f>"－"</f>
        <v>－</v>
      </c>
      <c r="X44" s="34">
        <f>22</f>
        <v>22</v>
      </c>
    </row>
    <row r="45" spans="1:24" ht="13.5" customHeight="1" x14ac:dyDescent="0.15">
      <c r="A45" s="25" t="s">
        <v>1139</v>
      </c>
      <c r="B45" s="25" t="s">
        <v>195</v>
      </c>
      <c r="C45" s="25" t="s">
        <v>1051</v>
      </c>
      <c r="D45" s="25" t="s">
        <v>1052</v>
      </c>
      <c r="E45" s="26" t="s">
        <v>45</v>
      </c>
      <c r="F45" s="27" t="s">
        <v>45</v>
      </c>
      <c r="G45" s="28" t="s">
        <v>45</v>
      </c>
      <c r="H45" s="29"/>
      <c r="I45" s="29" t="s">
        <v>46</v>
      </c>
      <c r="J45" s="30">
        <v>1</v>
      </c>
      <c r="K45" s="31">
        <f>3885</f>
        <v>3885</v>
      </c>
      <c r="L45" s="32" t="s">
        <v>996</v>
      </c>
      <c r="M45" s="31">
        <f>3905</f>
        <v>3905</v>
      </c>
      <c r="N45" s="32" t="s">
        <v>785</v>
      </c>
      <c r="O45" s="31">
        <f>3750</f>
        <v>3750</v>
      </c>
      <c r="P45" s="32" t="s">
        <v>1017</v>
      </c>
      <c r="Q45" s="31">
        <f>3750</f>
        <v>3750</v>
      </c>
      <c r="R45" s="32" t="s">
        <v>1017</v>
      </c>
      <c r="S45" s="33">
        <f>3841.67</f>
        <v>3841.67</v>
      </c>
      <c r="T45" s="30">
        <f>92</f>
        <v>92</v>
      </c>
      <c r="U45" s="30" t="str">
        <f>"－"</f>
        <v>－</v>
      </c>
      <c r="V45" s="30">
        <f>354185</f>
        <v>354185</v>
      </c>
      <c r="W45" s="30" t="str">
        <f>"－"</f>
        <v>－</v>
      </c>
      <c r="X45" s="34">
        <f>9</f>
        <v>9</v>
      </c>
    </row>
    <row r="46" spans="1:24" ht="13.5" customHeight="1" x14ac:dyDescent="0.15">
      <c r="A46" s="25" t="s">
        <v>1139</v>
      </c>
      <c r="B46" s="25" t="s">
        <v>198</v>
      </c>
      <c r="C46" s="25" t="s">
        <v>1053</v>
      </c>
      <c r="D46" s="25" t="s">
        <v>1054</v>
      </c>
      <c r="E46" s="26" t="s">
        <v>45</v>
      </c>
      <c r="F46" s="27" t="s">
        <v>45</v>
      </c>
      <c r="G46" s="28" t="s">
        <v>45</v>
      </c>
      <c r="H46" s="29"/>
      <c r="I46" s="29" t="s">
        <v>46</v>
      </c>
      <c r="J46" s="30">
        <v>1</v>
      </c>
      <c r="K46" s="31">
        <f>1098</f>
        <v>1098</v>
      </c>
      <c r="L46" s="32" t="s">
        <v>995</v>
      </c>
      <c r="M46" s="31">
        <f>1200</f>
        <v>1200</v>
      </c>
      <c r="N46" s="32" t="s">
        <v>788</v>
      </c>
      <c r="O46" s="31">
        <f>1084</f>
        <v>1084</v>
      </c>
      <c r="P46" s="32" t="s">
        <v>995</v>
      </c>
      <c r="Q46" s="31">
        <f>1095</f>
        <v>1095</v>
      </c>
      <c r="R46" s="32" t="s">
        <v>791</v>
      </c>
      <c r="S46" s="33">
        <f>1139.59</f>
        <v>1139.5899999999999</v>
      </c>
      <c r="T46" s="30">
        <f>15812</f>
        <v>15812</v>
      </c>
      <c r="U46" s="30" t="str">
        <f>"－"</f>
        <v>－</v>
      </c>
      <c r="V46" s="30">
        <f>17938584</f>
        <v>17938584</v>
      </c>
      <c r="W46" s="30" t="str">
        <f>"－"</f>
        <v>－</v>
      </c>
      <c r="X46" s="34">
        <f>22</f>
        <v>22</v>
      </c>
    </row>
    <row r="47" spans="1:24" ht="13.5" customHeight="1" x14ac:dyDescent="0.15">
      <c r="A47" s="25" t="s">
        <v>1139</v>
      </c>
      <c r="B47" s="25" t="s">
        <v>207</v>
      </c>
      <c r="C47" s="25" t="s">
        <v>208</v>
      </c>
      <c r="D47" s="25" t="s">
        <v>209</v>
      </c>
      <c r="E47" s="26" t="s">
        <v>45</v>
      </c>
      <c r="F47" s="27" t="s">
        <v>45</v>
      </c>
      <c r="G47" s="28" t="s">
        <v>45</v>
      </c>
      <c r="H47" s="29"/>
      <c r="I47" s="29" t="s">
        <v>46</v>
      </c>
      <c r="J47" s="30">
        <v>10</v>
      </c>
      <c r="K47" s="31">
        <f>1076.5</f>
        <v>1076.5</v>
      </c>
      <c r="L47" s="32" t="s">
        <v>995</v>
      </c>
      <c r="M47" s="31">
        <f>1172</f>
        <v>1172</v>
      </c>
      <c r="N47" s="32" t="s">
        <v>788</v>
      </c>
      <c r="O47" s="31">
        <f>1063</f>
        <v>1063</v>
      </c>
      <c r="P47" s="32" t="s">
        <v>791</v>
      </c>
      <c r="Q47" s="31">
        <f>1070</f>
        <v>1070</v>
      </c>
      <c r="R47" s="32" t="s">
        <v>791</v>
      </c>
      <c r="S47" s="33">
        <f>1113.11</f>
        <v>1113.1099999999999</v>
      </c>
      <c r="T47" s="30">
        <f>92730</f>
        <v>92730</v>
      </c>
      <c r="U47" s="30" t="str">
        <f>"－"</f>
        <v>－</v>
      </c>
      <c r="V47" s="30">
        <f>103254430</f>
        <v>103254430</v>
      </c>
      <c r="W47" s="30" t="str">
        <f>"－"</f>
        <v>－</v>
      </c>
      <c r="X47" s="34">
        <f>22</f>
        <v>22</v>
      </c>
    </row>
    <row r="48" spans="1:24" ht="13.5" customHeight="1" x14ac:dyDescent="0.15">
      <c r="A48" s="25" t="s">
        <v>1139</v>
      </c>
      <c r="B48" s="25" t="s">
        <v>210</v>
      </c>
      <c r="C48" s="25" t="s">
        <v>211</v>
      </c>
      <c r="D48" s="25" t="s">
        <v>212</v>
      </c>
      <c r="E48" s="26" t="s">
        <v>45</v>
      </c>
      <c r="F48" s="27" t="s">
        <v>45</v>
      </c>
      <c r="G48" s="28" t="s">
        <v>45</v>
      </c>
      <c r="H48" s="29"/>
      <c r="I48" s="29" t="s">
        <v>46</v>
      </c>
      <c r="J48" s="30">
        <v>1</v>
      </c>
      <c r="K48" s="31">
        <f>448</f>
        <v>448</v>
      </c>
      <c r="L48" s="32" t="s">
        <v>995</v>
      </c>
      <c r="M48" s="31">
        <f>483</f>
        <v>483</v>
      </c>
      <c r="N48" s="32" t="s">
        <v>998</v>
      </c>
      <c r="O48" s="31">
        <f>436</f>
        <v>436</v>
      </c>
      <c r="P48" s="32" t="s">
        <v>995</v>
      </c>
      <c r="Q48" s="31">
        <f>436</f>
        <v>436</v>
      </c>
      <c r="R48" s="32" t="s">
        <v>791</v>
      </c>
      <c r="S48" s="33">
        <f>454.64</f>
        <v>454.64</v>
      </c>
      <c r="T48" s="30">
        <f>67873</f>
        <v>67873</v>
      </c>
      <c r="U48" s="30" t="str">
        <f>"－"</f>
        <v>－</v>
      </c>
      <c r="V48" s="30">
        <f>30963146</f>
        <v>30963146</v>
      </c>
      <c r="W48" s="30" t="str">
        <f>"－"</f>
        <v>－</v>
      </c>
      <c r="X48" s="34">
        <f>22</f>
        <v>22</v>
      </c>
    </row>
    <row r="49" spans="1:24" ht="13.5" customHeight="1" x14ac:dyDescent="0.15">
      <c r="A49" s="25" t="s">
        <v>1139</v>
      </c>
      <c r="B49" s="25" t="s">
        <v>213</v>
      </c>
      <c r="C49" s="25" t="s">
        <v>214</v>
      </c>
      <c r="D49" s="25" t="s">
        <v>215</v>
      </c>
      <c r="E49" s="26" t="s">
        <v>45</v>
      </c>
      <c r="F49" s="27" t="s">
        <v>45</v>
      </c>
      <c r="G49" s="28" t="s">
        <v>45</v>
      </c>
      <c r="H49" s="29"/>
      <c r="I49" s="29" t="s">
        <v>46</v>
      </c>
      <c r="J49" s="30">
        <v>10</v>
      </c>
      <c r="K49" s="31">
        <f>2360</f>
        <v>2360</v>
      </c>
      <c r="L49" s="32" t="s">
        <v>995</v>
      </c>
      <c r="M49" s="31">
        <f>2369</f>
        <v>2369</v>
      </c>
      <c r="N49" s="32" t="s">
        <v>995</v>
      </c>
      <c r="O49" s="31">
        <f>2259</f>
        <v>2259</v>
      </c>
      <c r="P49" s="32" t="s">
        <v>788</v>
      </c>
      <c r="Q49" s="31">
        <f>2360.5</f>
        <v>2360.5</v>
      </c>
      <c r="R49" s="32" t="s">
        <v>791</v>
      </c>
      <c r="S49" s="33">
        <f>2314.16</f>
        <v>2314.16</v>
      </c>
      <c r="T49" s="30">
        <f>831430</f>
        <v>831430</v>
      </c>
      <c r="U49" s="30">
        <f>112000</f>
        <v>112000</v>
      </c>
      <c r="V49" s="30">
        <f>1923724145</f>
        <v>1923724145</v>
      </c>
      <c r="W49" s="30">
        <f>255454520</f>
        <v>255454520</v>
      </c>
      <c r="X49" s="34">
        <f>22</f>
        <v>22</v>
      </c>
    </row>
    <row r="50" spans="1:24" ht="13.5" customHeight="1" x14ac:dyDescent="0.15">
      <c r="A50" s="25" t="s">
        <v>1139</v>
      </c>
      <c r="B50" s="25" t="s">
        <v>216</v>
      </c>
      <c r="C50" s="25" t="s">
        <v>217</v>
      </c>
      <c r="D50" s="25" t="s">
        <v>218</v>
      </c>
      <c r="E50" s="26" t="s">
        <v>45</v>
      </c>
      <c r="F50" s="27" t="s">
        <v>45</v>
      </c>
      <c r="G50" s="28" t="s">
        <v>45</v>
      </c>
      <c r="H50" s="29"/>
      <c r="I50" s="29" t="s">
        <v>46</v>
      </c>
      <c r="J50" s="30">
        <v>1</v>
      </c>
      <c r="K50" s="31">
        <f>21355</f>
        <v>21355</v>
      </c>
      <c r="L50" s="32" t="s">
        <v>995</v>
      </c>
      <c r="M50" s="31">
        <f>21370</f>
        <v>21370</v>
      </c>
      <c r="N50" s="32" t="s">
        <v>995</v>
      </c>
      <c r="O50" s="31">
        <f>20335</f>
        <v>20335</v>
      </c>
      <c r="P50" s="32" t="s">
        <v>788</v>
      </c>
      <c r="Q50" s="31">
        <f>21325</f>
        <v>21325</v>
      </c>
      <c r="R50" s="32" t="s">
        <v>791</v>
      </c>
      <c r="S50" s="33">
        <f>20847.95</f>
        <v>20847.95</v>
      </c>
      <c r="T50" s="30">
        <f>17924</f>
        <v>17924</v>
      </c>
      <c r="U50" s="30">
        <f>8000</f>
        <v>8000</v>
      </c>
      <c r="V50" s="30">
        <f>368564945</f>
        <v>368564945</v>
      </c>
      <c r="W50" s="30">
        <f>164740000</f>
        <v>164740000</v>
      </c>
      <c r="X50" s="34">
        <f>22</f>
        <v>22</v>
      </c>
    </row>
    <row r="51" spans="1:24" ht="13.5" customHeight="1" x14ac:dyDescent="0.15">
      <c r="A51" s="25" t="s">
        <v>1139</v>
      </c>
      <c r="B51" s="25" t="s">
        <v>219</v>
      </c>
      <c r="C51" s="25" t="s">
        <v>220</v>
      </c>
      <c r="D51" s="25" t="s">
        <v>221</v>
      </c>
      <c r="E51" s="26" t="s">
        <v>45</v>
      </c>
      <c r="F51" s="27" t="s">
        <v>45</v>
      </c>
      <c r="G51" s="28" t="s">
        <v>45</v>
      </c>
      <c r="H51" s="29"/>
      <c r="I51" s="29" t="s">
        <v>46</v>
      </c>
      <c r="J51" s="30">
        <v>1</v>
      </c>
      <c r="K51" s="31">
        <f>2408</f>
        <v>2408</v>
      </c>
      <c r="L51" s="32" t="s">
        <v>995</v>
      </c>
      <c r="M51" s="31">
        <f>2418</f>
        <v>2418</v>
      </c>
      <c r="N51" s="32" t="s">
        <v>995</v>
      </c>
      <c r="O51" s="31">
        <f>2278</f>
        <v>2278</v>
      </c>
      <c r="P51" s="32" t="s">
        <v>792</v>
      </c>
      <c r="Q51" s="31">
        <f>2384</f>
        <v>2384</v>
      </c>
      <c r="R51" s="32" t="s">
        <v>791</v>
      </c>
      <c r="S51" s="33">
        <f>2342.86</f>
        <v>2342.86</v>
      </c>
      <c r="T51" s="30">
        <f>9362632</f>
        <v>9362632</v>
      </c>
      <c r="U51" s="30">
        <f>3651567</f>
        <v>3651567</v>
      </c>
      <c r="V51" s="30">
        <f>22004223614</f>
        <v>22004223614</v>
      </c>
      <c r="W51" s="30">
        <f>8571071056</f>
        <v>8571071056</v>
      </c>
      <c r="X51" s="34">
        <f>22</f>
        <v>22</v>
      </c>
    </row>
    <row r="52" spans="1:24" ht="13.5" customHeight="1" x14ac:dyDescent="0.15">
      <c r="A52" s="25" t="s">
        <v>1139</v>
      </c>
      <c r="B52" s="25" t="s">
        <v>222</v>
      </c>
      <c r="C52" s="25" t="s">
        <v>223</v>
      </c>
      <c r="D52" s="25" t="s">
        <v>224</v>
      </c>
      <c r="E52" s="26" t="s">
        <v>45</v>
      </c>
      <c r="F52" s="27" t="s">
        <v>45</v>
      </c>
      <c r="G52" s="28" t="s">
        <v>45</v>
      </c>
      <c r="H52" s="29"/>
      <c r="I52" s="29" t="s">
        <v>46</v>
      </c>
      <c r="J52" s="30">
        <v>1</v>
      </c>
      <c r="K52" s="31">
        <f>1950</f>
        <v>1950</v>
      </c>
      <c r="L52" s="32" t="s">
        <v>995</v>
      </c>
      <c r="M52" s="31">
        <f>1970</f>
        <v>1970</v>
      </c>
      <c r="N52" s="32" t="s">
        <v>791</v>
      </c>
      <c r="O52" s="31">
        <f>1896</f>
        <v>1896</v>
      </c>
      <c r="P52" s="32" t="s">
        <v>788</v>
      </c>
      <c r="Q52" s="31">
        <f>1955</f>
        <v>1955</v>
      </c>
      <c r="R52" s="32" t="s">
        <v>791</v>
      </c>
      <c r="S52" s="33">
        <f>1928.14</f>
        <v>1928.14</v>
      </c>
      <c r="T52" s="30">
        <f>9420611</f>
        <v>9420611</v>
      </c>
      <c r="U52" s="30">
        <f>7257878</f>
        <v>7257878</v>
      </c>
      <c r="V52" s="30">
        <f>18111160220</f>
        <v>18111160220</v>
      </c>
      <c r="W52" s="30">
        <f>13944874997</f>
        <v>13944874997</v>
      </c>
      <c r="X52" s="34">
        <f>22</f>
        <v>22</v>
      </c>
    </row>
    <row r="53" spans="1:24" ht="13.5" customHeight="1" x14ac:dyDescent="0.15">
      <c r="A53" s="25" t="s">
        <v>1139</v>
      </c>
      <c r="B53" s="25" t="s">
        <v>225</v>
      </c>
      <c r="C53" s="25" t="s">
        <v>226</v>
      </c>
      <c r="D53" s="25" t="s">
        <v>227</v>
      </c>
      <c r="E53" s="26" t="s">
        <v>45</v>
      </c>
      <c r="F53" s="27" t="s">
        <v>45</v>
      </c>
      <c r="G53" s="28" t="s">
        <v>45</v>
      </c>
      <c r="H53" s="29"/>
      <c r="I53" s="29" t="s">
        <v>46</v>
      </c>
      <c r="J53" s="30">
        <v>1</v>
      </c>
      <c r="K53" s="31">
        <f>2225</f>
        <v>2225</v>
      </c>
      <c r="L53" s="32" t="s">
        <v>995</v>
      </c>
      <c r="M53" s="31">
        <f>2318</f>
        <v>2318</v>
      </c>
      <c r="N53" s="32" t="s">
        <v>995</v>
      </c>
      <c r="O53" s="31">
        <f>2148</f>
        <v>2148</v>
      </c>
      <c r="P53" s="32" t="s">
        <v>788</v>
      </c>
      <c r="Q53" s="31">
        <f>2235</f>
        <v>2235</v>
      </c>
      <c r="R53" s="32" t="s">
        <v>791</v>
      </c>
      <c r="S53" s="33">
        <f>2195.41</f>
        <v>2195.41</v>
      </c>
      <c r="T53" s="30">
        <f>79118</f>
        <v>79118</v>
      </c>
      <c r="U53" s="30">
        <f>12244</f>
        <v>12244</v>
      </c>
      <c r="V53" s="30">
        <f>177327958</f>
        <v>177327958</v>
      </c>
      <c r="W53" s="30">
        <f>27380796</f>
        <v>27380796</v>
      </c>
      <c r="X53" s="34">
        <f>22</f>
        <v>22</v>
      </c>
    </row>
    <row r="54" spans="1:24" ht="13.5" customHeight="1" x14ac:dyDescent="0.15">
      <c r="A54" s="25" t="s">
        <v>1139</v>
      </c>
      <c r="B54" s="25" t="s">
        <v>228</v>
      </c>
      <c r="C54" s="25" t="s">
        <v>229</v>
      </c>
      <c r="D54" s="25" t="s">
        <v>230</v>
      </c>
      <c r="E54" s="26" t="s">
        <v>45</v>
      </c>
      <c r="F54" s="27" t="s">
        <v>45</v>
      </c>
      <c r="G54" s="28" t="s">
        <v>45</v>
      </c>
      <c r="H54" s="29"/>
      <c r="I54" s="29" t="s">
        <v>46</v>
      </c>
      <c r="J54" s="30">
        <v>1</v>
      </c>
      <c r="K54" s="31">
        <f>3005</f>
        <v>3005</v>
      </c>
      <c r="L54" s="32" t="s">
        <v>995</v>
      </c>
      <c r="M54" s="31">
        <f>3025</f>
        <v>3025</v>
      </c>
      <c r="N54" s="32" t="s">
        <v>995</v>
      </c>
      <c r="O54" s="31">
        <f>2856</f>
        <v>2856</v>
      </c>
      <c r="P54" s="32" t="s">
        <v>792</v>
      </c>
      <c r="Q54" s="31">
        <f>2988</f>
        <v>2988</v>
      </c>
      <c r="R54" s="32" t="s">
        <v>791</v>
      </c>
      <c r="S54" s="33">
        <f>2936.91</f>
        <v>2936.91</v>
      </c>
      <c r="T54" s="30">
        <f>3253002</f>
        <v>3253002</v>
      </c>
      <c r="U54" s="30">
        <f>1843559</f>
        <v>1843559</v>
      </c>
      <c r="V54" s="30">
        <f>9541196516</f>
        <v>9541196516</v>
      </c>
      <c r="W54" s="30">
        <f>5379497743</f>
        <v>5379497743</v>
      </c>
      <c r="X54" s="34">
        <f>22</f>
        <v>22</v>
      </c>
    </row>
    <row r="55" spans="1:24" ht="13.5" customHeight="1" x14ac:dyDescent="0.15">
      <c r="A55" s="25" t="s">
        <v>1139</v>
      </c>
      <c r="B55" s="25" t="s">
        <v>231</v>
      </c>
      <c r="C55" s="25" t="s">
        <v>1055</v>
      </c>
      <c r="D55" s="25" t="s">
        <v>1056</v>
      </c>
      <c r="E55" s="26" t="s">
        <v>45</v>
      </c>
      <c r="F55" s="27" t="s">
        <v>45</v>
      </c>
      <c r="G55" s="28" t="s">
        <v>45</v>
      </c>
      <c r="H55" s="29"/>
      <c r="I55" s="29" t="s">
        <v>46</v>
      </c>
      <c r="J55" s="30">
        <v>1</v>
      </c>
      <c r="K55" s="31">
        <f>28805</f>
        <v>28805</v>
      </c>
      <c r="L55" s="32" t="s">
        <v>995</v>
      </c>
      <c r="M55" s="31">
        <f>29000</f>
        <v>29000</v>
      </c>
      <c r="N55" s="32" t="s">
        <v>995</v>
      </c>
      <c r="O55" s="31">
        <f>27910</f>
        <v>27910</v>
      </c>
      <c r="P55" s="32" t="s">
        <v>875</v>
      </c>
      <c r="Q55" s="31">
        <f>28720</f>
        <v>28720</v>
      </c>
      <c r="R55" s="32" t="s">
        <v>791</v>
      </c>
      <c r="S55" s="33">
        <f>28390.56</f>
        <v>28390.560000000001</v>
      </c>
      <c r="T55" s="30">
        <f>482</f>
        <v>482</v>
      </c>
      <c r="U55" s="30" t="str">
        <f>"－"</f>
        <v>－</v>
      </c>
      <c r="V55" s="30">
        <f>13814450</f>
        <v>13814450</v>
      </c>
      <c r="W55" s="30" t="str">
        <f>"－"</f>
        <v>－</v>
      </c>
      <c r="X55" s="34">
        <f>9</f>
        <v>9</v>
      </c>
    </row>
    <row r="56" spans="1:24" ht="13.5" customHeight="1" x14ac:dyDescent="0.15">
      <c r="A56" s="25" t="s">
        <v>1139</v>
      </c>
      <c r="B56" s="25" t="s">
        <v>234</v>
      </c>
      <c r="C56" s="25" t="s">
        <v>235</v>
      </c>
      <c r="D56" s="25" t="s">
        <v>236</v>
      </c>
      <c r="E56" s="26" t="s">
        <v>45</v>
      </c>
      <c r="F56" s="27" t="s">
        <v>45</v>
      </c>
      <c r="G56" s="28" t="s">
        <v>45</v>
      </c>
      <c r="H56" s="29"/>
      <c r="I56" s="29" t="s">
        <v>46</v>
      </c>
      <c r="J56" s="30">
        <v>1</v>
      </c>
      <c r="K56" s="31">
        <f>23165</f>
        <v>23165</v>
      </c>
      <c r="L56" s="32" t="s">
        <v>999</v>
      </c>
      <c r="M56" s="31">
        <f>23200</f>
        <v>23200</v>
      </c>
      <c r="N56" s="32" t="s">
        <v>999</v>
      </c>
      <c r="O56" s="31">
        <f>22245</f>
        <v>22245</v>
      </c>
      <c r="P56" s="32" t="s">
        <v>788</v>
      </c>
      <c r="Q56" s="31">
        <f>23180</f>
        <v>23180</v>
      </c>
      <c r="R56" s="32" t="s">
        <v>791</v>
      </c>
      <c r="S56" s="33">
        <f>22928.57</f>
        <v>22928.57</v>
      </c>
      <c r="T56" s="30">
        <f>105</f>
        <v>105</v>
      </c>
      <c r="U56" s="30" t="str">
        <f>"－"</f>
        <v>－</v>
      </c>
      <c r="V56" s="30">
        <f>2415095</f>
        <v>2415095</v>
      </c>
      <c r="W56" s="30" t="str">
        <f>"－"</f>
        <v>－</v>
      </c>
      <c r="X56" s="34">
        <f>7</f>
        <v>7</v>
      </c>
    </row>
    <row r="57" spans="1:24" ht="13.5" customHeight="1" x14ac:dyDescent="0.15">
      <c r="A57" s="25" t="s">
        <v>1139</v>
      </c>
      <c r="B57" s="25" t="s">
        <v>237</v>
      </c>
      <c r="C57" s="25" t="s">
        <v>238</v>
      </c>
      <c r="D57" s="25" t="s">
        <v>239</v>
      </c>
      <c r="E57" s="26" t="s">
        <v>45</v>
      </c>
      <c r="F57" s="27" t="s">
        <v>45</v>
      </c>
      <c r="G57" s="28" t="s">
        <v>45</v>
      </c>
      <c r="H57" s="29"/>
      <c r="I57" s="29" t="s">
        <v>46</v>
      </c>
      <c r="J57" s="30">
        <v>1</v>
      </c>
      <c r="K57" s="31">
        <f>2373</f>
        <v>2373</v>
      </c>
      <c r="L57" s="32" t="s">
        <v>995</v>
      </c>
      <c r="M57" s="31">
        <f>2425</f>
        <v>2425</v>
      </c>
      <c r="N57" s="32" t="s">
        <v>1003</v>
      </c>
      <c r="O57" s="31">
        <f>2280</f>
        <v>2280</v>
      </c>
      <c r="P57" s="32" t="s">
        <v>998</v>
      </c>
      <c r="Q57" s="31">
        <f>2362</f>
        <v>2362</v>
      </c>
      <c r="R57" s="32" t="s">
        <v>791</v>
      </c>
      <c r="S57" s="33">
        <f>2337.83</f>
        <v>2337.83</v>
      </c>
      <c r="T57" s="30">
        <f>1104</f>
        <v>1104</v>
      </c>
      <c r="U57" s="30" t="str">
        <f>"－"</f>
        <v>－</v>
      </c>
      <c r="V57" s="30">
        <f>2586471</f>
        <v>2586471</v>
      </c>
      <c r="W57" s="30" t="str">
        <f>"－"</f>
        <v>－</v>
      </c>
      <c r="X57" s="34">
        <f>18</f>
        <v>18</v>
      </c>
    </row>
    <row r="58" spans="1:24" ht="13.5" customHeight="1" x14ac:dyDescent="0.15">
      <c r="A58" s="25" t="s">
        <v>1139</v>
      </c>
      <c r="B58" s="25" t="s">
        <v>240</v>
      </c>
      <c r="C58" s="25" t="s">
        <v>241</v>
      </c>
      <c r="D58" s="25" t="s">
        <v>242</v>
      </c>
      <c r="E58" s="26" t="s">
        <v>45</v>
      </c>
      <c r="F58" s="27" t="s">
        <v>45</v>
      </c>
      <c r="G58" s="28" t="s">
        <v>45</v>
      </c>
      <c r="H58" s="29"/>
      <c r="I58" s="29" t="s">
        <v>46</v>
      </c>
      <c r="J58" s="30">
        <v>1</v>
      </c>
      <c r="K58" s="31">
        <f>1832</f>
        <v>1832</v>
      </c>
      <c r="L58" s="32" t="s">
        <v>995</v>
      </c>
      <c r="M58" s="31">
        <f>1833</f>
        <v>1833</v>
      </c>
      <c r="N58" s="32" t="s">
        <v>995</v>
      </c>
      <c r="O58" s="31">
        <f>1774</f>
        <v>1774</v>
      </c>
      <c r="P58" s="32" t="s">
        <v>1001</v>
      </c>
      <c r="Q58" s="31">
        <f>1807</f>
        <v>1807</v>
      </c>
      <c r="R58" s="32" t="s">
        <v>791</v>
      </c>
      <c r="S58" s="33">
        <f>1802.95</f>
        <v>1802.95</v>
      </c>
      <c r="T58" s="30">
        <f>9167914</f>
        <v>9167914</v>
      </c>
      <c r="U58" s="30">
        <f>7202192</f>
        <v>7202192</v>
      </c>
      <c r="V58" s="30">
        <f>16591165131</f>
        <v>16591165131</v>
      </c>
      <c r="W58" s="30">
        <f>13042486469</f>
        <v>13042486469</v>
      </c>
      <c r="X58" s="34">
        <f>22</f>
        <v>22</v>
      </c>
    </row>
    <row r="59" spans="1:24" ht="13.5" customHeight="1" x14ac:dyDescent="0.15">
      <c r="A59" s="25" t="s">
        <v>1139</v>
      </c>
      <c r="B59" s="25" t="s">
        <v>243</v>
      </c>
      <c r="C59" s="25" t="s">
        <v>244</v>
      </c>
      <c r="D59" s="25" t="s">
        <v>245</v>
      </c>
      <c r="E59" s="26" t="s">
        <v>45</v>
      </c>
      <c r="F59" s="27" t="s">
        <v>45</v>
      </c>
      <c r="G59" s="28" t="s">
        <v>45</v>
      </c>
      <c r="H59" s="29"/>
      <c r="I59" s="29" t="s">
        <v>46</v>
      </c>
      <c r="J59" s="30">
        <v>1</v>
      </c>
      <c r="K59" s="31">
        <f>2398</f>
        <v>2398</v>
      </c>
      <c r="L59" s="32" t="s">
        <v>995</v>
      </c>
      <c r="M59" s="31">
        <f>2402</f>
        <v>2402</v>
      </c>
      <c r="N59" s="32" t="s">
        <v>995</v>
      </c>
      <c r="O59" s="31">
        <f>2276</f>
        <v>2276</v>
      </c>
      <c r="P59" s="32" t="s">
        <v>792</v>
      </c>
      <c r="Q59" s="31">
        <f>2371</f>
        <v>2371</v>
      </c>
      <c r="R59" s="32" t="s">
        <v>791</v>
      </c>
      <c r="S59" s="33">
        <f>2344.76</f>
        <v>2344.7600000000002</v>
      </c>
      <c r="T59" s="30">
        <f>709</f>
        <v>709</v>
      </c>
      <c r="U59" s="30" t="str">
        <f>"－"</f>
        <v>－</v>
      </c>
      <c r="V59" s="30">
        <f>1661302</f>
        <v>1661302</v>
      </c>
      <c r="W59" s="30" t="str">
        <f>"－"</f>
        <v>－</v>
      </c>
      <c r="X59" s="34">
        <f>21</f>
        <v>21</v>
      </c>
    </row>
    <row r="60" spans="1:24" ht="13.5" customHeight="1" x14ac:dyDescent="0.15">
      <c r="A60" s="25" t="s">
        <v>1139</v>
      </c>
      <c r="B60" s="25" t="s">
        <v>246</v>
      </c>
      <c r="C60" s="25" t="s">
        <v>247</v>
      </c>
      <c r="D60" s="25" t="s">
        <v>248</v>
      </c>
      <c r="E60" s="26" t="s">
        <v>45</v>
      </c>
      <c r="F60" s="27" t="s">
        <v>45</v>
      </c>
      <c r="G60" s="28" t="s">
        <v>45</v>
      </c>
      <c r="H60" s="29"/>
      <c r="I60" s="29" t="s">
        <v>46</v>
      </c>
      <c r="J60" s="30">
        <v>10</v>
      </c>
      <c r="K60" s="31">
        <f>2334</f>
        <v>2334</v>
      </c>
      <c r="L60" s="32" t="s">
        <v>995</v>
      </c>
      <c r="M60" s="31">
        <f>2344</f>
        <v>2344</v>
      </c>
      <c r="N60" s="32" t="s">
        <v>995</v>
      </c>
      <c r="O60" s="31">
        <f>2243</f>
        <v>2243</v>
      </c>
      <c r="P60" s="32" t="s">
        <v>788</v>
      </c>
      <c r="Q60" s="31">
        <f>2338</f>
        <v>2338</v>
      </c>
      <c r="R60" s="32" t="s">
        <v>791</v>
      </c>
      <c r="S60" s="33">
        <f>2295.16</f>
        <v>2295.16</v>
      </c>
      <c r="T60" s="30">
        <f>12400</f>
        <v>12400</v>
      </c>
      <c r="U60" s="30" t="str">
        <f>"－"</f>
        <v>－</v>
      </c>
      <c r="V60" s="30">
        <f>28430460</f>
        <v>28430460</v>
      </c>
      <c r="W60" s="30" t="str">
        <f>"－"</f>
        <v>－</v>
      </c>
      <c r="X60" s="34">
        <f>22</f>
        <v>22</v>
      </c>
    </row>
    <row r="61" spans="1:24" ht="13.5" customHeight="1" x14ac:dyDescent="0.15">
      <c r="A61" s="25" t="s">
        <v>1139</v>
      </c>
      <c r="B61" s="25" t="s">
        <v>249</v>
      </c>
      <c r="C61" s="25" t="s">
        <v>250</v>
      </c>
      <c r="D61" s="25" t="s">
        <v>251</v>
      </c>
      <c r="E61" s="26" t="s">
        <v>45</v>
      </c>
      <c r="F61" s="27" t="s">
        <v>45</v>
      </c>
      <c r="G61" s="28" t="s">
        <v>45</v>
      </c>
      <c r="H61" s="29"/>
      <c r="I61" s="29" t="s">
        <v>46</v>
      </c>
      <c r="J61" s="30">
        <v>1</v>
      </c>
      <c r="K61" s="31">
        <f>35940</f>
        <v>35940</v>
      </c>
      <c r="L61" s="32" t="s">
        <v>1000</v>
      </c>
      <c r="M61" s="31">
        <f>35940</f>
        <v>35940</v>
      </c>
      <c r="N61" s="32" t="s">
        <v>1000</v>
      </c>
      <c r="O61" s="31">
        <f>34770</f>
        <v>34770</v>
      </c>
      <c r="P61" s="32" t="s">
        <v>1000</v>
      </c>
      <c r="Q61" s="31">
        <f>34770</f>
        <v>34770</v>
      </c>
      <c r="R61" s="32" t="s">
        <v>1000</v>
      </c>
      <c r="S61" s="33">
        <f>34770</f>
        <v>34770</v>
      </c>
      <c r="T61" s="30">
        <f>3</f>
        <v>3</v>
      </c>
      <c r="U61" s="30" t="str">
        <f>"－"</f>
        <v>－</v>
      </c>
      <c r="V61" s="30">
        <f>105520</f>
        <v>105520</v>
      </c>
      <c r="W61" s="30" t="str">
        <f>"－"</f>
        <v>－</v>
      </c>
      <c r="X61" s="34">
        <f>1</f>
        <v>1</v>
      </c>
    </row>
    <row r="62" spans="1:24" ht="13.5" customHeight="1" x14ac:dyDescent="0.15">
      <c r="A62" s="25" t="s">
        <v>1139</v>
      </c>
      <c r="B62" s="25" t="s">
        <v>252</v>
      </c>
      <c r="C62" s="25" t="s">
        <v>253</v>
      </c>
      <c r="D62" s="25" t="s">
        <v>254</v>
      </c>
      <c r="E62" s="26" t="s">
        <v>45</v>
      </c>
      <c r="F62" s="27" t="s">
        <v>45</v>
      </c>
      <c r="G62" s="28" t="s">
        <v>45</v>
      </c>
      <c r="H62" s="29"/>
      <c r="I62" s="29" t="s">
        <v>46</v>
      </c>
      <c r="J62" s="30">
        <v>1</v>
      </c>
      <c r="K62" s="31">
        <f>22455</f>
        <v>22455</v>
      </c>
      <c r="L62" s="32" t="s">
        <v>995</v>
      </c>
      <c r="M62" s="31">
        <f>22795</f>
        <v>22795</v>
      </c>
      <c r="N62" s="32" t="s">
        <v>791</v>
      </c>
      <c r="O62" s="31">
        <f>22085</f>
        <v>22085</v>
      </c>
      <c r="P62" s="32" t="s">
        <v>785</v>
      </c>
      <c r="Q62" s="31">
        <f>22765</f>
        <v>22765</v>
      </c>
      <c r="R62" s="32" t="s">
        <v>791</v>
      </c>
      <c r="S62" s="33">
        <f>22470.45</f>
        <v>22470.45</v>
      </c>
      <c r="T62" s="30">
        <f>212866</f>
        <v>212866</v>
      </c>
      <c r="U62" s="30">
        <f>105400</f>
        <v>105400</v>
      </c>
      <c r="V62" s="30">
        <f>4786362081</f>
        <v>4786362081</v>
      </c>
      <c r="W62" s="30">
        <f>2371113086</f>
        <v>2371113086</v>
      </c>
      <c r="X62" s="34">
        <f>22</f>
        <v>22</v>
      </c>
    </row>
    <row r="63" spans="1:24" ht="13.5" customHeight="1" x14ac:dyDescent="0.15">
      <c r="A63" s="25" t="s">
        <v>1139</v>
      </c>
      <c r="B63" s="25" t="s">
        <v>256</v>
      </c>
      <c r="C63" s="25" t="s">
        <v>257</v>
      </c>
      <c r="D63" s="25" t="s">
        <v>258</v>
      </c>
      <c r="E63" s="26" t="s">
        <v>45</v>
      </c>
      <c r="F63" s="27" t="s">
        <v>45</v>
      </c>
      <c r="G63" s="28" t="s">
        <v>45</v>
      </c>
      <c r="H63" s="29"/>
      <c r="I63" s="29" t="s">
        <v>46</v>
      </c>
      <c r="J63" s="30">
        <v>1</v>
      </c>
      <c r="K63" s="31">
        <f>14085</f>
        <v>14085</v>
      </c>
      <c r="L63" s="32" t="s">
        <v>995</v>
      </c>
      <c r="M63" s="31">
        <f>14085</f>
        <v>14085</v>
      </c>
      <c r="N63" s="32" t="s">
        <v>995</v>
      </c>
      <c r="O63" s="31">
        <f>13595</f>
        <v>13595</v>
      </c>
      <c r="P63" s="32" t="s">
        <v>1001</v>
      </c>
      <c r="Q63" s="31">
        <f>13835</f>
        <v>13835</v>
      </c>
      <c r="R63" s="32" t="s">
        <v>791</v>
      </c>
      <c r="S63" s="33">
        <f>13821.14</f>
        <v>13821.14</v>
      </c>
      <c r="T63" s="30">
        <f>1215678</f>
        <v>1215678</v>
      </c>
      <c r="U63" s="30">
        <f>1052724</f>
        <v>1052724</v>
      </c>
      <c r="V63" s="30">
        <f>16830604753</f>
        <v>16830604753</v>
      </c>
      <c r="W63" s="30">
        <f>14578586918</f>
        <v>14578586918</v>
      </c>
      <c r="X63" s="34">
        <f>22</f>
        <v>22</v>
      </c>
    </row>
    <row r="64" spans="1:24" ht="13.5" customHeight="1" x14ac:dyDescent="0.15">
      <c r="A64" s="25" t="s">
        <v>1139</v>
      </c>
      <c r="B64" s="25" t="s">
        <v>259</v>
      </c>
      <c r="C64" s="25" t="s">
        <v>1057</v>
      </c>
      <c r="D64" s="25" t="s">
        <v>1058</v>
      </c>
      <c r="E64" s="26" t="s">
        <v>45</v>
      </c>
      <c r="F64" s="27" t="s">
        <v>45</v>
      </c>
      <c r="G64" s="28" t="s">
        <v>45</v>
      </c>
      <c r="H64" s="29"/>
      <c r="I64" s="29" t="s">
        <v>46</v>
      </c>
      <c r="J64" s="30">
        <v>10</v>
      </c>
      <c r="K64" s="31">
        <f>1946</f>
        <v>1946</v>
      </c>
      <c r="L64" s="32" t="s">
        <v>995</v>
      </c>
      <c r="M64" s="31">
        <f>1984</f>
        <v>1984</v>
      </c>
      <c r="N64" s="32" t="s">
        <v>791</v>
      </c>
      <c r="O64" s="31">
        <f>1911</f>
        <v>1911</v>
      </c>
      <c r="P64" s="32" t="s">
        <v>788</v>
      </c>
      <c r="Q64" s="31">
        <f>1969.5</f>
        <v>1969.5</v>
      </c>
      <c r="R64" s="32" t="s">
        <v>791</v>
      </c>
      <c r="S64" s="33">
        <f>1938.8</f>
        <v>1938.8</v>
      </c>
      <c r="T64" s="30">
        <f>1025510</f>
        <v>1025510</v>
      </c>
      <c r="U64" s="30">
        <f>114940</f>
        <v>114940</v>
      </c>
      <c r="V64" s="30">
        <f>1989531066</f>
        <v>1989531066</v>
      </c>
      <c r="W64" s="30">
        <f>221119331</f>
        <v>221119331</v>
      </c>
      <c r="X64" s="34">
        <f>22</f>
        <v>22</v>
      </c>
    </row>
    <row r="65" spans="1:24" ht="13.5" customHeight="1" x14ac:dyDescent="0.15">
      <c r="A65" s="25" t="s">
        <v>1139</v>
      </c>
      <c r="B65" s="25" t="s">
        <v>262</v>
      </c>
      <c r="C65" s="25" t="s">
        <v>263</v>
      </c>
      <c r="D65" s="25" t="s">
        <v>264</v>
      </c>
      <c r="E65" s="26" t="s">
        <v>45</v>
      </c>
      <c r="F65" s="27" t="s">
        <v>45</v>
      </c>
      <c r="G65" s="28" t="s">
        <v>45</v>
      </c>
      <c r="H65" s="29"/>
      <c r="I65" s="29" t="s">
        <v>46</v>
      </c>
      <c r="J65" s="30">
        <v>1</v>
      </c>
      <c r="K65" s="31">
        <f>54500</f>
        <v>54500</v>
      </c>
      <c r="L65" s="32" t="s">
        <v>995</v>
      </c>
      <c r="M65" s="31">
        <f>55780</f>
        <v>55780</v>
      </c>
      <c r="N65" s="32" t="s">
        <v>791</v>
      </c>
      <c r="O65" s="31">
        <f>52700</f>
        <v>52700</v>
      </c>
      <c r="P65" s="32" t="s">
        <v>792</v>
      </c>
      <c r="Q65" s="31">
        <f>55670</f>
        <v>55670</v>
      </c>
      <c r="R65" s="32" t="s">
        <v>791</v>
      </c>
      <c r="S65" s="33">
        <f>54262.27</f>
        <v>54262.27</v>
      </c>
      <c r="T65" s="30">
        <f>522025</f>
        <v>522025</v>
      </c>
      <c r="U65" s="30">
        <f>44517</f>
        <v>44517</v>
      </c>
      <c r="V65" s="30">
        <f>28288307635</f>
        <v>28288307635</v>
      </c>
      <c r="W65" s="30">
        <f>2415643535</f>
        <v>2415643535</v>
      </c>
      <c r="X65" s="34">
        <f>22</f>
        <v>22</v>
      </c>
    </row>
    <row r="66" spans="1:24" ht="13.5" customHeight="1" x14ac:dyDescent="0.15">
      <c r="A66" s="25" t="s">
        <v>1139</v>
      </c>
      <c r="B66" s="25" t="s">
        <v>265</v>
      </c>
      <c r="C66" s="25" t="s">
        <v>266</v>
      </c>
      <c r="D66" s="25" t="s">
        <v>267</v>
      </c>
      <c r="E66" s="26" t="s">
        <v>45</v>
      </c>
      <c r="F66" s="27" t="s">
        <v>45</v>
      </c>
      <c r="G66" s="28" t="s">
        <v>45</v>
      </c>
      <c r="H66" s="29"/>
      <c r="I66" s="29" t="s">
        <v>46</v>
      </c>
      <c r="J66" s="30">
        <v>10</v>
      </c>
      <c r="K66" s="31">
        <f>7653</f>
        <v>7653</v>
      </c>
      <c r="L66" s="32" t="s">
        <v>785</v>
      </c>
      <c r="M66" s="31">
        <f>7796</f>
        <v>7796</v>
      </c>
      <c r="N66" s="32" t="s">
        <v>1005</v>
      </c>
      <c r="O66" s="31">
        <f>7653</f>
        <v>7653</v>
      </c>
      <c r="P66" s="32" t="s">
        <v>785</v>
      </c>
      <c r="Q66" s="31">
        <f>7771</f>
        <v>7771</v>
      </c>
      <c r="R66" s="32" t="s">
        <v>789</v>
      </c>
      <c r="S66" s="33">
        <f>7740</f>
        <v>7740</v>
      </c>
      <c r="T66" s="30">
        <f>40</f>
        <v>40</v>
      </c>
      <c r="U66" s="30" t="str">
        <f>"－"</f>
        <v>－</v>
      </c>
      <c r="V66" s="30">
        <f>309890</f>
        <v>309890</v>
      </c>
      <c r="W66" s="30" t="str">
        <f>"－"</f>
        <v>－</v>
      </c>
      <c r="X66" s="34">
        <f>3</f>
        <v>3</v>
      </c>
    </row>
    <row r="67" spans="1:24" ht="13.5" customHeight="1" x14ac:dyDescent="0.15">
      <c r="A67" s="25" t="s">
        <v>1139</v>
      </c>
      <c r="B67" s="25" t="s">
        <v>268</v>
      </c>
      <c r="C67" s="25" t="s">
        <v>269</v>
      </c>
      <c r="D67" s="25" t="s">
        <v>270</v>
      </c>
      <c r="E67" s="26" t="s">
        <v>45</v>
      </c>
      <c r="F67" s="27" t="s">
        <v>45</v>
      </c>
      <c r="G67" s="28" t="s">
        <v>45</v>
      </c>
      <c r="H67" s="29"/>
      <c r="I67" s="29" t="s">
        <v>46</v>
      </c>
      <c r="J67" s="30">
        <v>1</v>
      </c>
      <c r="K67" s="31">
        <f>17270</f>
        <v>17270</v>
      </c>
      <c r="L67" s="32" t="s">
        <v>995</v>
      </c>
      <c r="M67" s="31">
        <f>17300</f>
        <v>17300</v>
      </c>
      <c r="N67" s="32" t="s">
        <v>999</v>
      </c>
      <c r="O67" s="31">
        <f>16670</f>
        <v>16670</v>
      </c>
      <c r="P67" s="32" t="s">
        <v>876</v>
      </c>
      <c r="Q67" s="31">
        <f>17135</f>
        <v>17135</v>
      </c>
      <c r="R67" s="32" t="s">
        <v>791</v>
      </c>
      <c r="S67" s="33">
        <f>17035.45</f>
        <v>17035.45</v>
      </c>
      <c r="T67" s="30">
        <f>1709</f>
        <v>1709</v>
      </c>
      <c r="U67" s="30">
        <f>1000</f>
        <v>1000</v>
      </c>
      <c r="V67" s="30">
        <f>28658300</f>
        <v>28658300</v>
      </c>
      <c r="W67" s="30">
        <f>16522990</f>
        <v>16522990</v>
      </c>
      <c r="X67" s="34">
        <f>22</f>
        <v>22</v>
      </c>
    </row>
    <row r="68" spans="1:24" ht="13.5" customHeight="1" x14ac:dyDescent="0.15">
      <c r="A68" s="25" t="s">
        <v>1139</v>
      </c>
      <c r="B68" s="25" t="s">
        <v>271</v>
      </c>
      <c r="C68" s="25" t="s">
        <v>272</v>
      </c>
      <c r="D68" s="25" t="s">
        <v>273</v>
      </c>
      <c r="E68" s="26" t="s">
        <v>45</v>
      </c>
      <c r="F68" s="27" t="s">
        <v>45</v>
      </c>
      <c r="G68" s="28" t="s">
        <v>45</v>
      </c>
      <c r="H68" s="29"/>
      <c r="I68" s="29" t="s">
        <v>46</v>
      </c>
      <c r="J68" s="30">
        <v>1</v>
      </c>
      <c r="K68" s="31">
        <f>16950</f>
        <v>16950</v>
      </c>
      <c r="L68" s="32" t="s">
        <v>995</v>
      </c>
      <c r="M68" s="31">
        <f>16950</f>
        <v>16950</v>
      </c>
      <c r="N68" s="32" t="s">
        <v>995</v>
      </c>
      <c r="O68" s="31">
        <f>16025</f>
        <v>16025</v>
      </c>
      <c r="P68" s="32" t="s">
        <v>788</v>
      </c>
      <c r="Q68" s="31">
        <f>16890</f>
        <v>16890</v>
      </c>
      <c r="R68" s="32" t="s">
        <v>791</v>
      </c>
      <c r="S68" s="33">
        <f>16522.27</f>
        <v>16522.27</v>
      </c>
      <c r="T68" s="30">
        <f>4620</f>
        <v>4620</v>
      </c>
      <c r="U68" s="30" t="str">
        <f>"－"</f>
        <v>－</v>
      </c>
      <c r="V68" s="30">
        <f>76122570</f>
        <v>76122570</v>
      </c>
      <c r="W68" s="30" t="str">
        <f>"－"</f>
        <v>－</v>
      </c>
      <c r="X68" s="34">
        <f>22</f>
        <v>22</v>
      </c>
    </row>
    <row r="69" spans="1:24" ht="13.5" customHeight="1" x14ac:dyDescent="0.15">
      <c r="A69" s="25" t="s">
        <v>1139</v>
      </c>
      <c r="B69" s="25" t="s">
        <v>274</v>
      </c>
      <c r="C69" s="25" t="s">
        <v>275</v>
      </c>
      <c r="D69" s="25" t="s">
        <v>276</v>
      </c>
      <c r="E69" s="26" t="s">
        <v>45</v>
      </c>
      <c r="F69" s="27" t="s">
        <v>45</v>
      </c>
      <c r="G69" s="28" t="s">
        <v>45</v>
      </c>
      <c r="H69" s="29"/>
      <c r="I69" s="29" t="s">
        <v>46</v>
      </c>
      <c r="J69" s="30">
        <v>1</v>
      </c>
      <c r="K69" s="31">
        <f>25755</f>
        <v>25755</v>
      </c>
      <c r="L69" s="32" t="s">
        <v>995</v>
      </c>
      <c r="M69" s="31">
        <f>26330</f>
        <v>26330</v>
      </c>
      <c r="N69" s="32" t="s">
        <v>791</v>
      </c>
      <c r="O69" s="31">
        <f>24900</f>
        <v>24900</v>
      </c>
      <c r="P69" s="32" t="s">
        <v>785</v>
      </c>
      <c r="Q69" s="31">
        <f>26255</f>
        <v>26255</v>
      </c>
      <c r="R69" s="32" t="s">
        <v>791</v>
      </c>
      <c r="S69" s="33">
        <f>25516.36</f>
        <v>25516.36</v>
      </c>
      <c r="T69" s="30">
        <f>26902</f>
        <v>26902</v>
      </c>
      <c r="U69" s="30">
        <f>5000</f>
        <v>5000</v>
      </c>
      <c r="V69" s="30">
        <f>690755410</f>
        <v>690755410</v>
      </c>
      <c r="W69" s="30">
        <f>129403250</f>
        <v>129403250</v>
      </c>
      <c r="X69" s="34">
        <f>22</f>
        <v>22</v>
      </c>
    </row>
    <row r="70" spans="1:24" ht="13.5" customHeight="1" x14ac:dyDescent="0.15">
      <c r="A70" s="25" t="s">
        <v>1139</v>
      </c>
      <c r="B70" s="25" t="s">
        <v>277</v>
      </c>
      <c r="C70" s="25" t="s">
        <v>278</v>
      </c>
      <c r="D70" s="25" t="s">
        <v>279</v>
      </c>
      <c r="E70" s="26" t="s">
        <v>45</v>
      </c>
      <c r="F70" s="27" t="s">
        <v>45</v>
      </c>
      <c r="G70" s="28" t="s">
        <v>45</v>
      </c>
      <c r="H70" s="29"/>
      <c r="I70" s="29" t="s">
        <v>46</v>
      </c>
      <c r="J70" s="30">
        <v>10</v>
      </c>
      <c r="K70" s="31">
        <f>10560</f>
        <v>10560</v>
      </c>
      <c r="L70" s="32" t="s">
        <v>995</v>
      </c>
      <c r="M70" s="31">
        <f>10685</f>
        <v>10685</v>
      </c>
      <c r="N70" s="32" t="s">
        <v>999</v>
      </c>
      <c r="O70" s="31">
        <f>10155</f>
        <v>10155</v>
      </c>
      <c r="P70" s="32" t="s">
        <v>998</v>
      </c>
      <c r="Q70" s="31">
        <f>10395</f>
        <v>10395</v>
      </c>
      <c r="R70" s="32" t="s">
        <v>791</v>
      </c>
      <c r="S70" s="33">
        <f>10399.32</f>
        <v>10399.32</v>
      </c>
      <c r="T70" s="30">
        <f>9670</f>
        <v>9670</v>
      </c>
      <c r="U70" s="30">
        <f>20</f>
        <v>20</v>
      </c>
      <c r="V70" s="30">
        <f>100424350</f>
        <v>100424350</v>
      </c>
      <c r="W70" s="30">
        <f>207750</f>
        <v>207750</v>
      </c>
      <c r="X70" s="34">
        <f>22</f>
        <v>22</v>
      </c>
    </row>
    <row r="71" spans="1:24" ht="13.5" customHeight="1" x14ac:dyDescent="0.15">
      <c r="A71" s="25" t="s">
        <v>1139</v>
      </c>
      <c r="B71" s="25" t="s">
        <v>280</v>
      </c>
      <c r="C71" s="25" t="s">
        <v>281</v>
      </c>
      <c r="D71" s="25" t="s">
        <v>282</v>
      </c>
      <c r="E71" s="26" t="s">
        <v>45</v>
      </c>
      <c r="F71" s="27" t="s">
        <v>45</v>
      </c>
      <c r="G71" s="28" t="s">
        <v>45</v>
      </c>
      <c r="H71" s="29"/>
      <c r="I71" s="29" t="s">
        <v>46</v>
      </c>
      <c r="J71" s="30">
        <v>1</v>
      </c>
      <c r="K71" s="31">
        <f>1935</f>
        <v>1935</v>
      </c>
      <c r="L71" s="32" t="s">
        <v>995</v>
      </c>
      <c r="M71" s="31">
        <f>1938</f>
        <v>1938</v>
      </c>
      <c r="N71" s="32" t="s">
        <v>995</v>
      </c>
      <c r="O71" s="31">
        <f>1848</f>
        <v>1848</v>
      </c>
      <c r="P71" s="32" t="s">
        <v>1001</v>
      </c>
      <c r="Q71" s="31">
        <f>1899</f>
        <v>1899</v>
      </c>
      <c r="R71" s="32" t="s">
        <v>791</v>
      </c>
      <c r="S71" s="33">
        <f>1889</f>
        <v>1889</v>
      </c>
      <c r="T71" s="30">
        <f>1539617</f>
        <v>1539617</v>
      </c>
      <c r="U71" s="30">
        <f>937484</f>
        <v>937484</v>
      </c>
      <c r="V71" s="30">
        <f>2909513071</f>
        <v>2909513071</v>
      </c>
      <c r="W71" s="30">
        <f>1770825952</f>
        <v>1770825952</v>
      </c>
      <c r="X71" s="34">
        <f>22</f>
        <v>22</v>
      </c>
    </row>
    <row r="72" spans="1:24" ht="13.5" customHeight="1" x14ac:dyDescent="0.15">
      <c r="A72" s="25" t="s">
        <v>1139</v>
      </c>
      <c r="B72" s="25" t="s">
        <v>283</v>
      </c>
      <c r="C72" s="25" t="s">
        <v>284</v>
      </c>
      <c r="D72" s="25" t="s">
        <v>285</v>
      </c>
      <c r="E72" s="26" t="s">
        <v>45</v>
      </c>
      <c r="F72" s="27" t="s">
        <v>45</v>
      </c>
      <c r="G72" s="28" t="s">
        <v>45</v>
      </c>
      <c r="H72" s="29"/>
      <c r="I72" s="29" t="s">
        <v>46</v>
      </c>
      <c r="J72" s="30">
        <v>1</v>
      </c>
      <c r="K72" s="31">
        <f>1900</f>
        <v>1900</v>
      </c>
      <c r="L72" s="32" t="s">
        <v>995</v>
      </c>
      <c r="M72" s="31">
        <f>1905</f>
        <v>1905</v>
      </c>
      <c r="N72" s="32" t="s">
        <v>995</v>
      </c>
      <c r="O72" s="31">
        <f>1865</f>
        <v>1865</v>
      </c>
      <c r="P72" s="32" t="s">
        <v>998</v>
      </c>
      <c r="Q72" s="31">
        <f>1892</f>
        <v>1892</v>
      </c>
      <c r="R72" s="32" t="s">
        <v>791</v>
      </c>
      <c r="S72" s="33">
        <f>1886.36</f>
        <v>1886.36</v>
      </c>
      <c r="T72" s="30">
        <f>560446</f>
        <v>560446</v>
      </c>
      <c r="U72" s="30" t="str">
        <f>"－"</f>
        <v>－</v>
      </c>
      <c r="V72" s="30">
        <f>1055641822</f>
        <v>1055641822</v>
      </c>
      <c r="W72" s="30" t="str">
        <f>"－"</f>
        <v>－</v>
      </c>
      <c r="X72" s="34">
        <f>22</f>
        <v>22</v>
      </c>
    </row>
    <row r="73" spans="1:24" ht="13.5" customHeight="1" x14ac:dyDescent="0.15">
      <c r="A73" s="25" t="s">
        <v>1139</v>
      </c>
      <c r="B73" s="25" t="s">
        <v>286</v>
      </c>
      <c r="C73" s="25" t="s">
        <v>287</v>
      </c>
      <c r="D73" s="25" t="s">
        <v>288</v>
      </c>
      <c r="E73" s="26" t="s">
        <v>45</v>
      </c>
      <c r="F73" s="27" t="s">
        <v>45</v>
      </c>
      <c r="G73" s="28" t="s">
        <v>45</v>
      </c>
      <c r="H73" s="29"/>
      <c r="I73" s="29" t="s">
        <v>46</v>
      </c>
      <c r="J73" s="30">
        <v>1</v>
      </c>
      <c r="K73" s="31">
        <f>18090</f>
        <v>18090</v>
      </c>
      <c r="L73" s="32" t="s">
        <v>995</v>
      </c>
      <c r="M73" s="31">
        <f>18160</f>
        <v>18160</v>
      </c>
      <c r="N73" s="32" t="s">
        <v>995</v>
      </c>
      <c r="O73" s="31">
        <f>17250</f>
        <v>17250</v>
      </c>
      <c r="P73" s="32" t="s">
        <v>788</v>
      </c>
      <c r="Q73" s="31">
        <f>18075</f>
        <v>18075</v>
      </c>
      <c r="R73" s="32" t="s">
        <v>791</v>
      </c>
      <c r="S73" s="33">
        <f>17702.05</f>
        <v>17702.05</v>
      </c>
      <c r="T73" s="30">
        <f>2559</f>
        <v>2559</v>
      </c>
      <c r="U73" s="30">
        <f>2</f>
        <v>2</v>
      </c>
      <c r="V73" s="30">
        <f>45151175</f>
        <v>45151175</v>
      </c>
      <c r="W73" s="30">
        <f>35410</f>
        <v>35410</v>
      </c>
      <c r="X73" s="34">
        <f>22</f>
        <v>22</v>
      </c>
    </row>
    <row r="74" spans="1:24" ht="13.5" customHeight="1" x14ac:dyDescent="0.15">
      <c r="A74" s="25" t="s">
        <v>1139</v>
      </c>
      <c r="B74" s="25" t="s">
        <v>289</v>
      </c>
      <c r="C74" s="25" t="s">
        <v>290</v>
      </c>
      <c r="D74" s="25" t="s">
        <v>291</v>
      </c>
      <c r="E74" s="26" t="s">
        <v>45</v>
      </c>
      <c r="F74" s="27" t="s">
        <v>45</v>
      </c>
      <c r="G74" s="28" t="s">
        <v>45</v>
      </c>
      <c r="H74" s="29"/>
      <c r="I74" s="29" t="s">
        <v>46</v>
      </c>
      <c r="J74" s="30">
        <v>1</v>
      </c>
      <c r="K74" s="31">
        <f>9035</f>
        <v>9035</v>
      </c>
      <c r="L74" s="32" t="s">
        <v>995</v>
      </c>
      <c r="M74" s="31">
        <f>9380</f>
        <v>9380</v>
      </c>
      <c r="N74" s="32" t="s">
        <v>893</v>
      </c>
      <c r="O74" s="31">
        <f>9000</f>
        <v>9000</v>
      </c>
      <c r="P74" s="32" t="s">
        <v>999</v>
      </c>
      <c r="Q74" s="31">
        <f>9254</f>
        <v>9254</v>
      </c>
      <c r="R74" s="32" t="s">
        <v>791</v>
      </c>
      <c r="S74" s="33">
        <f>9136.27</f>
        <v>9136.27</v>
      </c>
      <c r="T74" s="30">
        <f>1596</f>
        <v>1596</v>
      </c>
      <c r="U74" s="30" t="str">
        <f>"－"</f>
        <v>－</v>
      </c>
      <c r="V74" s="30">
        <f>14589226</f>
        <v>14589226</v>
      </c>
      <c r="W74" s="30" t="str">
        <f>"－"</f>
        <v>－</v>
      </c>
      <c r="X74" s="34">
        <f>22</f>
        <v>22</v>
      </c>
    </row>
    <row r="75" spans="1:24" ht="13.5" customHeight="1" x14ac:dyDescent="0.15">
      <c r="A75" s="25" t="s">
        <v>1139</v>
      </c>
      <c r="B75" s="25" t="s">
        <v>292</v>
      </c>
      <c r="C75" s="25" t="s">
        <v>293</v>
      </c>
      <c r="D75" s="25" t="s">
        <v>294</v>
      </c>
      <c r="E75" s="26" t="s">
        <v>45</v>
      </c>
      <c r="F75" s="27" t="s">
        <v>45</v>
      </c>
      <c r="G75" s="28" t="s">
        <v>45</v>
      </c>
      <c r="H75" s="29"/>
      <c r="I75" s="29" t="s">
        <v>46</v>
      </c>
      <c r="J75" s="30">
        <v>1</v>
      </c>
      <c r="K75" s="31">
        <f>8498</f>
        <v>8498</v>
      </c>
      <c r="L75" s="32" t="s">
        <v>995</v>
      </c>
      <c r="M75" s="31">
        <f>8659</f>
        <v>8659</v>
      </c>
      <c r="N75" s="32" t="s">
        <v>791</v>
      </c>
      <c r="O75" s="31">
        <f>8375</f>
        <v>8375</v>
      </c>
      <c r="P75" s="32" t="s">
        <v>998</v>
      </c>
      <c r="Q75" s="31">
        <f>8635</f>
        <v>8635</v>
      </c>
      <c r="R75" s="32" t="s">
        <v>791</v>
      </c>
      <c r="S75" s="33">
        <f>8465.86</f>
        <v>8465.86</v>
      </c>
      <c r="T75" s="30">
        <f>1814593</f>
        <v>1814593</v>
      </c>
      <c r="U75" s="30">
        <f>88208</f>
        <v>88208</v>
      </c>
      <c r="V75" s="30">
        <f>15387214834</f>
        <v>15387214834</v>
      </c>
      <c r="W75" s="30">
        <f>744460954</f>
        <v>744460954</v>
      </c>
      <c r="X75" s="34">
        <f>22</f>
        <v>22</v>
      </c>
    </row>
    <row r="76" spans="1:24" ht="13.5" customHeight="1" x14ac:dyDescent="0.15">
      <c r="A76" s="25" t="s">
        <v>1139</v>
      </c>
      <c r="B76" s="25" t="s">
        <v>295</v>
      </c>
      <c r="C76" s="25" t="s">
        <v>296</v>
      </c>
      <c r="D76" s="25" t="s">
        <v>297</v>
      </c>
      <c r="E76" s="26" t="s">
        <v>45</v>
      </c>
      <c r="F76" s="27" t="s">
        <v>45</v>
      </c>
      <c r="G76" s="28" t="s">
        <v>45</v>
      </c>
      <c r="H76" s="29"/>
      <c r="I76" s="29" t="s">
        <v>46</v>
      </c>
      <c r="J76" s="30">
        <v>1</v>
      </c>
      <c r="K76" s="31">
        <f>4015</f>
        <v>4015</v>
      </c>
      <c r="L76" s="32" t="s">
        <v>995</v>
      </c>
      <c r="M76" s="31">
        <f>4210</f>
        <v>4210</v>
      </c>
      <c r="N76" s="32" t="s">
        <v>893</v>
      </c>
      <c r="O76" s="31">
        <f>3845</f>
        <v>3845</v>
      </c>
      <c r="P76" s="32" t="s">
        <v>875</v>
      </c>
      <c r="Q76" s="31">
        <f>4170</f>
        <v>4170</v>
      </c>
      <c r="R76" s="32" t="s">
        <v>791</v>
      </c>
      <c r="S76" s="33">
        <f>3976.82</f>
        <v>3976.82</v>
      </c>
      <c r="T76" s="30">
        <f>664943</f>
        <v>664943</v>
      </c>
      <c r="U76" s="30">
        <f>114</f>
        <v>114</v>
      </c>
      <c r="V76" s="30">
        <f>2643596955</f>
        <v>2643596955</v>
      </c>
      <c r="W76" s="30">
        <f>446635</f>
        <v>446635</v>
      </c>
      <c r="X76" s="34">
        <f>22</f>
        <v>22</v>
      </c>
    </row>
    <row r="77" spans="1:24" ht="13.5" customHeight="1" x14ac:dyDescent="0.15">
      <c r="A77" s="25" t="s">
        <v>1139</v>
      </c>
      <c r="B77" s="25" t="s">
        <v>298</v>
      </c>
      <c r="C77" s="25" t="s">
        <v>299</v>
      </c>
      <c r="D77" s="25" t="s">
        <v>300</v>
      </c>
      <c r="E77" s="26" t="s">
        <v>45</v>
      </c>
      <c r="F77" s="27" t="s">
        <v>45</v>
      </c>
      <c r="G77" s="28" t="s">
        <v>45</v>
      </c>
      <c r="H77" s="29"/>
      <c r="I77" s="29" t="s">
        <v>46</v>
      </c>
      <c r="J77" s="30">
        <v>1</v>
      </c>
      <c r="K77" s="31">
        <f>10060</f>
        <v>10060</v>
      </c>
      <c r="L77" s="32" t="s">
        <v>995</v>
      </c>
      <c r="M77" s="31">
        <f>10350</f>
        <v>10350</v>
      </c>
      <c r="N77" s="32" t="s">
        <v>893</v>
      </c>
      <c r="O77" s="31">
        <f>9484</f>
        <v>9484</v>
      </c>
      <c r="P77" s="32" t="s">
        <v>1004</v>
      </c>
      <c r="Q77" s="31">
        <f>10240</f>
        <v>10240</v>
      </c>
      <c r="R77" s="32" t="s">
        <v>791</v>
      </c>
      <c r="S77" s="33">
        <f>9846.18</f>
        <v>9846.18</v>
      </c>
      <c r="T77" s="30">
        <f>101498</f>
        <v>101498</v>
      </c>
      <c r="U77" s="30" t="str">
        <f>"－"</f>
        <v>－</v>
      </c>
      <c r="V77" s="30">
        <f>1002226740</f>
        <v>1002226740</v>
      </c>
      <c r="W77" s="30" t="str">
        <f>"－"</f>
        <v>－</v>
      </c>
      <c r="X77" s="34">
        <f>22</f>
        <v>22</v>
      </c>
    </row>
    <row r="78" spans="1:24" ht="13.5" customHeight="1" x14ac:dyDescent="0.15">
      <c r="A78" s="25" t="s">
        <v>1139</v>
      </c>
      <c r="B78" s="25" t="s">
        <v>301</v>
      </c>
      <c r="C78" s="25" t="s">
        <v>302</v>
      </c>
      <c r="D78" s="25" t="s">
        <v>303</v>
      </c>
      <c r="E78" s="26" t="s">
        <v>45</v>
      </c>
      <c r="F78" s="27" t="s">
        <v>45</v>
      </c>
      <c r="G78" s="28" t="s">
        <v>45</v>
      </c>
      <c r="H78" s="29"/>
      <c r="I78" s="29" t="s">
        <v>46</v>
      </c>
      <c r="J78" s="30">
        <v>1</v>
      </c>
      <c r="K78" s="31">
        <f>53520</f>
        <v>53520</v>
      </c>
      <c r="L78" s="32" t="s">
        <v>995</v>
      </c>
      <c r="M78" s="31">
        <f>55190</f>
        <v>55190</v>
      </c>
      <c r="N78" s="32" t="s">
        <v>1005</v>
      </c>
      <c r="O78" s="31">
        <f>51700</f>
        <v>51700</v>
      </c>
      <c r="P78" s="32" t="s">
        <v>788</v>
      </c>
      <c r="Q78" s="31">
        <f>53130</f>
        <v>53130</v>
      </c>
      <c r="R78" s="32" t="s">
        <v>791</v>
      </c>
      <c r="S78" s="33">
        <f>52995.91</f>
        <v>52995.91</v>
      </c>
      <c r="T78" s="30">
        <f>5087</f>
        <v>5087</v>
      </c>
      <c r="U78" s="30">
        <f>4</f>
        <v>4</v>
      </c>
      <c r="V78" s="30">
        <f>271979340</f>
        <v>271979340</v>
      </c>
      <c r="W78" s="30">
        <f>199710</f>
        <v>199710</v>
      </c>
      <c r="X78" s="34">
        <f>22</f>
        <v>22</v>
      </c>
    </row>
    <row r="79" spans="1:24" ht="13.5" customHeight="1" x14ac:dyDescent="0.15">
      <c r="A79" s="25" t="s">
        <v>1139</v>
      </c>
      <c r="B79" s="25" t="s">
        <v>304</v>
      </c>
      <c r="C79" s="25" t="s">
        <v>895</v>
      </c>
      <c r="D79" s="25" t="s">
        <v>896</v>
      </c>
      <c r="E79" s="26" t="s">
        <v>45</v>
      </c>
      <c r="F79" s="27" t="s">
        <v>45</v>
      </c>
      <c r="G79" s="28" t="s">
        <v>45</v>
      </c>
      <c r="H79" s="29"/>
      <c r="I79" s="29" t="s">
        <v>46</v>
      </c>
      <c r="J79" s="30">
        <v>1</v>
      </c>
      <c r="K79" s="31">
        <f>22795</f>
        <v>22795</v>
      </c>
      <c r="L79" s="32" t="s">
        <v>995</v>
      </c>
      <c r="M79" s="31">
        <f>22915</f>
        <v>22915</v>
      </c>
      <c r="N79" s="32" t="s">
        <v>995</v>
      </c>
      <c r="O79" s="31">
        <f>21560</f>
        <v>21560</v>
      </c>
      <c r="P79" s="32" t="s">
        <v>998</v>
      </c>
      <c r="Q79" s="31">
        <f>22835</f>
        <v>22835</v>
      </c>
      <c r="R79" s="32" t="s">
        <v>791</v>
      </c>
      <c r="S79" s="33">
        <f>22245.91</f>
        <v>22245.91</v>
      </c>
      <c r="T79" s="30">
        <f>1257440</f>
        <v>1257440</v>
      </c>
      <c r="U79" s="30">
        <f>30028</f>
        <v>30028</v>
      </c>
      <c r="V79" s="30">
        <f>28058702230</f>
        <v>28058702230</v>
      </c>
      <c r="W79" s="30">
        <f>667952520</f>
        <v>667952520</v>
      </c>
      <c r="X79" s="34">
        <f>22</f>
        <v>22</v>
      </c>
    </row>
    <row r="80" spans="1:24" ht="13.5" customHeight="1" x14ac:dyDescent="0.15">
      <c r="A80" s="25" t="s">
        <v>1139</v>
      </c>
      <c r="B80" s="25" t="s">
        <v>305</v>
      </c>
      <c r="C80" s="25" t="s">
        <v>897</v>
      </c>
      <c r="D80" s="25" t="s">
        <v>898</v>
      </c>
      <c r="E80" s="26" t="s">
        <v>45</v>
      </c>
      <c r="F80" s="27" t="s">
        <v>45</v>
      </c>
      <c r="G80" s="28" t="s">
        <v>45</v>
      </c>
      <c r="H80" s="29"/>
      <c r="I80" s="29" t="s">
        <v>46</v>
      </c>
      <c r="J80" s="30">
        <v>1</v>
      </c>
      <c r="K80" s="31">
        <f>49770</f>
        <v>49770</v>
      </c>
      <c r="L80" s="32" t="s">
        <v>995</v>
      </c>
      <c r="M80" s="31">
        <f>50180</f>
        <v>50180</v>
      </c>
      <c r="N80" s="32" t="s">
        <v>999</v>
      </c>
      <c r="O80" s="31">
        <f>48320</f>
        <v>48320</v>
      </c>
      <c r="P80" s="32" t="s">
        <v>789</v>
      </c>
      <c r="Q80" s="31">
        <f>49580</f>
        <v>49580</v>
      </c>
      <c r="R80" s="32" t="s">
        <v>791</v>
      </c>
      <c r="S80" s="33">
        <f>49244.09</f>
        <v>49244.09</v>
      </c>
      <c r="T80" s="30">
        <f>87001</f>
        <v>87001</v>
      </c>
      <c r="U80" s="30">
        <f>2500</f>
        <v>2500</v>
      </c>
      <c r="V80" s="30">
        <f>4298096910</f>
        <v>4298096910</v>
      </c>
      <c r="W80" s="30">
        <f>123625250</f>
        <v>123625250</v>
      </c>
      <c r="X80" s="34">
        <f>22</f>
        <v>22</v>
      </c>
    </row>
    <row r="81" spans="1:24" ht="13.5" customHeight="1" x14ac:dyDescent="0.15">
      <c r="A81" s="25" t="s">
        <v>1139</v>
      </c>
      <c r="B81" s="25" t="s">
        <v>306</v>
      </c>
      <c r="C81" s="25" t="s">
        <v>307</v>
      </c>
      <c r="D81" s="25" t="s">
        <v>308</v>
      </c>
      <c r="E81" s="26" t="s">
        <v>45</v>
      </c>
      <c r="F81" s="27" t="s">
        <v>45</v>
      </c>
      <c r="G81" s="28" t="s">
        <v>45</v>
      </c>
      <c r="H81" s="29"/>
      <c r="I81" s="29" t="s">
        <v>46</v>
      </c>
      <c r="J81" s="30">
        <v>10</v>
      </c>
      <c r="K81" s="31">
        <f>7130</f>
        <v>7130</v>
      </c>
      <c r="L81" s="32" t="s">
        <v>995</v>
      </c>
      <c r="M81" s="31">
        <f>7216</f>
        <v>7216</v>
      </c>
      <c r="N81" s="32" t="s">
        <v>791</v>
      </c>
      <c r="O81" s="31">
        <f>6923</f>
        <v>6923</v>
      </c>
      <c r="P81" s="32" t="s">
        <v>998</v>
      </c>
      <c r="Q81" s="31">
        <f>7210</f>
        <v>7210</v>
      </c>
      <c r="R81" s="32" t="s">
        <v>791</v>
      </c>
      <c r="S81" s="33">
        <f>7061.45</f>
        <v>7061.45</v>
      </c>
      <c r="T81" s="30">
        <f>1478280</f>
        <v>1478280</v>
      </c>
      <c r="U81" s="30">
        <f>30510</f>
        <v>30510</v>
      </c>
      <c r="V81" s="30">
        <f>10428790409</f>
        <v>10428790409</v>
      </c>
      <c r="W81" s="30">
        <f>218296409</f>
        <v>218296409</v>
      </c>
      <c r="X81" s="34">
        <f>22</f>
        <v>22</v>
      </c>
    </row>
    <row r="82" spans="1:24" ht="13.5" customHeight="1" x14ac:dyDescent="0.15">
      <c r="A82" s="25" t="s">
        <v>1139</v>
      </c>
      <c r="B82" s="25" t="s">
        <v>309</v>
      </c>
      <c r="C82" s="25" t="s">
        <v>310</v>
      </c>
      <c r="D82" s="25" t="s">
        <v>311</v>
      </c>
      <c r="E82" s="26" t="s">
        <v>45</v>
      </c>
      <c r="F82" s="27" t="s">
        <v>45</v>
      </c>
      <c r="G82" s="28" t="s">
        <v>45</v>
      </c>
      <c r="H82" s="29"/>
      <c r="I82" s="29" t="s">
        <v>46</v>
      </c>
      <c r="J82" s="30">
        <v>10</v>
      </c>
      <c r="K82" s="31">
        <f>4498</f>
        <v>4498</v>
      </c>
      <c r="L82" s="32" t="s">
        <v>995</v>
      </c>
      <c r="M82" s="31">
        <f>4545</f>
        <v>4545</v>
      </c>
      <c r="N82" s="32" t="s">
        <v>791</v>
      </c>
      <c r="O82" s="31">
        <f>4365</f>
        <v>4365</v>
      </c>
      <c r="P82" s="32" t="s">
        <v>998</v>
      </c>
      <c r="Q82" s="31">
        <f>4540</f>
        <v>4540</v>
      </c>
      <c r="R82" s="32" t="s">
        <v>791</v>
      </c>
      <c r="S82" s="33">
        <f>4447.68</f>
        <v>4447.68</v>
      </c>
      <c r="T82" s="30">
        <f>94040</f>
        <v>94040</v>
      </c>
      <c r="U82" s="30" t="str">
        <f>"－"</f>
        <v>－</v>
      </c>
      <c r="V82" s="30">
        <f>418786410</f>
        <v>418786410</v>
      </c>
      <c r="W82" s="30" t="str">
        <f>"－"</f>
        <v>－</v>
      </c>
      <c r="X82" s="34">
        <f>22</f>
        <v>22</v>
      </c>
    </row>
    <row r="83" spans="1:24" ht="13.5" customHeight="1" x14ac:dyDescent="0.15">
      <c r="A83" s="25" t="s">
        <v>1139</v>
      </c>
      <c r="B83" s="25" t="s">
        <v>312</v>
      </c>
      <c r="C83" s="25" t="s">
        <v>970</v>
      </c>
      <c r="D83" s="25" t="s">
        <v>971</v>
      </c>
      <c r="E83" s="26" t="s">
        <v>45</v>
      </c>
      <c r="F83" s="27" t="s">
        <v>45</v>
      </c>
      <c r="G83" s="28" t="s">
        <v>45</v>
      </c>
      <c r="H83" s="29"/>
      <c r="I83" s="29" t="s">
        <v>46</v>
      </c>
      <c r="J83" s="30">
        <v>10</v>
      </c>
      <c r="K83" s="31">
        <f>4533</f>
        <v>4533</v>
      </c>
      <c r="L83" s="32" t="s">
        <v>995</v>
      </c>
      <c r="M83" s="31">
        <f>4589</f>
        <v>4589</v>
      </c>
      <c r="N83" s="32" t="s">
        <v>876</v>
      </c>
      <c r="O83" s="31">
        <f>4429</f>
        <v>4429</v>
      </c>
      <c r="P83" s="32" t="s">
        <v>998</v>
      </c>
      <c r="Q83" s="31">
        <f>4580</f>
        <v>4580</v>
      </c>
      <c r="R83" s="32" t="s">
        <v>791</v>
      </c>
      <c r="S83" s="33">
        <f>4512.8</f>
        <v>4512.8</v>
      </c>
      <c r="T83" s="30">
        <f>2880</f>
        <v>2880</v>
      </c>
      <c r="U83" s="30" t="str">
        <f>"－"</f>
        <v>－</v>
      </c>
      <c r="V83" s="30">
        <f>12977780</f>
        <v>12977780</v>
      </c>
      <c r="W83" s="30" t="str">
        <f>"－"</f>
        <v>－</v>
      </c>
      <c r="X83" s="34">
        <f>20</f>
        <v>20</v>
      </c>
    </row>
    <row r="84" spans="1:24" ht="13.5" customHeight="1" x14ac:dyDescent="0.15">
      <c r="A84" s="25" t="s">
        <v>1139</v>
      </c>
      <c r="B84" s="25" t="s">
        <v>313</v>
      </c>
      <c r="C84" s="25" t="s">
        <v>314</v>
      </c>
      <c r="D84" s="25" t="s">
        <v>315</v>
      </c>
      <c r="E84" s="26" t="s">
        <v>45</v>
      </c>
      <c r="F84" s="27" t="s">
        <v>45</v>
      </c>
      <c r="G84" s="28" t="s">
        <v>45</v>
      </c>
      <c r="H84" s="29" t="s">
        <v>316</v>
      </c>
      <c r="I84" s="29" t="s">
        <v>46</v>
      </c>
      <c r="J84" s="30">
        <v>1</v>
      </c>
      <c r="K84" s="31">
        <f>641</f>
        <v>641</v>
      </c>
      <c r="L84" s="32" t="s">
        <v>995</v>
      </c>
      <c r="M84" s="31">
        <f>763</f>
        <v>763</v>
      </c>
      <c r="N84" s="32" t="s">
        <v>788</v>
      </c>
      <c r="O84" s="31">
        <f>631</f>
        <v>631</v>
      </c>
      <c r="P84" s="32" t="s">
        <v>791</v>
      </c>
      <c r="Q84" s="31">
        <f>633</f>
        <v>633</v>
      </c>
      <c r="R84" s="32" t="s">
        <v>791</v>
      </c>
      <c r="S84" s="33">
        <f>697.82</f>
        <v>697.82</v>
      </c>
      <c r="T84" s="30">
        <f>40134122</f>
        <v>40134122</v>
      </c>
      <c r="U84" s="30">
        <f>330</f>
        <v>330</v>
      </c>
      <c r="V84" s="30">
        <f>28274846562</f>
        <v>28274846562</v>
      </c>
      <c r="W84" s="30">
        <f>219287</f>
        <v>219287</v>
      </c>
      <c r="X84" s="34">
        <f>22</f>
        <v>22</v>
      </c>
    </row>
    <row r="85" spans="1:24" ht="13.5" customHeight="1" x14ac:dyDescent="0.15">
      <c r="A85" s="25" t="s">
        <v>1139</v>
      </c>
      <c r="B85" s="25" t="s">
        <v>317</v>
      </c>
      <c r="C85" s="25" t="s">
        <v>318</v>
      </c>
      <c r="D85" s="25" t="s">
        <v>319</v>
      </c>
      <c r="E85" s="26" t="s">
        <v>45</v>
      </c>
      <c r="F85" s="27" t="s">
        <v>45</v>
      </c>
      <c r="G85" s="28" t="s">
        <v>45</v>
      </c>
      <c r="H85" s="29"/>
      <c r="I85" s="29" t="s">
        <v>46</v>
      </c>
      <c r="J85" s="30">
        <v>10</v>
      </c>
      <c r="K85" s="31">
        <f>3786</f>
        <v>3786</v>
      </c>
      <c r="L85" s="32" t="s">
        <v>995</v>
      </c>
      <c r="M85" s="31">
        <f>3810</f>
        <v>3810</v>
      </c>
      <c r="N85" s="32" t="s">
        <v>995</v>
      </c>
      <c r="O85" s="31">
        <f>3652</f>
        <v>3652</v>
      </c>
      <c r="P85" s="32" t="s">
        <v>998</v>
      </c>
      <c r="Q85" s="31">
        <f>3794</f>
        <v>3794</v>
      </c>
      <c r="R85" s="32" t="s">
        <v>791</v>
      </c>
      <c r="S85" s="33">
        <f>3727.86</f>
        <v>3727.86</v>
      </c>
      <c r="T85" s="30">
        <f>115700</f>
        <v>115700</v>
      </c>
      <c r="U85" s="30" t="str">
        <f>"－"</f>
        <v>－</v>
      </c>
      <c r="V85" s="30">
        <f>431731900</f>
        <v>431731900</v>
      </c>
      <c r="W85" s="30" t="str">
        <f>"－"</f>
        <v>－</v>
      </c>
      <c r="X85" s="34">
        <f>22</f>
        <v>22</v>
      </c>
    </row>
    <row r="86" spans="1:24" ht="13.5" customHeight="1" x14ac:dyDescent="0.15">
      <c r="A86" s="25" t="s">
        <v>1139</v>
      </c>
      <c r="B86" s="25" t="s">
        <v>320</v>
      </c>
      <c r="C86" s="25" t="s">
        <v>1118</v>
      </c>
      <c r="D86" s="25" t="s">
        <v>322</v>
      </c>
      <c r="E86" s="26" t="s">
        <v>45</v>
      </c>
      <c r="F86" s="27" t="s">
        <v>45</v>
      </c>
      <c r="G86" s="28" t="s">
        <v>45</v>
      </c>
      <c r="H86" s="29"/>
      <c r="I86" s="29" t="s">
        <v>46</v>
      </c>
      <c r="J86" s="30">
        <v>10</v>
      </c>
      <c r="K86" s="31">
        <f>1757.5</f>
        <v>1757.5</v>
      </c>
      <c r="L86" s="32" t="s">
        <v>995</v>
      </c>
      <c r="M86" s="31">
        <f>1794.5</f>
        <v>1794.5</v>
      </c>
      <c r="N86" s="32" t="s">
        <v>893</v>
      </c>
      <c r="O86" s="31">
        <f>1661</f>
        <v>1661</v>
      </c>
      <c r="P86" s="32" t="s">
        <v>792</v>
      </c>
      <c r="Q86" s="31">
        <f>1769.5</f>
        <v>1769.5</v>
      </c>
      <c r="R86" s="32" t="s">
        <v>791</v>
      </c>
      <c r="S86" s="33">
        <f>1722.91</f>
        <v>1722.91</v>
      </c>
      <c r="T86" s="30">
        <f>143900</f>
        <v>143900</v>
      </c>
      <c r="U86" s="30" t="str">
        <f>"－"</f>
        <v>－</v>
      </c>
      <c r="V86" s="30">
        <f>248883190</f>
        <v>248883190</v>
      </c>
      <c r="W86" s="30" t="str">
        <f>"－"</f>
        <v>－</v>
      </c>
      <c r="X86" s="34">
        <f>22</f>
        <v>22</v>
      </c>
    </row>
    <row r="87" spans="1:24" ht="13.5" customHeight="1" x14ac:dyDescent="0.15">
      <c r="A87" s="25" t="s">
        <v>1139</v>
      </c>
      <c r="B87" s="25" t="s">
        <v>323</v>
      </c>
      <c r="C87" s="25" t="s">
        <v>324</v>
      </c>
      <c r="D87" s="25" t="s">
        <v>325</v>
      </c>
      <c r="E87" s="26" t="s">
        <v>45</v>
      </c>
      <c r="F87" s="27" t="s">
        <v>45</v>
      </c>
      <c r="G87" s="28" t="s">
        <v>45</v>
      </c>
      <c r="H87" s="29"/>
      <c r="I87" s="29" t="s">
        <v>46</v>
      </c>
      <c r="J87" s="30">
        <v>1</v>
      </c>
      <c r="K87" s="31">
        <f>65160</f>
        <v>65160</v>
      </c>
      <c r="L87" s="32" t="s">
        <v>995</v>
      </c>
      <c r="M87" s="31">
        <f>65990</f>
        <v>65990</v>
      </c>
      <c r="N87" s="32" t="s">
        <v>791</v>
      </c>
      <c r="O87" s="31">
        <f>63300</f>
        <v>63300</v>
      </c>
      <c r="P87" s="32" t="s">
        <v>998</v>
      </c>
      <c r="Q87" s="31">
        <f>65900</f>
        <v>65900</v>
      </c>
      <c r="R87" s="32" t="s">
        <v>791</v>
      </c>
      <c r="S87" s="33">
        <f>64545.91</f>
        <v>64545.91</v>
      </c>
      <c r="T87" s="30">
        <f>140368</f>
        <v>140368</v>
      </c>
      <c r="U87" s="30" t="str">
        <f>"－"</f>
        <v>－</v>
      </c>
      <c r="V87" s="30">
        <f>9078023580</f>
        <v>9078023580</v>
      </c>
      <c r="W87" s="30" t="str">
        <f>"－"</f>
        <v>－</v>
      </c>
      <c r="X87" s="34">
        <f>22</f>
        <v>22</v>
      </c>
    </row>
    <row r="88" spans="1:24" ht="13.5" customHeight="1" x14ac:dyDescent="0.15">
      <c r="A88" s="25" t="s">
        <v>1139</v>
      </c>
      <c r="B88" s="25" t="s">
        <v>326</v>
      </c>
      <c r="C88" s="25" t="s">
        <v>327</v>
      </c>
      <c r="D88" s="25" t="s">
        <v>328</v>
      </c>
      <c r="E88" s="26" t="s">
        <v>45</v>
      </c>
      <c r="F88" s="27" t="s">
        <v>45</v>
      </c>
      <c r="G88" s="28" t="s">
        <v>45</v>
      </c>
      <c r="H88" s="29"/>
      <c r="I88" s="29" t="s">
        <v>46</v>
      </c>
      <c r="J88" s="30">
        <v>1</v>
      </c>
      <c r="K88" s="31">
        <f>3445</f>
        <v>3445</v>
      </c>
      <c r="L88" s="32" t="s">
        <v>995</v>
      </c>
      <c r="M88" s="31">
        <f>3495</f>
        <v>3495</v>
      </c>
      <c r="N88" s="32" t="s">
        <v>995</v>
      </c>
      <c r="O88" s="31">
        <f>3375</f>
        <v>3375</v>
      </c>
      <c r="P88" s="32" t="s">
        <v>1004</v>
      </c>
      <c r="Q88" s="31">
        <f>3450</f>
        <v>3450</v>
      </c>
      <c r="R88" s="32" t="s">
        <v>791</v>
      </c>
      <c r="S88" s="33">
        <f>3427.27</f>
        <v>3427.27</v>
      </c>
      <c r="T88" s="30">
        <f>8138</f>
        <v>8138</v>
      </c>
      <c r="U88" s="30" t="str">
        <f>"－"</f>
        <v>－</v>
      </c>
      <c r="V88" s="30">
        <f>27822215</f>
        <v>27822215</v>
      </c>
      <c r="W88" s="30" t="str">
        <f>"－"</f>
        <v>－</v>
      </c>
      <c r="X88" s="34">
        <f>22</f>
        <v>22</v>
      </c>
    </row>
    <row r="89" spans="1:24" ht="13.5" customHeight="1" x14ac:dyDescent="0.15">
      <c r="A89" s="25" t="s">
        <v>1139</v>
      </c>
      <c r="B89" s="25" t="s">
        <v>329</v>
      </c>
      <c r="C89" s="25" t="s">
        <v>330</v>
      </c>
      <c r="D89" s="25" t="s">
        <v>331</v>
      </c>
      <c r="E89" s="26" t="s">
        <v>45</v>
      </c>
      <c r="F89" s="27" t="s">
        <v>45</v>
      </c>
      <c r="G89" s="28" t="s">
        <v>45</v>
      </c>
      <c r="H89" s="29"/>
      <c r="I89" s="29" t="s">
        <v>46</v>
      </c>
      <c r="J89" s="30">
        <v>1</v>
      </c>
      <c r="K89" s="31">
        <f>4550</f>
        <v>4550</v>
      </c>
      <c r="L89" s="32" t="s">
        <v>995</v>
      </c>
      <c r="M89" s="31">
        <f>4695</f>
        <v>4695</v>
      </c>
      <c r="N89" s="32" t="s">
        <v>1000</v>
      </c>
      <c r="O89" s="31">
        <f>4320</f>
        <v>4320</v>
      </c>
      <c r="P89" s="32" t="s">
        <v>894</v>
      </c>
      <c r="Q89" s="31">
        <f>4400</f>
        <v>4400</v>
      </c>
      <c r="R89" s="32" t="s">
        <v>791</v>
      </c>
      <c r="S89" s="33">
        <f>4470.68</f>
        <v>4470.68</v>
      </c>
      <c r="T89" s="30">
        <f>8564</f>
        <v>8564</v>
      </c>
      <c r="U89" s="30" t="str">
        <f>"－"</f>
        <v>－</v>
      </c>
      <c r="V89" s="30">
        <f>38520210</f>
        <v>38520210</v>
      </c>
      <c r="W89" s="30" t="str">
        <f>"－"</f>
        <v>－</v>
      </c>
      <c r="X89" s="34">
        <f>22</f>
        <v>22</v>
      </c>
    </row>
    <row r="90" spans="1:24" ht="13.5" customHeight="1" x14ac:dyDescent="0.15">
      <c r="A90" s="25" t="s">
        <v>1139</v>
      </c>
      <c r="B90" s="25" t="s">
        <v>332</v>
      </c>
      <c r="C90" s="25" t="s">
        <v>972</v>
      </c>
      <c r="D90" s="25" t="s">
        <v>973</v>
      </c>
      <c r="E90" s="26" t="s">
        <v>45</v>
      </c>
      <c r="F90" s="27" t="s">
        <v>45</v>
      </c>
      <c r="G90" s="28" t="s">
        <v>45</v>
      </c>
      <c r="H90" s="29"/>
      <c r="I90" s="29" t="s">
        <v>46</v>
      </c>
      <c r="J90" s="30">
        <v>1</v>
      </c>
      <c r="K90" s="31">
        <f>2657</f>
        <v>2657</v>
      </c>
      <c r="L90" s="32" t="s">
        <v>995</v>
      </c>
      <c r="M90" s="31">
        <f>2749</f>
        <v>2749</v>
      </c>
      <c r="N90" s="32" t="s">
        <v>893</v>
      </c>
      <c r="O90" s="31">
        <f>2455</f>
        <v>2455</v>
      </c>
      <c r="P90" s="32" t="s">
        <v>788</v>
      </c>
      <c r="Q90" s="31">
        <f>2694</f>
        <v>2694</v>
      </c>
      <c r="R90" s="32" t="s">
        <v>791</v>
      </c>
      <c r="S90" s="33">
        <f>2598.05</f>
        <v>2598.0500000000002</v>
      </c>
      <c r="T90" s="30">
        <f>1094759</f>
        <v>1094759</v>
      </c>
      <c r="U90" s="30">
        <f>40000</f>
        <v>40000</v>
      </c>
      <c r="V90" s="30">
        <f>2839707915</f>
        <v>2839707915</v>
      </c>
      <c r="W90" s="30">
        <f>103990000</f>
        <v>103990000</v>
      </c>
      <c r="X90" s="34">
        <f>22</f>
        <v>22</v>
      </c>
    </row>
    <row r="91" spans="1:24" ht="13.5" customHeight="1" x14ac:dyDescent="0.15">
      <c r="A91" s="25" t="s">
        <v>1139</v>
      </c>
      <c r="B91" s="25" t="s">
        <v>333</v>
      </c>
      <c r="C91" s="25" t="s">
        <v>334</v>
      </c>
      <c r="D91" s="25" t="s">
        <v>335</v>
      </c>
      <c r="E91" s="26" t="s">
        <v>45</v>
      </c>
      <c r="F91" s="27" t="s">
        <v>45</v>
      </c>
      <c r="G91" s="28" t="s">
        <v>45</v>
      </c>
      <c r="H91" s="29"/>
      <c r="I91" s="29" t="s">
        <v>46</v>
      </c>
      <c r="J91" s="30">
        <v>1</v>
      </c>
      <c r="K91" s="31">
        <f>47750</f>
        <v>47750</v>
      </c>
      <c r="L91" s="32" t="s">
        <v>995</v>
      </c>
      <c r="M91" s="31">
        <f>47890</f>
        <v>47890</v>
      </c>
      <c r="N91" s="32" t="s">
        <v>995</v>
      </c>
      <c r="O91" s="31">
        <f>46730</f>
        <v>46730</v>
      </c>
      <c r="P91" s="32" t="s">
        <v>1003</v>
      </c>
      <c r="Q91" s="31">
        <f>47780</f>
        <v>47780</v>
      </c>
      <c r="R91" s="32" t="s">
        <v>791</v>
      </c>
      <c r="S91" s="33">
        <f>47392.73</f>
        <v>47392.73</v>
      </c>
      <c r="T91" s="30">
        <f>10120</f>
        <v>10120</v>
      </c>
      <c r="U91" s="30">
        <f>2483</f>
        <v>2483</v>
      </c>
      <c r="V91" s="30">
        <f>480369024</f>
        <v>480369024</v>
      </c>
      <c r="W91" s="30">
        <f>118562044</f>
        <v>118562044</v>
      </c>
      <c r="X91" s="34">
        <f>22</f>
        <v>22</v>
      </c>
    </row>
    <row r="92" spans="1:24" ht="13.5" customHeight="1" x14ac:dyDescent="0.15">
      <c r="A92" s="25" t="s">
        <v>1139</v>
      </c>
      <c r="B92" s="25" t="s">
        <v>336</v>
      </c>
      <c r="C92" s="25" t="s">
        <v>337</v>
      </c>
      <c r="D92" s="25" t="s">
        <v>338</v>
      </c>
      <c r="E92" s="26" t="s">
        <v>45</v>
      </c>
      <c r="F92" s="27" t="s">
        <v>45</v>
      </c>
      <c r="G92" s="28" t="s">
        <v>45</v>
      </c>
      <c r="H92" s="29"/>
      <c r="I92" s="29" t="s">
        <v>46</v>
      </c>
      <c r="J92" s="30">
        <v>10</v>
      </c>
      <c r="K92" s="31">
        <f>35020</f>
        <v>35020</v>
      </c>
      <c r="L92" s="32" t="s">
        <v>995</v>
      </c>
      <c r="M92" s="31">
        <f>35350</f>
        <v>35350</v>
      </c>
      <c r="N92" s="32" t="s">
        <v>995</v>
      </c>
      <c r="O92" s="31">
        <f>32010</f>
        <v>32010</v>
      </c>
      <c r="P92" s="32" t="s">
        <v>792</v>
      </c>
      <c r="Q92" s="31">
        <f>35060</f>
        <v>35060</v>
      </c>
      <c r="R92" s="32" t="s">
        <v>791</v>
      </c>
      <c r="S92" s="33">
        <f>33684.09</f>
        <v>33684.089999999997</v>
      </c>
      <c r="T92" s="30">
        <f>2234690</f>
        <v>2234690</v>
      </c>
      <c r="U92" s="30">
        <f>200</f>
        <v>200</v>
      </c>
      <c r="V92" s="30">
        <f>75581250500</f>
        <v>75581250500</v>
      </c>
      <c r="W92" s="30">
        <f>6210000</f>
        <v>6210000</v>
      </c>
      <c r="X92" s="34">
        <f>22</f>
        <v>22</v>
      </c>
    </row>
    <row r="93" spans="1:24" ht="13.5" customHeight="1" x14ac:dyDescent="0.15">
      <c r="A93" s="25" t="s">
        <v>1139</v>
      </c>
      <c r="B93" s="25" t="s">
        <v>339</v>
      </c>
      <c r="C93" s="25" t="s">
        <v>340</v>
      </c>
      <c r="D93" s="25" t="s">
        <v>341</v>
      </c>
      <c r="E93" s="26" t="s">
        <v>45</v>
      </c>
      <c r="F93" s="27" t="s">
        <v>45</v>
      </c>
      <c r="G93" s="28" t="s">
        <v>45</v>
      </c>
      <c r="H93" s="29"/>
      <c r="I93" s="29" t="s">
        <v>46</v>
      </c>
      <c r="J93" s="30">
        <v>10</v>
      </c>
      <c r="K93" s="31">
        <f>1633.5</f>
        <v>1633.5</v>
      </c>
      <c r="L93" s="32" t="s">
        <v>995</v>
      </c>
      <c r="M93" s="31">
        <f>1703.5</f>
        <v>1703.5</v>
      </c>
      <c r="N93" s="32" t="s">
        <v>792</v>
      </c>
      <c r="O93" s="31">
        <f>1623</f>
        <v>1623</v>
      </c>
      <c r="P93" s="32" t="s">
        <v>791</v>
      </c>
      <c r="Q93" s="31">
        <f>1628.5</f>
        <v>1628.5</v>
      </c>
      <c r="R93" s="32" t="s">
        <v>791</v>
      </c>
      <c r="S93" s="33">
        <f>1662.39</f>
        <v>1662.39</v>
      </c>
      <c r="T93" s="30">
        <f>440190</f>
        <v>440190</v>
      </c>
      <c r="U93" s="30" t="str">
        <f>"－"</f>
        <v>－</v>
      </c>
      <c r="V93" s="30">
        <f>734294130</f>
        <v>734294130</v>
      </c>
      <c r="W93" s="30" t="str">
        <f>"－"</f>
        <v>－</v>
      </c>
      <c r="X93" s="34">
        <f>22</f>
        <v>22</v>
      </c>
    </row>
    <row r="94" spans="1:24" ht="13.5" customHeight="1" x14ac:dyDescent="0.15">
      <c r="A94" s="25" t="s">
        <v>1139</v>
      </c>
      <c r="B94" s="25" t="s">
        <v>342</v>
      </c>
      <c r="C94" s="25" t="s">
        <v>343</v>
      </c>
      <c r="D94" s="25" t="s">
        <v>344</v>
      </c>
      <c r="E94" s="26" t="s">
        <v>45</v>
      </c>
      <c r="F94" s="27" t="s">
        <v>45</v>
      </c>
      <c r="G94" s="28" t="s">
        <v>45</v>
      </c>
      <c r="H94" s="29"/>
      <c r="I94" s="29" t="s">
        <v>46</v>
      </c>
      <c r="J94" s="30">
        <v>1</v>
      </c>
      <c r="K94" s="31">
        <f>20830</f>
        <v>20830</v>
      </c>
      <c r="L94" s="32" t="s">
        <v>995</v>
      </c>
      <c r="M94" s="31">
        <f>21110</f>
        <v>21110</v>
      </c>
      <c r="N94" s="32" t="s">
        <v>995</v>
      </c>
      <c r="O94" s="31">
        <f>18355</f>
        <v>18355</v>
      </c>
      <c r="P94" s="32" t="s">
        <v>788</v>
      </c>
      <c r="Q94" s="31">
        <f>19980</f>
        <v>19980</v>
      </c>
      <c r="R94" s="32" t="s">
        <v>791</v>
      </c>
      <c r="S94" s="33">
        <f>19452.95</f>
        <v>19452.95</v>
      </c>
      <c r="T94" s="30">
        <f>110593577</f>
        <v>110593577</v>
      </c>
      <c r="U94" s="30">
        <f>54215</f>
        <v>54215</v>
      </c>
      <c r="V94" s="30">
        <f>2155155665629</f>
        <v>2155155665629</v>
      </c>
      <c r="W94" s="30">
        <f>1053911464</f>
        <v>1053911464</v>
      </c>
      <c r="X94" s="34">
        <f>22</f>
        <v>22</v>
      </c>
    </row>
    <row r="95" spans="1:24" ht="13.5" customHeight="1" x14ac:dyDescent="0.15">
      <c r="A95" s="25" t="s">
        <v>1139</v>
      </c>
      <c r="B95" s="25" t="s">
        <v>345</v>
      </c>
      <c r="C95" s="25" t="s">
        <v>346</v>
      </c>
      <c r="D95" s="25" t="s">
        <v>347</v>
      </c>
      <c r="E95" s="26" t="s">
        <v>45</v>
      </c>
      <c r="F95" s="27" t="s">
        <v>45</v>
      </c>
      <c r="G95" s="28" t="s">
        <v>45</v>
      </c>
      <c r="H95" s="29"/>
      <c r="I95" s="29" t="s">
        <v>46</v>
      </c>
      <c r="J95" s="30">
        <v>1</v>
      </c>
      <c r="K95" s="31">
        <f>767</f>
        <v>767</v>
      </c>
      <c r="L95" s="32" t="s">
        <v>995</v>
      </c>
      <c r="M95" s="31">
        <f>814</f>
        <v>814</v>
      </c>
      <c r="N95" s="32" t="s">
        <v>788</v>
      </c>
      <c r="O95" s="31">
        <f>761</f>
        <v>761</v>
      </c>
      <c r="P95" s="32" t="s">
        <v>995</v>
      </c>
      <c r="Q95" s="31">
        <f>779</f>
        <v>779</v>
      </c>
      <c r="R95" s="32" t="s">
        <v>791</v>
      </c>
      <c r="S95" s="33">
        <f>791.27</f>
        <v>791.27</v>
      </c>
      <c r="T95" s="30">
        <f>32186795</f>
        <v>32186795</v>
      </c>
      <c r="U95" s="30">
        <f>1010000</f>
        <v>1010000</v>
      </c>
      <c r="V95" s="30">
        <f>25446618847</f>
        <v>25446618847</v>
      </c>
      <c r="W95" s="30">
        <f>798322000</f>
        <v>798322000</v>
      </c>
      <c r="X95" s="34">
        <f>22</f>
        <v>22</v>
      </c>
    </row>
    <row r="96" spans="1:24" ht="13.5" customHeight="1" x14ac:dyDescent="0.15">
      <c r="A96" s="25" t="s">
        <v>1139</v>
      </c>
      <c r="B96" s="25" t="s">
        <v>348</v>
      </c>
      <c r="C96" s="25" t="s">
        <v>349</v>
      </c>
      <c r="D96" s="25" t="s">
        <v>350</v>
      </c>
      <c r="E96" s="26" t="s">
        <v>45</v>
      </c>
      <c r="F96" s="27" t="s">
        <v>45</v>
      </c>
      <c r="G96" s="28" t="s">
        <v>45</v>
      </c>
      <c r="H96" s="29"/>
      <c r="I96" s="29" t="s">
        <v>46</v>
      </c>
      <c r="J96" s="30">
        <v>10</v>
      </c>
      <c r="K96" s="31">
        <f>5221</f>
        <v>5221</v>
      </c>
      <c r="L96" s="32" t="s">
        <v>995</v>
      </c>
      <c r="M96" s="31">
        <f>5339</f>
        <v>5339</v>
      </c>
      <c r="N96" s="32" t="s">
        <v>995</v>
      </c>
      <c r="O96" s="31">
        <f>3978</f>
        <v>3978</v>
      </c>
      <c r="P96" s="32" t="s">
        <v>1001</v>
      </c>
      <c r="Q96" s="31">
        <f>4415</f>
        <v>4415</v>
      </c>
      <c r="R96" s="32" t="s">
        <v>791</v>
      </c>
      <c r="S96" s="33">
        <f>4518.59</f>
        <v>4518.59</v>
      </c>
      <c r="T96" s="30">
        <f>284680</f>
        <v>284680</v>
      </c>
      <c r="U96" s="30">
        <f>10</f>
        <v>10</v>
      </c>
      <c r="V96" s="30">
        <f>1273255390</f>
        <v>1273255390</v>
      </c>
      <c r="W96" s="30">
        <f>48700</f>
        <v>48700</v>
      </c>
      <c r="X96" s="34">
        <f>22</f>
        <v>22</v>
      </c>
    </row>
    <row r="97" spans="1:24" ht="13.5" customHeight="1" x14ac:dyDescent="0.15">
      <c r="A97" s="25" t="s">
        <v>1139</v>
      </c>
      <c r="B97" s="25" t="s">
        <v>351</v>
      </c>
      <c r="C97" s="25" t="s">
        <v>352</v>
      </c>
      <c r="D97" s="25" t="s">
        <v>353</v>
      </c>
      <c r="E97" s="26" t="s">
        <v>45</v>
      </c>
      <c r="F97" s="27" t="s">
        <v>45</v>
      </c>
      <c r="G97" s="28" t="s">
        <v>45</v>
      </c>
      <c r="H97" s="29"/>
      <c r="I97" s="29" t="s">
        <v>46</v>
      </c>
      <c r="J97" s="30">
        <v>10</v>
      </c>
      <c r="K97" s="31">
        <f>10280</f>
        <v>10280</v>
      </c>
      <c r="L97" s="32" t="s">
        <v>995</v>
      </c>
      <c r="M97" s="31">
        <f>12370</f>
        <v>12370</v>
      </c>
      <c r="N97" s="32" t="s">
        <v>998</v>
      </c>
      <c r="O97" s="31">
        <f>10235</f>
        <v>10235</v>
      </c>
      <c r="P97" s="32" t="s">
        <v>995</v>
      </c>
      <c r="Q97" s="31">
        <f>11575</f>
        <v>11575</v>
      </c>
      <c r="R97" s="32" t="s">
        <v>791</v>
      </c>
      <c r="S97" s="33">
        <f>11389.32</f>
        <v>11389.32</v>
      </c>
      <c r="T97" s="30">
        <f>107010</f>
        <v>107010</v>
      </c>
      <c r="U97" s="30" t="str">
        <f>"－"</f>
        <v>－</v>
      </c>
      <c r="V97" s="30">
        <f>1255574750</f>
        <v>1255574750</v>
      </c>
      <c r="W97" s="30" t="str">
        <f>"－"</f>
        <v>－</v>
      </c>
      <c r="X97" s="34">
        <f>22</f>
        <v>22</v>
      </c>
    </row>
    <row r="98" spans="1:24" ht="13.5" customHeight="1" x14ac:dyDescent="0.15">
      <c r="A98" s="25" t="s">
        <v>1139</v>
      </c>
      <c r="B98" s="25" t="s">
        <v>354</v>
      </c>
      <c r="C98" s="25" t="s">
        <v>355</v>
      </c>
      <c r="D98" s="25" t="s">
        <v>1119</v>
      </c>
      <c r="E98" s="26" t="s">
        <v>45</v>
      </c>
      <c r="F98" s="27" t="s">
        <v>45</v>
      </c>
      <c r="G98" s="28" t="s">
        <v>45</v>
      </c>
      <c r="H98" s="29"/>
      <c r="I98" s="29" t="s">
        <v>46</v>
      </c>
      <c r="J98" s="30">
        <v>1</v>
      </c>
      <c r="K98" s="31">
        <f>30510</f>
        <v>30510</v>
      </c>
      <c r="L98" s="32" t="s">
        <v>995</v>
      </c>
      <c r="M98" s="31">
        <f>31060</f>
        <v>31060</v>
      </c>
      <c r="N98" s="32" t="s">
        <v>791</v>
      </c>
      <c r="O98" s="31">
        <f>29395</f>
        <v>29395</v>
      </c>
      <c r="P98" s="32" t="s">
        <v>792</v>
      </c>
      <c r="Q98" s="31">
        <f>30950</f>
        <v>30950</v>
      </c>
      <c r="R98" s="32" t="s">
        <v>791</v>
      </c>
      <c r="S98" s="33">
        <f>30202.05</f>
        <v>30202.05</v>
      </c>
      <c r="T98" s="30">
        <f>115276</f>
        <v>115276</v>
      </c>
      <c r="U98" s="30">
        <f>41266</f>
        <v>41266</v>
      </c>
      <c r="V98" s="30">
        <f>3471818835</f>
        <v>3471818835</v>
      </c>
      <c r="W98" s="30">
        <f>1244438780</f>
        <v>1244438780</v>
      </c>
      <c r="X98" s="34">
        <f>22</f>
        <v>22</v>
      </c>
    </row>
    <row r="99" spans="1:24" ht="13.5" customHeight="1" x14ac:dyDescent="0.15">
      <c r="A99" s="25" t="s">
        <v>1139</v>
      </c>
      <c r="B99" s="25" t="s">
        <v>357</v>
      </c>
      <c r="C99" s="25" t="s">
        <v>358</v>
      </c>
      <c r="D99" s="25" t="s">
        <v>359</v>
      </c>
      <c r="E99" s="26" t="s">
        <v>45</v>
      </c>
      <c r="F99" s="27" t="s">
        <v>45</v>
      </c>
      <c r="G99" s="28" t="s">
        <v>45</v>
      </c>
      <c r="H99" s="29"/>
      <c r="I99" s="29" t="s">
        <v>46</v>
      </c>
      <c r="J99" s="30">
        <v>1</v>
      </c>
      <c r="K99" s="31">
        <f>2651</f>
        <v>2651</v>
      </c>
      <c r="L99" s="32" t="s">
        <v>995</v>
      </c>
      <c r="M99" s="31">
        <f>2666</f>
        <v>2666</v>
      </c>
      <c r="N99" s="32" t="s">
        <v>995</v>
      </c>
      <c r="O99" s="31">
        <f>2489</f>
        <v>2489</v>
      </c>
      <c r="P99" s="32" t="s">
        <v>788</v>
      </c>
      <c r="Q99" s="31">
        <f>2599</f>
        <v>2599</v>
      </c>
      <c r="R99" s="32" t="s">
        <v>791</v>
      </c>
      <c r="S99" s="33">
        <f>2561.91</f>
        <v>2561.91</v>
      </c>
      <c r="T99" s="30">
        <f>255638</f>
        <v>255638</v>
      </c>
      <c r="U99" s="30">
        <f>127797</f>
        <v>127797</v>
      </c>
      <c r="V99" s="30">
        <f>656482453</f>
        <v>656482453</v>
      </c>
      <c r="W99" s="30">
        <f>329818497</f>
        <v>329818497</v>
      </c>
      <c r="X99" s="34">
        <f>22</f>
        <v>22</v>
      </c>
    </row>
    <row r="100" spans="1:24" ht="13.5" customHeight="1" x14ac:dyDescent="0.15">
      <c r="A100" s="25" t="s">
        <v>1139</v>
      </c>
      <c r="B100" s="25" t="s">
        <v>360</v>
      </c>
      <c r="C100" s="25" t="s">
        <v>361</v>
      </c>
      <c r="D100" s="25" t="s">
        <v>362</v>
      </c>
      <c r="E100" s="26" t="s">
        <v>45</v>
      </c>
      <c r="F100" s="27" t="s">
        <v>45</v>
      </c>
      <c r="G100" s="28" t="s">
        <v>45</v>
      </c>
      <c r="H100" s="29"/>
      <c r="I100" s="29" t="s">
        <v>46</v>
      </c>
      <c r="J100" s="30">
        <v>10</v>
      </c>
      <c r="K100" s="31">
        <f>22270</f>
        <v>22270</v>
      </c>
      <c r="L100" s="32" t="s">
        <v>995</v>
      </c>
      <c r="M100" s="31">
        <f>22560</f>
        <v>22560</v>
      </c>
      <c r="N100" s="32" t="s">
        <v>995</v>
      </c>
      <c r="O100" s="31">
        <f>19605</f>
        <v>19605</v>
      </c>
      <c r="P100" s="32" t="s">
        <v>788</v>
      </c>
      <c r="Q100" s="31">
        <f>21370</f>
        <v>21370</v>
      </c>
      <c r="R100" s="32" t="s">
        <v>791</v>
      </c>
      <c r="S100" s="33">
        <f>20783.18</f>
        <v>20783.18</v>
      </c>
      <c r="T100" s="30">
        <f>8216890</f>
        <v>8216890</v>
      </c>
      <c r="U100" s="30">
        <f>250</f>
        <v>250</v>
      </c>
      <c r="V100" s="30">
        <f>171134280050</f>
        <v>171134280050</v>
      </c>
      <c r="W100" s="30">
        <f>5269700</f>
        <v>5269700</v>
      </c>
      <c r="X100" s="34">
        <f>22</f>
        <v>22</v>
      </c>
    </row>
    <row r="101" spans="1:24" ht="13.5" customHeight="1" x14ac:dyDescent="0.15">
      <c r="A101" s="25" t="s">
        <v>1139</v>
      </c>
      <c r="B101" s="25" t="s">
        <v>363</v>
      </c>
      <c r="C101" s="25" t="s">
        <v>364</v>
      </c>
      <c r="D101" s="25" t="s">
        <v>365</v>
      </c>
      <c r="E101" s="26" t="s">
        <v>45</v>
      </c>
      <c r="F101" s="27" t="s">
        <v>45</v>
      </c>
      <c r="G101" s="28" t="s">
        <v>45</v>
      </c>
      <c r="H101" s="29"/>
      <c r="I101" s="29" t="s">
        <v>46</v>
      </c>
      <c r="J101" s="30">
        <v>10</v>
      </c>
      <c r="K101" s="31">
        <f>2033</f>
        <v>2033</v>
      </c>
      <c r="L101" s="32" t="s">
        <v>995</v>
      </c>
      <c r="M101" s="31">
        <f>2161</f>
        <v>2161</v>
      </c>
      <c r="N101" s="32" t="s">
        <v>788</v>
      </c>
      <c r="O101" s="31">
        <f>2020.5</f>
        <v>2020.5</v>
      </c>
      <c r="P101" s="32" t="s">
        <v>995</v>
      </c>
      <c r="Q101" s="31">
        <f>2068</f>
        <v>2068</v>
      </c>
      <c r="R101" s="32" t="s">
        <v>791</v>
      </c>
      <c r="S101" s="33">
        <f>2100.93</f>
        <v>2100.9299999999998</v>
      </c>
      <c r="T101" s="30">
        <f>1720100</f>
        <v>1720100</v>
      </c>
      <c r="U101" s="30">
        <f>116000</f>
        <v>116000</v>
      </c>
      <c r="V101" s="30">
        <f>3625377195</f>
        <v>3625377195</v>
      </c>
      <c r="W101" s="30">
        <f>245264740</f>
        <v>245264740</v>
      </c>
      <c r="X101" s="34">
        <f>22</f>
        <v>22</v>
      </c>
    </row>
    <row r="102" spans="1:24" ht="13.5" customHeight="1" x14ac:dyDescent="0.15">
      <c r="A102" s="25" t="s">
        <v>1139</v>
      </c>
      <c r="B102" s="25" t="s">
        <v>369</v>
      </c>
      <c r="C102" s="25" t="s">
        <v>1059</v>
      </c>
      <c r="D102" s="25" t="s">
        <v>1060</v>
      </c>
      <c r="E102" s="26" t="s">
        <v>45</v>
      </c>
      <c r="F102" s="27" t="s">
        <v>45</v>
      </c>
      <c r="G102" s="28" t="s">
        <v>45</v>
      </c>
      <c r="H102" s="29"/>
      <c r="I102" s="29" t="s">
        <v>46</v>
      </c>
      <c r="J102" s="30">
        <v>10</v>
      </c>
      <c r="K102" s="31">
        <f>1643.5</f>
        <v>1643.5</v>
      </c>
      <c r="L102" s="32" t="s">
        <v>995</v>
      </c>
      <c r="M102" s="31">
        <f>1643.5</f>
        <v>1643.5</v>
      </c>
      <c r="N102" s="32" t="s">
        <v>995</v>
      </c>
      <c r="O102" s="31">
        <f>1574.5</f>
        <v>1574.5</v>
      </c>
      <c r="P102" s="32" t="s">
        <v>788</v>
      </c>
      <c r="Q102" s="31">
        <f>1639</f>
        <v>1639</v>
      </c>
      <c r="R102" s="32" t="s">
        <v>791</v>
      </c>
      <c r="S102" s="33">
        <f>1610.71</f>
        <v>1610.71</v>
      </c>
      <c r="T102" s="30">
        <f>27610</f>
        <v>27610</v>
      </c>
      <c r="U102" s="30">
        <f>20</f>
        <v>20</v>
      </c>
      <c r="V102" s="30">
        <f>44639910</f>
        <v>44639910</v>
      </c>
      <c r="W102" s="30">
        <f>32080</f>
        <v>32080</v>
      </c>
      <c r="X102" s="34">
        <f>21</f>
        <v>21</v>
      </c>
    </row>
    <row r="103" spans="1:24" ht="13.5" customHeight="1" x14ac:dyDescent="0.15">
      <c r="A103" s="25" t="s">
        <v>1139</v>
      </c>
      <c r="B103" s="25" t="s">
        <v>372</v>
      </c>
      <c r="C103" s="25" t="s">
        <v>373</v>
      </c>
      <c r="D103" s="25" t="s">
        <v>374</v>
      </c>
      <c r="E103" s="26" t="s">
        <v>45</v>
      </c>
      <c r="F103" s="27" t="s">
        <v>45</v>
      </c>
      <c r="G103" s="28" t="s">
        <v>45</v>
      </c>
      <c r="H103" s="29"/>
      <c r="I103" s="29" t="s">
        <v>46</v>
      </c>
      <c r="J103" s="30">
        <v>1</v>
      </c>
      <c r="K103" s="31">
        <f>1873</f>
        <v>1873</v>
      </c>
      <c r="L103" s="32" t="s">
        <v>995</v>
      </c>
      <c r="M103" s="31">
        <f>1950</f>
        <v>1950</v>
      </c>
      <c r="N103" s="32" t="s">
        <v>999</v>
      </c>
      <c r="O103" s="31">
        <f>1800</f>
        <v>1800</v>
      </c>
      <c r="P103" s="32" t="s">
        <v>788</v>
      </c>
      <c r="Q103" s="31">
        <f>1910</f>
        <v>1910</v>
      </c>
      <c r="R103" s="32" t="s">
        <v>791</v>
      </c>
      <c r="S103" s="33">
        <f>1861.32</f>
        <v>1861.32</v>
      </c>
      <c r="T103" s="30">
        <f>12592</f>
        <v>12592</v>
      </c>
      <c r="U103" s="30" t="str">
        <f>"－"</f>
        <v>－</v>
      </c>
      <c r="V103" s="30">
        <f>23506575</f>
        <v>23506575</v>
      </c>
      <c r="W103" s="30" t="str">
        <f>"－"</f>
        <v>－</v>
      </c>
      <c r="X103" s="34">
        <f>22</f>
        <v>22</v>
      </c>
    </row>
    <row r="104" spans="1:24" ht="13.5" customHeight="1" x14ac:dyDescent="0.15">
      <c r="A104" s="25" t="s">
        <v>1139</v>
      </c>
      <c r="B104" s="25" t="s">
        <v>375</v>
      </c>
      <c r="C104" s="25" t="s">
        <v>376</v>
      </c>
      <c r="D104" s="25" t="s">
        <v>377</v>
      </c>
      <c r="E104" s="26" t="s">
        <v>45</v>
      </c>
      <c r="F104" s="27" t="s">
        <v>45</v>
      </c>
      <c r="G104" s="28" t="s">
        <v>45</v>
      </c>
      <c r="H104" s="29"/>
      <c r="I104" s="29" t="s">
        <v>46</v>
      </c>
      <c r="J104" s="30">
        <v>1</v>
      </c>
      <c r="K104" s="31">
        <f>21205</f>
        <v>21205</v>
      </c>
      <c r="L104" s="32" t="s">
        <v>995</v>
      </c>
      <c r="M104" s="31">
        <f>21265</f>
        <v>21265</v>
      </c>
      <c r="N104" s="32" t="s">
        <v>995</v>
      </c>
      <c r="O104" s="31">
        <f>20225</f>
        <v>20225</v>
      </c>
      <c r="P104" s="32" t="s">
        <v>792</v>
      </c>
      <c r="Q104" s="31">
        <f>21150</f>
        <v>21150</v>
      </c>
      <c r="R104" s="32" t="s">
        <v>791</v>
      </c>
      <c r="S104" s="33">
        <f>20746.14</f>
        <v>20746.14</v>
      </c>
      <c r="T104" s="30">
        <f>33657</f>
        <v>33657</v>
      </c>
      <c r="U104" s="30">
        <f>9390</f>
        <v>9390</v>
      </c>
      <c r="V104" s="30">
        <f>699623808</f>
        <v>699623808</v>
      </c>
      <c r="W104" s="30">
        <f>197114718</f>
        <v>197114718</v>
      </c>
      <c r="X104" s="34">
        <f>22</f>
        <v>22</v>
      </c>
    </row>
    <row r="105" spans="1:24" ht="13.5" customHeight="1" x14ac:dyDescent="0.15">
      <c r="A105" s="25" t="s">
        <v>1139</v>
      </c>
      <c r="B105" s="25" t="s">
        <v>378</v>
      </c>
      <c r="C105" s="25" t="s">
        <v>379</v>
      </c>
      <c r="D105" s="25" t="s">
        <v>380</v>
      </c>
      <c r="E105" s="26" t="s">
        <v>45</v>
      </c>
      <c r="F105" s="27" t="s">
        <v>45</v>
      </c>
      <c r="G105" s="28" t="s">
        <v>45</v>
      </c>
      <c r="H105" s="29"/>
      <c r="I105" s="29" t="s">
        <v>46</v>
      </c>
      <c r="J105" s="30">
        <v>1</v>
      </c>
      <c r="K105" s="31">
        <f>1934</f>
        <v>1934</v>
      </c>
      <c r="L105" s="32" t="s">
        <v>995</v>
      </c>
      <c r="M105" s="31">
        <f>1940</f>
        <v>1940</v>
      </c>
      <c r="N105" s="32" t="s">
        <v>995</v>
      </c>
      <c r="O105" s="31">
        <f>1845</f>
        <v>1845</v>
      </c>
      <c r="P105" s="32" t="s">
        <v>792</v>
      </c>
      <c r="Q105" s="31">
        <f>1933</f>
        <v>1933</v>
      </c>
      <c r="R105" s="32" t="s">
        <v>791</v>
      </c>
      <c r="S105" s="33">
        <f>1893.41</f>
        <v>1893.41</v>
      </c>
      <c r="T105" s="30">
        <f>134598</f>
        <v>134598</v>
      </c>
      <c r="U105" s="30" t="str">
        <f>"－"</f>
        <v>－</v>
      </c>
      <c r="V105" s="30">
        <f>254734144</f>
        <v>254734144</v>
      </c>
      <c r="W105" s="30" t="str">
        <f>"－"</f>
        <v>－</v>
      </c>
      <c r="X105" s="34">
        <f>22</f>
        <v>22</v>
      </c>
    </row>
    <row r="106" spans="1:24" ht="13.5" customHeight="1" x14ac:dyDescent="0.15">
      <c r="A106" s="25" t="s">
        <v>1139</v>
      </c>
      <c r="B106" s="25" t="s">
        <v>381</v>
      </c>
      <c r="C106" s="25" t="s">
        <v>382</v>
      </c>
      <c r="D106" s="25" t="s">
        <v>383</v>
      </c>
      <c r="E106" s="26" t="s">
        <v>45</v>
      </c>
      <c r="F106" s="27" t="s">
        <v>45</v>
      </c>
      <c r="G106" s="28" t="s">
        <v>45</v>
      </c>
      <c r="H106" s="29"/>
      <c r="I106" s="29" t="s">
        <v>46</v>
      </c>
      <c r="J106" s="30">
        <v>1</v>
      </c>
      <c r="K106" s="31">
        <f>21610</f>
        <v>21610</v>
      </c>
      <c r="L106" s="32" t="s">
        <v>995</v>
      </c>
      <c r="M106" s="31">
        <f>21705</f>
        <v>21705</v>
      </c>
      <c r="N106" s="32" t="s">
        <v>995</v>
      </c>
      <c r="O106" s="31">
        <f>20630</f>
        <v>20630</v>
      </c>
      <c r="P106" s="32" t="s">
        <v>792</v>
      </c>
      <c r="Q106" s="31">
        <f>21585</f>
        <v>21585</v>
      </c>
      <c r="R106" s="32" t="s">
        <v>791</v>
      </c>
      <c r="S106" s="33">
        <f>21177.73</f>
        <v>21177.73</v>
      </c>
      <c r="T106" s="30">
        <f>30167</f>
        <v>30167</v>
      </c>
      <c r="U106" s="30">
        <f>13060</f>
        <v>13060</v>
      </c>
      <c r="V106" s="30">
        <f>644142230</f>
        <v>644142230</v>
      </c>
      <c r="W106" s="30">
        <f>279824860</f>
        <v>279824860</v>
      </c>
      <c r="X106" s="34">
        <f>22</f>
        <v>22</v>
      </c>
    </row>
    <row r="107" spans="1:24" ht="13.5" customHeight="1" x14ac:dyDescent="0.15">
      <c r="A107" s="25" t="s">
        <v>1139</v>
      </c>
      <c r="B107" s="25" t="s">
        <v>384</v>
      </c>
      <c r="C107" s="25" t="s">
        <v>385</v>
      </c>
      <c r="D107" s="25" t="s">
        <v>386</v>
      </c>
      <c r="E107" s="26" t="s">
        <v>45</v>
      </c>
      <c r="F107" s="27" t="s">
        <v>45</v>
      </c>
      <c r="G107" s="28" t="s">
        <v>45</v>
      </c>
      <c r="H107" s="29"/>
      <c r="I107" s="29" t="s">
        <v>46</v>
      </c>
      <c r="J107" s="30">
        <v>10</v>
      </c>
      <c r="K107" s="31">
        <f>1910</f>
        <v>1910</v>
      </c>
      <c r="L107" s="32" t="s">
        <v>995</v>
      </c>
      <c r="M107" s="31">
        <f>1954</f>
        <v>1954</v>
      </c>
      <c r="N107" s="32" t="s">
        <v>791</v>
      </c>
      <c r="O107" s="31">
        <f>1881</f>
        <v>1881</v>
      </c>
      <c r="P107" s="32" t="s">
        <v>788</v>
      </c>
      <c r="Q107" s="31">
        <f>1937</f>
        <v>1937</v>
      </c>
      <c r="R107" s="32" t="s">
        <v>791</v>
      </c>
      <c r="S107" s="33">
        <f>1907.66</f>
        <v>1907.66</v>
      </c>
      <c r="T107" s="30">
        <f>1401290</f>
        <v>1401290</v>
      </c>
      <c r="U107" s="30">
        <f>353000</f>
        <v>353000</v>
      </c>
      <c r="V107" s="30">
        <f>2671012933</f>
        <v>2671012933</v>
      </c>
      <c r="W107" s="30">
        <f>670972143</f>
        <v>670972143</v>
      </c>
      <c r="X107" s="34">
        <f>22</f>
        <v>22</v>
      </c>
    </row>
    <row r="108" spans="1:24" ht="13.5" customHeight="1" x14ac:dyDescent="0.15">
      <c r="A108" s="25" t="s">
        <v>1139</v>
      </c>
      <c r="B108" s="25" t="s">
        <v>387</v>
      </c>
      <c r="C108" s="25" t="s">
        <v>388</v>
      </c>
      <c r="D108" s="25" t="s">
        <v>389</v>
      </c>
      <c r="E108" s="26" t="s">
        <v>45</v>
      </c>
      <c r="F108" s="27" t="s">
        <v>45</v>
      </c>
      <c r="G108" s="28" t="s">
        <v>45</v>
      </c>
      <c r="H108" s="29"/>
      <c r="I108" s="29" t="s">
        <v>46</v>
      </c>
      <c r="J108" s="30">
        <v>10</v>
      </c>
      <c r="K108" s="31">
        <f>1936</f>
        <v>1936</v>
      </c>
      <c r="L108" s="32" t="s">
        <v>1000</v>
      </c>
      <c r="M108" s="31">
        <f>1938</f>
        <v>1938</v>
      </c>
      <c r="N108" s="32" t="s">
        <v>1005</v>
      </c>
      <c r="O108" s="31">
        <f>1913</f>
        <v>1913</v>
      </c>
      <c r="P108" s="32" t="s">
        <v>789</v>
      </c>
      <c r="Q108" s="31">
        <f>1918</f>
        <v>1918</v>
      </c>
      <c r="R108" s="32" t="s">
        <v>997</v>
      </c>
      <c r="S108" s="33">
        <f>1928</f>
        <v>1928</v>
      </c>
      <c r="T108" s="30">
        <f>60</f>
        <v>60</v>
      </c>
      <c r="U108" s="30" t="str">
        <f>"－"</f>
        <v>－</v>
      </c>
      <c r="V108" s="30">
        <f>115680</f>
        <v>115680</v>
      </c>
      <c r="W108" s="30" t="str">
        <f>"－"</f>
        <v>－</v>
      </c>
      <c r="X108" s="34">
        <f>6</f>
        <v>6</v>
      </c>
    </row>
    <row r="109" spans="1:24" ht="13.5" customHeight="1" x14ac:dyDescent="0.15">
      <c r="A109" s="25" t="s">
        <v>1139</v>
      </c>
      <c r="B109" s="25" t="s">
        <v>390</v>
      </c>
      <c r="C109" s="25" t="s">
        <v>391</v>
      </c>
      <c r="D109" s="25" t="s">
        <v>392</v>
      </c>
      <c r="E109" s="26" t="s">
        <v>45</v>
      </c>
      <c r="F109" s="27" t="s">
        <v>45</v>
      </c>
      <c r="G109" s="28" t="s">
        <v>45</v>
      </c>
      <c r="H109" s="29"/>
      <c r="I109" s="29" t="s">
        <v>46</v>
      </c>
      <c r="J109" s="30">
        <v>10</v>
      </c>
      <c r="K109" s="31">
        <f>1936.5</f>
        <v>1936.5</v>
      </c>
      <c r="L109" s="32" t="s">
        <v>995</v>
      </c>
      <c r="M109" s="31">
        <f>1973.5</f>
        <v>1973.5</v>
      </c>
      <c r="N109" s="32" t="s">
        <v>791</v>
      </c>
      <c r="O109" s="31">
        <f>1900.5</f>
        <v>1900.5</v>
      </c>
      <c r="P109" s="32" t="s">
        <v>1001</v>
      </c>
      <c r="Q109" s="31">
        <f>1956</f>
        <v>1956</v>
      </c>
      <c r="R109" s="32" t="s">
        <v>791</v>
      </c>
      <c r="S109" s="33">
        <f>1928.25</f>
        <v>1928.25</v>
      </c>
      <c r="T109" s="30">
        <f>1807110</f>
        <v>1807110</v>
      </c>
      <c r="U109" s="30">
        <f>794630</f>
        <v>794630</v>
      </c>
      <c r="V109" s="30">
        <f>3473385239</f>
        <v>3473385239</v>
      </c>
      <c r="W109" s="30">
        <f>1522005024</f>
        <v>1522005024</v>
      </c>
      <c r="X109" s="34">
        <f>22</f>
        <v>22</v>
      </c>
    </row>
    <row r="110" spans="1:24" ht="13.5" customHeight="1" x14ac:dyDescent="0.15">
      <c r="A110" s="25" t="s">
        <v>1139</v>
      </c>
      <c r="B110" s="25" t="s">
        <v>393</v>
      </c>
      <c r="C110" s="25" t="s">
        <v>1061</v>
      </c>
      <c r="D110" s="25" t="s">
        <v>1062</v>
      </c>
      <c r="E110" s="26" t="s">
        <v>45</v>
      </c>
      <c r="F110" s="27" t="s">
        <v>45</v>
      </c>
      <c r="G110" s="28" t="s">
        <v>45</v>
      </c>
      <c r="H110" s="29"/>
      <c r="I110" s="29" t="s">
        <v>46</v>
      </c>
      <c r="J110" s="30">
        <v>1</v>
      </c>
      <c r="K110" s="31">
        <f>21270</f>
        <v>21270</v>
      </c>
      <c r="L110" s="32" t="s">
        <v>999</v>
      </c>
      <c r="M110" s="31">
        <f>21435</f>
        <v>21435</v>
      </c>
      <c r="N110" s="32" t="s">
        <v>791</v>
      </c>
      <c r="O110" s="31">
        <f>20460</f>
        <v>20460</v>
      </c>
      <c r="P110" s="32" t="s">
        <v>792</v>
      </c>
      <c r="Q110" s="31">
        <f>21435</f>
        <v>21435</v>
      </c>
      <c r="R110" s="32" t="s">
        <v>791</v>
      </c>
      <c r="S110" s="33">
        <f>20861.07</f>
        <v>20861.07</v>
      </c>
      <c r="T110" s="30">
        <f>201</f>
        <v>201</v>
      </c>
      <c r="U110" s="30" t="str">
        <f>"－"</f>
        <v>－</v>
      </c>
      <c r="V110" s="30">
        <f>4194730</f>
        <v>4194730</v>
      </c>
      <c r="W110" s="30" t="str">
        <f>"－"</f>
        <v>－</v>
      </c>
      <c r="X110" s="34">
        <f>14</f>
        <v>14</v>
      </c>
    </row>
    <row r="111" spans="1:24" ht="13.5" customHeight="1" x14ac:dyDescent="0.15">
      <c r="A111" s="25" t="s">
        <v>1139</v>
      </c>
      <c r="B111" s="25" t="s">
        <v>396</v>
      </c>
      <c r="C111" s="25" t="s">
        <v>397</v>
      </c>
      <c r="D111" s="25" t="s">
        <v>398</v>
      </c>
      <c r="E111" s="26" t="s">
        <v>45</v>
      </c>
      <c r="F111" s="27" t="s">
        <v>45</v>
      </c>
      <c r="G111" s="28" t="s">
        <v>45</v>
      </c>
      <c r="H111" s="29"/>
      <c r="I111" s="29" t="s">
        <v>46</v>
      </c>
      <c r="J111" s="30">
        <v>100</v>
      </c>
      <c r="K111" s="31">
        <f>246.1</f>
        <v>246.1</v>
      </c>
      <c r="L111" s="32" t="s">
        <v>995</v>
      </c>
      <c r="M111" s="31">
        <f>250.8</f>
        <v>250.8</v>
      </c>
      <c r="N111" s="32" t="s">
        <v>791</v>
      </c>
      <c r="O111" s="31">
        <f>231.2</f>
        <v>231.2</v>
      </c>
      <c r="P111" s="32" t="s">
        <v>792</v>
      </c>
      <c r="Q111" s="31">
        <f>249.9</f>
        <v>249.9</v>
      </c>
      <c r="R111" s="32" t="s">
        <v>791</v>
      </c>
      <c r="S111" s="33">
        <f>242.01</f>
        <v>242.01</v>
      </c>
      <c r="T111" s="30">
        <f>72442500</f>
        <v>72442500</v>
      </c>
      <c r="U111" s="30">
        <f>13956900</f>
        <v>13956900</v>
      </c>
      <c r="V111" s="30">
        <f>17383560122</f>
        <v>17383560122</v>
      </c>
      <c r="W111" s="30">
        <f>3296995602</f>
        <v>3296995602</v>
      </c>
      <c r="X111" s="34">
        <f>22</f>
        <v>22</v>
      </c>
    </row>
    <row r="112" spans="1:24" ht="13.5" customHeight="1" x14ac:dyDescent="0.15">
      <c r="A112" s="25" t="s">
        <v>1139</v>
      </c>
      <c r="B112" s="25" t="s">
        <v>399</v>
      </c>
      <c r="C112" s="25" t="s">
        <v>400</v>
      </c>
      <c r="D112" s="25" t="s">
        <v>401</v>
      </c>
      <c r="E112" s="26" t="s">
        <v>45</v>
      </c>
      <c r="F112" s="27" t="s">
        <v>45</v>
      </c>
      <c r="G112" s="28" t="s">
        <v>45</v>
      </c>
      <c r="H112" s="29"/>
      <c r="I112" s="29" t="s">
        <v>46</v>
      </c>
      <c r="J112" s="30">
        <v>1</v>
      </c>
      <c r="K112" s="31">
        <f>33520</f>
        <v>33520</v>
      </c>
      <c r="L112" s="32" t="s">
        <v>995</v>
      </c>
      <c r="M112" s="31">
        <f>34830</f>
        <v>34830</v>
      </c>
      <c r="N112" s="32" t="s">
        <v>791</v>
      </c>
      <c r="O112" s="31">
        <f>32910</f>
        <v>32910</v>
      </c>
      <c r="P112" s="32" t="s">
        <v>785</v>
      </c>
      <c r="Q112" s="31">
        <f>34830</f>
        <v>34830</v>
      </c>
      <c r="R112" s="32" t="s">
        <v>791</v>
      </c>
      <c r="S112" s="33">
        <f>33862.27</f>
        <v>33862.269999999997</v>
      </c>
      <c r="T112" s="30">
        <f>1348</f>
        <v>1348</v>
      </c>
      <c r="U112" s="30" t="str">
        <f>"－"</f>
        <v>－</v>
      </c>
      <c r="V112" s="30">
        <f>45773690</f>
        <v>45773690</v>
      </c>
      <c r="W112" s="30" t="str">
        <f>"－"</f>
        <v>－</v>
      </c>
      <c r="X112" s="34">
        <f>22</f>
        <v>22</v>
      </c>
    </row>
    <row r="113" spans="1:24" ht="13.5" customHeight="1" x14ac:dyDescent="0.15">
      <c r="A113" s="25" t="s">
        <v>1139</v>
      </c>
      <c r="B113" s="25" t="s">
        <v>402</v>
      </c>
      <c r="C113" s="25" t="s">
        <v>403</v>
      </c>
      <c r="D113" s="25" t="s">
        <v>404</v>
      </c>
      <c r="E113" s="26" t="s">
        <v>45</v>
      </c>
      <c r="F113" s="27" t="s">
        <v>45</v>
      </c>
      <c r="G113" s="28" t="s">
        <v>45</v>
      </c>
      <c r="H113" s="29"/>
      <c r="I113" s="29" t="s">
        <v>46</v>
      </c>
      <c r="J113" s="30">
        <v>1</v>
      </c>
      <c r="K113" s="31">
        <f>15405</f>
        <v>15405</v>
      </c>
      <c r="L113" s="32" t="s">
        <v>995</v>
      </c>
      <c r="M113" s="31">
        <f>16600</f>
        <v>16600</v>
      </c>
      <c r="N113" s="32" t="s">
        <v>875</v>
      </c>
      <c r="O113" s="31">
        <f>15010</f>
        <v>15010</v>
      </c>
      <c r="P113" s="32" t="s">
        <v>996</v>
      </c>
      <c r="Q113" s="31">
        <f>16475</f>
        <v>16475</v>
      </c>
      <c r="R113" s="32" t="s">
        <v>791</v>
      </c>
      <c r="S113" s="33">
        <f>15893.64</f>
        <v>15893.64</v>
      </c>
      <c r="T113" s="30">
        <f>19309</f>
        <v>19309</v>
      </c>
      <c r="U113" s="30" t="str">
        <f>"－"</f>
        <v>－</v>
      </c>
      <c r="V113" s="30">
        <f>308133470</f>
        <v>308133470</v>
      </c>
      <c r="W113" s="30" t="str">
        <f>"－"</f>
        <v>－</v>
      </c>
      <c r="X113" s="34">
        <f>22</f>
        <v>22</v>
      </c>
    </row>
    <row r="114" spans="1:24" ht="13.5" customHeight="1" x14ac:dyDescent="0.15">
      <c r="A114" s="25" t="s">
        <v>1139</v>
      </c>
      <c r="B114" s="25" t="s">
        <v>405</v>
      </c>
      <c r="C114" s="25" t="s">
        <v>406</v>
      </c>
      <c r="D114" s="25" t="s">
        <v>407</v>
      </c>
      <c r="E114" s="26" t="s">
        <v>45</v>
      </c>
      <c r="F114" s="27" t="s">
        <v>45</v>
      </c>
      <c r="G114" s="28" t="s">
        <v>45</v>
      </c>
      <c r="H114" s="29"/>
      <c r="I114" s="29" t="s">
        <v>46</v>
      </c>
      <c r="J114" s="30">
        <v>1</v>
      </c>
      <c r="K114" s="31">
        <f>25380</f>
        <v>25380</v>
      </c>
      <c r="L114" s="32" t="s">
        <v>995</v>
      </c>
      <c r="M114" s="31">
        <f>25970</f>
        <v>25970</v>
      </c>
      <c r="N114" s="32" t="s">
        <v>791</v>
      </c>
      <c r="O114" s="31">
        <f>24625</f>
        <v>24625</v>
      </c>
      <c r="P114" s="32" t="s">
        <v>1003</v>
      </c>
      <c r="Q114" s="31">
        <f>25915</f>
        <v>25915</v>
      </c>
      <c r="R114" s="32" t="s">
        <v>791</v>
      </c>
      <c r="S114" s="33">
        <f>25224.09</f>
        <v>25224.09</v>
      </c>
      <c r="T114" s="30">
        <f>1838</f>
        <v>1838</v>
      </c>
      <c r="U114" s="30" t="str">
        <f>"－"</f>
        <v>－</v>
      </c>
      <c r="V114" s="30">
        <f>46499570</f>
        <v>46499570</v>
      </c>
      <c r="W114" s="30" t="str">
        <f>"－"</f>
        <v>－</v>
      </c>
      <c r="X114" s="34">
        <f>22</f>
        <v>22</v>
      </c>
    </row>
    <row r="115" spans="1:24" ht="13.5" customHeight="1" x14ac:dyDescent="0.15">
      <c r="A115" s="25" t="s">
        <v>1139</v>
      </c>
      <c r="B115" s="25" t="s">
        <v>408</v>
      </c>
      <c r="C115" s="25" t="s">
        <v>409</v>
      </c>
      <c r="D115" s="25" t="s">
        <v>410</v>
      </c>
      <c r="E115" s="26" t="s">
        <v>45</v>
      </c>
      <c r="F115" s="27" t="s">
        <v>45</v>
      </c>
      <c r="G115" s="28" t="s">
        <v>45</v>
      </c>
      <c r="H115" s="29"/>
      <c r="I115" s="29" t="s">
        <v>46</v>
      </c>
      <c r="J115" s="30">
        <v>1</v>
      </c>
      <c r="K115" s="31">
        <f>27905</f>
        <v>27905</v>
      </c>
      <c r="L115" s="32" t="s">
        <v>995</v>
      </c>
      <c r="M115" s="31">
        <f>28090</f>
        <v>28090</v>
      </c>
      <c r="N115" s="32" t="s">
        <v>1005</v>
      </c>
      <c r="O115" s="31">
        <f>26945</f>
        <v>26945</v>
      </c>
      <c r="P115" s="32" t="s">
        <v>785</v>
      </c>
      <c r="Q115" s="31">
        <f>27940</f>
        <v>27940</v>
      </c>
      <c r="R115" s="32" t="s">
        <v>791</v>
      </c>
      <c r="S115" s="33">
        <f>27490.68</f>
        <v>27490.68</v>
      </c>
      <c r="T115" s="30">
        <f>5624</f>
        <v>5624</v>
      </c>
      <c r="U115" s="30">
        <f>4000</f>
        <v>4000</v>
      </c>
      <c r="V115" s="30">
        <f>156384665</f>
        <v>156384665</v>
      </c>
      <c r="W115" s="30">
        <f>111688000</f>
        <v>111688000</v>
      </c>
      <c r="X115" s="34">
        <f>22</f>
        <v>22</v>
      </c>
    </row>
    <row r="116" spans="1:24" ht="13.5" customHeight="1" x14ac:dyDescent="0.15">
      <c r="A116" s="25" t="s">
        <v>1139</v>
      </c>
      <c r="B116" s="25" t="s">
        <v>411</v>
      </c>
      <c r="C116" s="25" t="s">
        <v>412</v>
      </c>
      <c r="D116" s="25" t="s">
        <v>413</v>
      </c>
      <c r="E116" s="26" t="s">
        <v>45</v>
      </c>
      <c r="F116" s="27" t="s">
        <v>45</v>
      </c>
      <c r="G116" s="28" t="s">
        <v>45</v>
      </c>
      <c r="H116" s="29"/>
      <c r="I116" s="29" t="s">
        <v>46</v>
      </c>
      <c r="J116" s="30">
        <v>1</v>
      </c>
      <c r="K116" s="31">
        <f>26680</f>
        <v>26680</v>
      </c>
      <c r="L116" s="32" t="s">
        <v>995</v>
      </c>
      <c r="M116" s="31">
        <f>27745</f>
        <v>27745</v>
      </c>
      <c r="N116" s="32" t="s">
        <v>1005</v>
      </c>
      <c r="O116" s="31">
        <f>25950</f>
        <v>25950</v>
      </c>
      <c r="P116" s="32" t="s">
        <v>785</v>
      </c>
      <c r="Q116" s="31">
        <f>27530</f>
        <v>27530</v>
      </c>
      <c r="R116" s="32" t="s">
        <v>791</v>
      </c>
      <c r="S116" s="33">
        <f>27035.91</f>
        <v>27035.91</v>
      </c>
      <c r="T116" s="30">
        <f>6478</f>
        <v>6478</v>
      </c>
      <c r="U116" s="30">
        <f>1</f>
        <v>1</v>
      </c>
      <c r="V116" s="30">
        <f>175040275</f>
        <v>175040275</v>
      </c>
      <c r="W116" s="30">
        <f>27365</f>
        <v>27365</v>
      </c>
      <c r="X116" s="34">
        <f>22</f>
        <v>22</v>
      </c>
    </row>
    <row r="117" spans="1:24" ht="13.5" customHeight="1" x14ac:dyDescent="0.15">
      <c r="A117" s="25" t="s">
        <v>1139</v>
      </c>
      <c r="B117" s="25" t="s">
        <v>414</v>
      </c>
      <c r="C117" s="25" t="s">
        <v>415</v>
      </c>
      <c r="D117" s="25" t="s">
        <v>416</v>
      </c>
      <c r="E117" s="26" t="s">
        <v>45</v>
      </c>
      <c r="F117" s="27" t="s">
        <v>45</v>
      </c>
      <c r="G117" s="28" t="s">
        <v>45</v>
      </c>
      <c r="H117" s="29"/>
      <c r="I117" s="29" t="s">
        <v>46</v>
      </c>
      <c r="J117" s="30">
        <v>1</v>
      </c>
      <c r="K117" s="31">
        <f>27775</f>
        <v>27775</v>
      </c>
      <c r="L117" s="32" t="s">
        <v>995</v>
      </c>
      <c r="M117" s="31">
        <f>28755</f>
        <v>28755</v>
      </c>
      <c r="N117" s="32" t="s">
        <v>999</v>
      </c>
      <c r="O117" s="31">
        <f>26630</f>
        <v>26630</v>
      </c>
      <c r="P117" s="32" t="s">
        <v>792</v>
      </c>
      <c r="Q117" s="31">
        <f>28385</f>
        <v>28385</v>
      </c>
      <c r="R117" s="32" t="s">
        <v>791</v>
      </c>
      <c r="S117" s="33">
        <f>27519.09</f>
        <v>27519.09</v>
      </c>
      <c r="T117" s="30">
        <f>11361</f>
        <v>11361</v>
      </c>
      <c r="U117" s="30" t="str">
        <f>"－"</f>
        <v>－</v>
      </c>
      <c r="V117" s="30">
        <f>313038700</f>
        <v>313038700</v>
      </c>
      <c r="W117" s="30" t="str">
        <f>"－"</f>
        <v>－</v>
      </c>
      <c r="X117" s="34">
        <f>22</f>
        <v>22</v>
      </c>
    </row>
    <row r="118" spans="1:24" ht="13.5" customHeight="1" x14ac:dyDescent="0.15">
      <c r="A118" s="25" t="s">
        <v>1139</v>
      </c>
      <c r="B118" s="25" t="s">
        <v>417</v>
      </c>
      <c r="C118" s="25" t="s">
        <v>418</v>
      </c>
      <c r="D118" s="25" t="s">
        <v>419</v>
      </c>
      <c r="E118" s="26" t="s">
        <v>45</v>
      </c>
      <c r="F118" s="27" t="s">
        <v>45</v>
      </c>
      <c r="G118" s="28" t="s">
        <v>45</v>
      </c>
      <c r="H118" s="29"/>
      <c r="I118" s="29" t="s">
        <v>46</v>
      </c>
      <c r="J118" s="30">
        <v>1</v>
      </c>
      <c r="K118" s="31">
        <f>22760</f>
        <v>22760</v>
      </c>
      <c r="L118" s="32" t="s">
        <v>995</v>
      </c>
      <c r="M118" s="31">
        <f>23215</f>
        <v>23215</v>
      </c>
      <c r="N118" s="32" t="s">
        <v>999</v>
      </c>
      <c r="O118" s="31">
        <f>21680</f>
        <v>21680</v>
      </c>
      <c r="P118" s="32" t="s">
        <v>792</v>
      </c>
      <c r="Q118" s="31">
        <f>23120</f>
        <v>23120</v>
      </c>
      <c r="R118" s="32" t="s">
        <v>791</v>
      </c>
      <c r="S118" s="33">
        <f>22581.59</f>
        <v>22581.59</v>
      </c>
      <c r="T118" s="30">
        <f>5960</f>
        <v>5960</v>
      </c>
      <c r="U118" s="30" t="str">
        <f>"－"</f>
        <v>－</v>
      </c>
      <c r="V118" s="30">
        <f>134959820</f>
        <v>134959820</v>
      </c>
      <c r="W118" s="30" t="str">
        <f>"－"</f>
        <v>－</v>
      </c>
      <c r="X118" s="34">
        <f>22</f>
        <v>22</v>
      </c>
    </row>
    <row r="119" spans="1:24" ht="13.5" customHeight="1" x14ac:dyDescent="0.15">
      <c r="A119" s="25" t="s">
        <v>1139</v>
      </c>
      <c r="B119" s="25" t="s">
        <v>420</v>
      </c>
      <c r="C119" s="25" t="s">
        <v>421</v>
      </c>
      <c r="D119" s="25" t="s">
        <v>422</v>
      </c>
      <c r="E119" s="26" t="s">
        <v>45</v>
      </c>
      <c r="F119" s="27" t="s">
        <v>45</v>
      </c>
      <c r="G119" s="28" t="s">
        <v>45</v>
      </c>
      <c r="H119" s="29"/>
      <c r="I119" s="29" t="s">
        <v>46</v>
      </c>
      <c r="J119" s="30">
        <v>1</v>
      </c>
      <c r="K119" s="31">
        <f>48630</f>
        <v>48630</v>
      </c>
      <c r="L119" s="32" t="s">
        <v>995</v>
      </c>
      <c r="M119" s="31">
        <f>49070</f>
        <v>49070</v>
      </c>
      <c r="N119" s="32" t="s">
        <v>995</v>
      </c>
      <c r="O119" s="31">
        <f>45390</f>
        <v>45390</v>
      </c>
      <c r="P119" s="32" t="s">
        <v>792</v>
      </c>
      <c r="Q119" s="31">
        <f>48400</f>
        <v>48400</v>
      </c>
      <c r="R119" s="32" t="s">
        <v>791</v>
      </c>
      <c r="S119" s="33">
        <f>47072.27</f>
        <v>47072.27</v>
      </c>
      <c r="T119" s="30">
        <f>2451</f>
        <v>2451</v>
      </c>
      <c r="U119" s="30">
        <f>1000</f>
        <v>1000</v>
      </c>
      <c r="V119" s="30">
        <f>115160840</f>
        <v>115160840</v>
      </c>
      <c r="W119" s="30">
        <f>47175300</f>
        <v>47175300</v>
      </c>
      <c r="X119" s="34">
        <f>22</f>
        <v>22</v>
      </c>
    </row>
    <row r="120" spans="1:24" ht="13.5" customHeight="1" x14ac:dyDescent="0.15">
      <c r="A120" s="25" t="s">
        <v>1139</v>
      </c>
      <c r="B120" s="25" t="s">
        <v>423</v>
      </c>
      <c r="C120" s="25" t="s">
        <v>424</v>
      </c>
      <c r="D120" s="25" t="s">
        <v>425</v>
      </c>
      <c r="E120" s="26" t="s">
        <v>45</v>
      </c>
      <c r="F120" s="27" t="s">
        <v>45</v>
      </c>
      <c r="G120" s="28" t="s">
        <v>45</v>
      </c>
      <c r="H120" s="29"/>
      <c r="I120" s="29" t="s">
        <v>46</v>
      </c>
      <c r="J120" s="30">
        <v>1</v>
      </c>
      <c r="K120" s="31">
        <f>32650</f>
        <v>32650</v>
      </c>
      <c r="L120" s="32" t="s">
        <v>995</v>
      </c>
      <c r="M120" s="31">
        <f>32820</f>
        <v>32820</v>
      </c>
      <c r="N120" s="32" t="s">
        <v>995</v>
      </c>
      <c r="O120" s="31">
        <f>30150</f>
        <v>30150</v>
      </c>
      <c r="P120" s="32" t="s">
        <v>788</v>
      </c>
      <c r="Q120" s="31">
        <f>31510</f>
        <v>31510</v>
      </c>
      <c r="R120" s="32" t="s">
        <v>791</v>
      </c>
      <c r="S120" s="33">
        <f>31214.09</f>
        <v>31214.09</v>
      </c>
      <c r="T120" s="30">
        <f>11554</f>
        <v>11554</v>
      </c>
      <c r="U120" s="30">
        <f>1215</f>
        <v>1215</v>
      </c>
      <c r="V120" s="30">
        <f>361721563</f>
        <v>361721563</v>
      </c>
      <c r="W120" s="30">
        <f>37928533</f>
        <v>37928533</v>
      </c>
      <c r="X120" s="34">
        <f>22</f>
        <v>22</v>
      </c>
    </row>
    <row r="121" spans="1:24" ht="13.5" customHeight="1" x14ac:dyDescent="0.15">
      <c r="A121" s="25" t="s">
        <v>1139</v>
      </c>
      <c r="B121" s="25" t="s">
        <v>426</v>
      </c>
      <c r="C121" s="25" t="s">
        <v>427</v>
      </c>
      <c r="D121" s="25" t="s">
        <v>428</v>
      </c>
      <c r="E121" s="26" t="s">
        <v>45</v>
      </c>
      <c r="F121" s="27" t="s">
        <v>45</v>
      </c>
      <c r="G121" s="28" t="s">
        <v>45</v>
      </c>
      <c r="H121" s="29"/>
      <c r="I121" s="29" t="s">
        <v>46</v>
      </c>
      <c r="J121" s="30">
        <v>1</v>
      </c>
      <c r="K121" s="31">
        <f>30820</f>
        <v>30820</v>
      </c>
      <c r="L121" s="32" t="s">
        <v>995</v>
      </c>
      <c r="M121" s="31">
        <f>30820</f>
        <v>30820</v>
      </c>
      <c r="N121" s="32" t="s">
        <v>995</v>
      </c>
      <c r="O121" s="31">
        <f>29335</f>
        <v>29335</v>
      </c>
      <c r="P121" s="32" t="s">
        <v>788</v>
      </c>
      <c r="Q121" s="31">
        <f>30670</f>
        <v>30670</v>
      </c>
      <c r="R121" s="32" t="s">
        <v>791</v>
      </c>
      <c r="S121" s="33">
        <f>29976.14</f>
        <v>29976.14</v>
      </c>
      <c r="T121" s="30">
        <f>1244</f>
        <v>1244</v>
      </c>
      <c r="U121" s="30" t="str">
        <f>"－"</f>
        <v>－</v>
      </c>
      <c r="V121" s="30">
        <f>37483945</f>
        <v>37483945</v>
      </c>
      <c r="W121" s="30" t="str">
        <f>"－"</f>
        <v>－</v>
      </c>
      <c r="X121" s="34">
        <f>22</f>
        <v>22</v>
      </c>
    </row>
    <row r="122" spans="1:24" ht="13.5" customHeight="1" x14ac:dyDescent="0.15">
      <c r="A122" s="25" t="s">
        <v>1139</v>
      </c>
      <c r="B122" s="25" t="s">
        <v>429</v>
      </c>
      <c r="C122" s="25" t="s">
        <v>430</v>
      </c>
      <c r="D122" s="25" t="s">
        <v>431</v>
      </c>
      <c r="E122" s="26" t="s">
        <v>45</v>
      </c>
      <c r="F122" s="27" t="s">
        <v>45</v>
      </c>
      <c r="G122" s="28" t="s">
        <v>45</v>
      </c>
      <c r="H122" s="29"/>
      <c r="I122" s="29" t="s">
        <v>46</v>
      </c>
      <c r="J122" s="30">
        <v>1</v>
      </c>
      <c r="K122" s="31">
        <f>7404</f>
        <v>7404</v>
      </c>
      <c r="L122" s="32" t="s">
        <v>995</v>
      </c>
      <c r="M122" s="31">
        <f>7855</f>
        <v>7855</v>
      </c>
      <c r="N122" s="32" t="s">
        <v>791</v>
      </c>
      <c r="O122" s="31">
        <f>7205</f>
        <v>7205</v>
      </c>
      <c r="P122" s="32" t="s">
        <v>785</v>
      </c>
      <c r="Q122" s="31">
        <f>7832</f>
        <v>7832</v>
      </c>
      <c r="R122" s="32" t="s">
        <v>791</v>
      </c>
      <c r="S122" s="33">
        <f>7501.09</f>
        <v>7501.09</v>
      </c>
      <c r="T122" s="30">
        <f>43046</f>
        <v>43046</v>
      </c>
      <c r="U122" s="30" t="str">
        <f>"－"</f>
        <v>－</v>
      </c>
      <c r="V122" s="30">
        <f>322497940</f>
        <v>322497940</v>
      </c>
      <c r="W122" s="30" t="str">
        <f>"－"</f>
        <v>－</v>
      </c>
      <c r="X122" s="34">
        <f>22</f>
        <v>22</v>
      </c>
    </row>
    <row r="123" spans="1:24" ht="13.5" customHeight="1" x14ac:dyDescent="0.15">
      <c r="A123" s="25" t="s">
        <v>1139</v>
      </c>
      <c r="B123" s="25" t="s">
        <v>432</v>
      </c>
      <c r="C123" s="25" t="s">
        <v>433</v>
      </c>
      <c r="D123" s="25" t="s">
        <v>434</v>
      </c>
      <c r="E123" s="26" t="s">
        <v>45</v>
      </c>
      <c r="F123" s="27" t="s">
        <v>45</v>
      </c>
      <c r="G123" s="28" t="s">
        <v>45</v>
      </c>
      <c r="H123" s="29"/>
      <c r="I123" s="29" t="s">
        <v>46</v>
      </c>
      <c r="J123" s="30">
        <v>1</v>
      </c>
      <c r="K123" s="31">
        <f>18000</f>
        <v>18000</v>
      </c>
      <c r="L123" s="32" t="s">
        <v>995</v>
      </c>
      <c r="M123" s="31">
        <f>18610</f>
        <v>18610</v>
      </c>
      <c r="N123" s="32" t="s">
        <v>1005</v>
      </c>
      <c r="O123" s="31">
        <f>17700</f>
        <v>17700</v>
      </c>
      <c r="P123" s="32" t="s">
        <v>785</v>
      </c>
      <c r="Q123" s="31">
        <f>18480</f>
        <v>18480</v>
      </c>
      <c r="R123" s="32" t="s">
        <v>791</v>
      </c>
      <c r="S123" s="33">
        <f>18168.41</f>
        <v>18168.41</v>
      </c>
      <c r="T123" s="30">
        <f>11614</f>
        <v>11614</v>
      </c>
      <c r="U123" s="30">
        <f>1</f>
        <v>1</v>
      </c>
      <c r="V123" s="30">
        <f>210464265</f>
        <v>210464265</v>
      </c>
      <c r="W123" s="30">
        <f>18130</f>
        <v>18130</v>
      </c>
      <c r="X123" s="34">
        <f>22</f>
        <v>22</v>
      </c>
    </row>
    <row r="124" spans="1:24" ht="13.5" customHeight="1" x14ac:dyDescent="0.15">
      <c r="A124" s="25" t="s">
        <v>1139</v>
      </c>
      <c r="B124" s="25" t="s">
        <v>435</v>
      </c>
      <c r="C124" s="25" t="s">
        <v>436</v>
      </c>
      <c r="D124" s="25" t="s">
        <v>437</v>
      </c>
      <c r="E124" s="26" t="s">
        <v>45</v>
      </c>
      <c r="F124" s="27" t="s">
        <v>45</v>
      </c>
      <c r="G124" s="28" t="s">
        <v>45</v>
      </c>
      <c r="H124" s="29"/>
      <c r="I124" s="29" t="s">
        <v>46</v>
      </c>
      <c r="J124" s="30">
        <v>1</v>
      </c>
      <c r="K124" s="31">
        <f>71630</f>
        <v>71630</v>
      </c>
      <c r="L124" s="32" t="s">
        <v>995</v>
      </c>
      <c r="M124" s="31">
        <f>72260</f>
        <v>72260</v>
      </c>
      <c r="N124" s="32" t="s">
        <v>995</v>
      </c>
      <c r="O124" s="31">
        <f>67220</f>
        <v>67220</v>
      </c>
      <c r="P124" s="32" t="s">
        <v>792</v>
      </c>
      <c r="Q124" s="31">
        <f>70200</f>
        <v>70200</v>
      </c>
      <c r="R124" s="32" t="s">
        <v>791</v>
      </c>
      <c r="S124" s="33">
        <f>69674.09</f>
        <v>69674.09</v>
      </c>
      <c r="T124" s="30">
        <f>14116</f>
        <v>14116</v>
      </c>
      <c r="U124" s="30">
        <f>2</f>
        <v>2</v>
      </c>
      <c r="V124" s="30">
        <f>985213290</f>
        <v>985213290</v>
      </c>
      <c r="W124" s="30">
        <f>138570</f>
        <v>138570</v>
      </c>
      <c r="X124" s="34">
        <f>22</f>
        <v>22</v>
      </c>
    </row>
    <row r="125" spans="1:24" ht="13.5" customHeight="1" x14ac:dyDescent="0.15">
      <c r="A125" s="25" t="s">
        <v>1139</v>
      </c>
      <c r="B125" s="25" t="s">
        <v>438</v>
      </c>
      <c r="C125" s="25" t="s">
        <v>439</v>
      </c>
      <c r="D125" s="25" t="s">
        <v>440</v>
      </c>
      <c r="E125" s="26" t="s">
        <v>45</v>
      </c>
      <c r="F125" s="27" t="s">
        <v>45</v>
      </c>
      <c r="G125" s="28" t="s">
        <v>45</v>
      </c>
      <c r="H125" s="29"/>
      <c r="I125" s="29" t="s">
        <v>46</v>
      </c>
      <c r="J125" s="30">
        <v>1</v>
      </c>
      <c r="K125" s="31">
        <f>25870</f>
        <v>25870</v>
      </c>
      <c r="L125" s="32" t="s">
        <v>995</v>
      </c>
      <c r="M125" s="31">
        <f>26620</f>
        <v>26620</v>
      </c>
      <c r="N125" s="32" t="s">
        <v>1005</v>
      </c>
      <c r="O125" s="31">
        <f>25250</f>
        <v>25250</v>
      </c>
      <c r="P125" s="32" t="s">
        <v>996</v>
      </c>
      <c r="Q125" s="31">
        <f>26160</f>
        <v>26160</v>
      </c>
      <c r="R125" s="32" t="s">
        <v>791</v>
      </c>
      <c r="S125" s="33">
        <f>25930.48</f>
        <v>25930.48</v>
      </c>
      <c r="T125" s="30">
        <f>16104</f>
        <v>16104</v>
      </c>
      <c r="U125" s="30">
        <f>10280</f>
        <v>10280</v>
      </c>
      <c r="V125" s="30">
        <f>417399349</f>
        <v>417399349</v>
      </c>
      <c r="W125" s="30">
        <f>266719744</f>
        <v>266719744</v>
      </c>
      <c r="X125" s="34">
        <f>21</f>
        <v>21</v>
      </c>
    </row>
    <row r="126" spans="1:24" ht="13.5" customHeight="1" x14ac:dyDescent="0.15">
      <c r="A126" s="25" t="s">
        <v>1139</v>
      </c>
      <c r="B126" s="25" t="s">
        <v>441</v>
      </c>
      <c r="C126" s="25" t="s">
        <v>442</v>
      </c>
      <c r="D126" s="25" t="s">
        <v>443</v>
      </c>
      <c r="E126" s="26" t="s">
        <v>45</v>
      </c>
      <c r="F126" s="27" t="s">
        <v>45</v>
      </c>
      <c r="G126" s="28" t="s">
        <v>45</v>
      </c>
      <c r="H126" s="29"/>
      <c r="I126" s="29" t="s">
        <v>46</v>
      </c>
      <c r="J126" s="30">
        <v>1</v>
      </c>
      <c r="K126" s="31">
        <f>12965</f>
        <v>12965</v>
      </c>
      <c r="L126" s="32" t="s">
        <v>995</v>
      </c>
      <c r="M126" s="31">
        <f>13140</f>
        <v>13140</v>
      </c>
      <c r="N126" s="32" t="s">
        <v>791</v>
      </c>
      <c r="O126" s="31">
        <f>12120</f>
        <v>12120</v>
      </c>
      <c r="P126" s="32" t="s">
        <v>792</v>
      </c>
      <c r="Q126" s="31">
        <f>13110</f>
        <v>13110</v>
      </c>
      <c r="R126" s="32" t="s">
        <v>791</v>
      </c>
      <c r="S126" s="33">
        <f>12697.5</f>
        <v>12697.5</v>
      </c>
      <c r="T126" s="30">
        <f>63910</f>
        <v>63910</v>
      </c>
      <c r="U126" s="30">
        <f>8681</f>
        <v>8681</v>
      </c>
      <c r="V126" s="30">
        <f>818711796</f>
        <v>818711796</v>
      </c>
      <c r="W126" s="30">
        <f>110362721</f>
        <v>110362721</v>
      </c>
      <c r="X126" s="34">
        <f>22</f>
        <v>22</v>
      </c>
    </row>
    <row r="127" spans="1:24" ht="13.5" customHeight="1" x14ac:dyDescent="0.15">
      <c r="A127" s="25" t="s">
        <v>1139</v>
      </c>
      <c r="B127" s="25" t="s">
        <v>444</v>
      </c>
      <c r="C127" s="25" t="s">
        <v>445</v>
      </c>
      <c r="D127" s="25" t="s">
        <v>446</v>
      </c>
      <c r="E127" s="26" t="s">
        <v>45</v>
      </c>
      <c r="F127" s="27" t="s">
        <v>45</v>
      </c>
      <c r="G127" s="28" t="s">
        <v>45</v>
      </c>
      <c r="H127" s="29"/>
      <c r="I127" s="29" t="s">
        <v>46</v>
      </c>
      <c r="J127" s="30">
        <v>1</v>
      </c>
      <c r="K127" s="31">
        <f>18275</f>
        <v>18275</v>
      </c>
      <c r="L127" s="32" t="s">
        <v>995</v>
      </c>
      <c r="M127" s="31">
        <f>18310</f>
        <v>18310</v>
      </c>
      <c r="N127" s="32" t="s">
        <v>995</v>
      </c>
      <c r="O127" s="31">
        <f>17205</f>
        <v>17205</v>
      </c>
      <c r="P127" s="32" t="s">
        <v>785</v>
      </c>
      <c r="Q127" s="31">
        <f>18160</f>
        <v>18160</v>
      </c>
      <c r="R127" s="32" t="s">
        <v>791</v>
      </c>
      <c r="S127" s="33">
        <f>17657.05</f>
        <v>17657.05</v>
      </c>
      <c r="T127" s="30">
        <f>36270</f>
        <v>36270</v>
      </c>
      <c r="U127" s="30">
        <f>31000</f>
        <v>31000</v>
      </c>
      <c r="V127" s="30">
        <f>633294025</f>
        <v>633294025</v>
      </c>
      <c r="W127" s="30">
        <f>540126700</f>
        <v>540126700</v>
      </c>
      <c r="X127" s="34">
        <f>22</f>
        <v>22</v>
      </c>
    </row>
    <row r="128" spans="1:24" ht="13.5" customHeight="1" x14ac:dyDescent="0.15">
      <c r="A128" s="25" t="s">
        <v>1139</v>
      </c>
      <c r="B128" s="25" t="s">
        <v>447</v>
      </c>
      <c r="C128" s="25" t="s">
        <v>448</v>
      </c>
      <c r="D128" s="25" t="s">
        <v>449</v>
      </c>
      <c r="E128" s="26" t="s">
        <v>45</v>
      </c>
      <c r="F128" s="27" t="s">
        <v>45</v>
      </c>
      <c r="G128" s="28" t="s">
        <v>45</v>
      </c>
      <c r="H128" s="29"/>
      <c r="I128" s="29" t="s">
        <v>46</v>
      </c>
      <c r="J128" s="30">
        <v>1</v>
      </c>
      <c r="K128" s="31">
        <f>31210</f>
        <v>31210</v>
      </c>
      <c r="L128" s="32" t="s">
        <v>995</v>
      </c>
      <c r="M128" s="31">
        <f>32630</f>
        <v>32630</v>
      </c>
      <c r="N128" s="32" t="s">
        <v>791</v>
      </c>
      <c r="O128" s="31">
        <f>30150</f>
        <v>30150</v>
      </c>
      <c r="P128" s="32" t="s">
        <v>785</v>
      </c>
      <c r="Q128" s="31">
        <f>32580</f>
        <v>32580</v>
      </c>
      <c r="R128" s="32" t="s">
        <v>791</v>
      </c>
      <c r="S128" s="33">
        <f>31313.64</f>
        <v>31313.64</v>
      </c>
      <c r="T128" s="30">
        <f>1579</f>
        <v>1579</v>
      </c>
      <c r="U128" s="30" t="str">
        <f>"－"</f>
        <v>－</v>
      </c>
      <c r="V128" s="30">
        <f>49571910</f>
        <v>49571910</v>
      </c>
      <c r="W128" s="30" t="str">
        <f>"－"</f>
        <v>－</v>
      </c>
      <c r="X128" s="34">
        <f>22</f>
        <v>22</v>
      </c>
    </row>
    <row r="129" spans="1:24" ht="13.5" customHeight="1" x14ac:dyDescent="0.15">
      <c r="A129" s="25" t="s">
        <v>1139</v>
      </c>
      <c r="B129" s="25" t="s">
        <v>450</v>
      </c>
      <c r="C129" s="25" t="s">
        <v>1063</v>
      </c>
      <c r="D129" s="25" t="s">
        <v>1064</v>
      </c>
      <c r="E129" s="26" t="s">
        <v>45</v>
      </c>
      <c r="F129" s="27" t="s">
        <v>45</v>
      </c>
      <c r="G129" s="28" t="s">
        <v>45</v>
      </c>
      <c r="H129" s="29"/>
      <c r="I129" s="29" t="s">
        <v>46</v>
      </c>
      <c r="J129" s="30">
        <v>10</v>
      </c>
      <c r="K129" s="31">
        <f>1598</f>
        <v>1598</v>
      </c>
      <c r="L129" s="32" t="s">
        <v>995</v>
      </c>
      <c r="M129" s="31">
        <f>1609</f>
        <v>1609</v>
      </c>
      <c r="N129" s="32" t="s">
        <v>999</v>
      </c>
      <c r="O129" s="31">
        <f>1518.5</f>
        <v>1518.5</v>
      </c>
      <c r="P129" s="32" t="s">
        <v>792</v>
      </c>
      <c r="Q129" s="31">
        <f>1598</f>
        <v>1598</v>
      </c>
      <c r="R129" s="32" t="s">
        <v>791</v>
      </c>
      <c r="S129" s="33">
        <f>1563.86</f>
        <v>1563.86</v>
      </c>
      <c r="T129" s="30">
        <f>905040</f>
        <v>905040</v>
      </c>
      <c r="U129" s="30">
        <f>247600</f>
        <v>247600</v>
      </c>
      <c r="V129" s="30">
        <f>1423475479</f>
        <v>1423475479</v>
      </c>
      <c r="W129" s="30">
        <f>388549654</f>
        <v>388549654</v>
      </c>
      <c r="X129" s="34">
        <f>22</f>
        <v>22</v>
      </c>
    </row>
    <row r="130" spans="1:24" ht="13.5" customHeight="1" x14ac:dyDescent="0.15">
      <c r="A130" s="25" t="s">
        <v>1139</v>
      </c>
      <c r="B130" s="25" t="s">
        <v>453</v>
      </c>
      <c r="C130" s="25" t="s">
        <v>1065</v>
      </c>
      <c r="D130" s="25" t="s">
        <v>1066</v>
      </c>
      <c r="E130" s="26" t="s">
        <v>45</v>
      </c>
      <c r="F130" s="27" t="s">
        <v>45</v>
      </c>
      <c r="G130" s="28" t="s">
        <v>45</v>
      </c>
      <c r="H130" s="29"/>
      <c r="I130" s="29" t="s">
        <v>46</v>
      </c>
      <c r="J130" s="30">
        <v>10</v>
      </c>
      <c r="K130" s="31">
        <f>2661.5</f>
        <v>2661.5</v>
      </c>
      <c r="L130" s="32" t="s">
        <v>995</v>
      </c>
      <c r="M130" s="31">
        <f>2663.5</f>
        <v>2663.5</v>
      </c>
      <c r="N130" s="32" t="s">
        <v>791</v>
      </c>
      <c r="O130" s="31">
        <f>2552</f>
        <v>2552</v>
      </c>
      <c r="P130" s="32" t="s">
        <v>788</v>
      </c>
      <c r="Q130" s="31">
        <f>2660.5</f>
        <v>2660.5</v>
      </c>
      <c r="R130" s="32" t="s">
        <v>791</v>
      </c>
      <c r="S130" s="33">
        <f>2605.3</f>
        <v>2605.3000000000002</v>
      </c>
      <c r="T130" s="30">
        <f>6250</f>
        <v>6250</v>
      </c>
      <c r="U130" s="30" t="str">
        <f>"－"</f>
        <v>－</v>
      </c>
      <c r="V130" s="30">
        <f>16315260</f>
        <v>16315260</v>
      </c>
      <c r="W130" s="30" t="str">
        <f>"－"</f>
        <v>－</v>
      </c>
      <c r="X130" s="34">
        <f>20</f>
        <v>20</v>
      </c>
    </row>
    <row r="131" spans="1:24" ht="13.5" customHeight="1" x14ac:dyDescent="0.15">
      <c r="A131" s="25" t="s">
        <v>1139</v>
      </c>
      <c r="B131" s="25" t="s">
        <v>456</v>
      </c>
      <c r="C131" s="25" t="s">
        <v>1067</v>
      </c>
      <c r="D131" s="25" t="s">
        <v>1068</v>
      </c>
      <c r="E131" s="26" t="s">
        <v>45</v>
      </c>
      <c r="F131" s="27" t="s">
        <v>45</v>
      </c>
      <c r="G131" s="28" t="s">
        <v>45</v>
      </c>
      <c r="H131" s="29"/>
      <c r="I131" s="29" t="s">
        <v>46</v>
      </c>
      <c r="J131" s="30">
        <v>10</v>
      </c>
      <c r="K131" s="31">
        <f>2915.5</f>
        <v>2915.5</v>
      </c>
      <c r="L131" s="32" t="s">
        <v>995</v>
      </c>
      <c r="M131" s="31">
        <f>2929</f>
        <v>2929</v>
      </c>
      <c r="N131" s="32" t="s">
        <v>995</v>
      </c>
      <c r="O131" s="31">
        <f>2792</f>
        <v>2792</v>
      </c>
      <c r="P131" s="32" t="s">
        <v>788</v>
      </c>
      <c r="Q131" s="31">
        <f>2915</f>
        <v>2915</v>
      </c>
      <c r="R131" s="32" t="s">
        <v>791</v>
      </c>
      <c r="S131" s="33">
        <f>2863.24</f>
        <v>2863.24</v>
      </c>
      <c r="T131" s="30">
        <f>27780</f>
        <v>27780</v>
      </c>
      <c r="U131" s="30" t="str">
        <f>"－"</f>
        <v>－</v>
      </c>
      <c r="V131" s="30">
        <f>79335680</f>
        <v>79335680</v>
      </c>
      <c r="W131" s="30" t="str">
        <f>"－"</f>
        <v>－</v>
      </c>
      <c r="X131" s="34">
        <f>19</f>
        <v>19</v>
      </c>
    </row>
    <row r="132" spans="1:24" ht="13.5" customHeight="1" x14ac:dyDescent="0.15">
      <c r="A132" s="25" t="s">
        <v>1139</v>
      </c>
      <c r="B132" s="25" t="s">
        <v>459</v>
      </c>
      <c r="C132" s="25" t="s">
        <v>1069</v>
      </c>
      <c r="D132" s="25" t="s">
        <v>1070</v>
      </c>
      <c r="E132" s="26" t="s">
        <v>45</v>
      </c>
      <c r="F132" s="27" t="s">
        <v>45</v>
      </c>
      <c r="G132" s="28" t="s">
        <v>45</v>
      </c>
      <c r="H132" s="29"/>
      <c r="I132" s="29" t="s">
        <v>46</v>
      </c>
      <c r="J132" s="30">
        <v>10</v>
      </c>
      <c r="K132" s="31">
        <f>1825</f>
        <v>1825</v>
      </c>
      <c r="L132" s="32" t="s">
        <v>995</v>
      </c>
      <c r="M132" s="31">
        <f>1833.5</f>
        <v>1833.5</v>
      </c>
      <c r="N132" s="32" t="s">
        <v>995</v>
      </c>
      <c r="O132" s="31">
        <f>1750</f>
        <v>1750</v>
      </c>
      <c r="P132" s="32" t="s">
        <v>792</v>
      </c>
      <c r="Q132" s="31">
        <f>1819.5</f>
        <v>1819.5</v>
      </c>
      <c r="R132" s="32" t="s">
        <v>791</v>
      </c>
      <c r="S132" s="33">
        <f>1788.71</f>
        <v>1788.71</v>
      </c>
      <c r="T132" s="30">
        <f>4830</f>
        <v>4830</v>
      </c>
      <c r="U132" s="30" t="str">
        <f>"－"</f>
        <v>－</v>
      </c>
      <c r="V132" s="30">
        <f>8649690</f>
        <v>8649690</v>
      </c>
      <c r="W132" s="30" t="str">
        <f>"－"</f>
        <v>－</v>
      </c>
      <c r="X132" s="34">
        <f>19</f>
        <v>19</v>
      </c>
    </row>
    <row r="133" spans="1:24" ht="13.5" customHeight="1" x14ac:dyDescent="0.15">
      <c r="A133" s="25" t="s">
        <v>1139</v>
      </c>
      <c r="B133" s="25" t="s">
        <v>462</v>
      </c>
      <c r="C133" s="25" t="s">
        <v>463</v>
      </c>
      <c r="D133" s="25" t="s">
        <v>464</v>
      </c>
      <c r="E133" s="26" t="s">
        <v>45</v>
      </c>
      <c r="F133" s="27" t="s">
        <v>45</v>
      </c>
      <c r="G133" s="28" t="s">
        <v>45</v>
      </c>
      <c r="H133" s="29"/>
      <c r="I133" s="29" t="s">
        <v>46</v>
      </c>
      <c r="J133" s="30">
        <v>10</v>
      </c>
      <c r="K133" s="31">
        <f>471.9</f>
        <v>471.9</v>
      </c>
      <c r="L133" s="32" t="s">
        <v>995</v>
      </c>
      <c r="M133" s="31">
        <f>475.2</f>
        <v>475.2</v>
      </c>
      <c r="N133" s="32" t="s">
        <v>791</v>
      </c>
      <c r="O133" s="31">
        <f>455.7</f>
        <v>455.7</v>
      </c>
      <c r="P133" s="32" t="s">
        <v>998</v>
      </c>
      <c r="Q133" s="31">
        <f>474.7</f>
        <v>474.7</v>
      </c>
      <c r="R133" s="32" t="s">
        <v>791</v>
      </c>
      <c r="S133" s="33">
        <f>465.17</f>
        <v>465.17</v>
      </c>
      <c r="T133" s="30">
        <f>41568320</f>
        <v>41568320</v>
      </c>
      <c r="U133" s="30">
        <f>1099270</f>
        <v>1099270</v>
      </c>
      <c r="V133" s="30">
        <f>19363656345</f>
        <v>19363656345</v>
      </c>
      <c r="W133" s="30">
        <f>512840661</f>
        <v>512840661</v>
      </c>
      <c r="X133" s="34">
        <f>22</f>
        <v>22</v>
      </c>
    </row>
    <row r="134" spans="1:24" ht="13.5" customHeight="1" x14ac:dyDescent="0.15">
      <c r="A134" s="25" t="s">
        <v>1139</v>
      </c>
      <c r="B134" s="25" t="s">
        <v>465</v>
      </c>
      <c r="C134" s="25" t="s">
        <v>466</v>
      </c>
      <c r="D134" s="25" t="s">
        <v>467</v>
      </c>
      <c r="E134" s="26" t="s">
        <v>45</v>
      </c>
      <c r="F134" s="27" t="s">
        <v>45</v>
      </c>
      <c r="G134" s="28" t="s">
        <v>45</v>
      </c>
      <c r="H134" s="29"/>
      <c r="I134" s="29" t="s">
        <v>46</v>
      </c>
      <c r="J134" s="30">
        <v>10</v>
      </c>
      <c r="K134" s="31">
        <f>282</f>
        <v>282</v>
      </c>
      <c r="L134" s="32" t="s">
        <v>995</v>
      </c>
      <c r="M134" s="31">
        <f>287.4</f>
        <v>287.39999999999998</v>
      </c>
      <c r="N134" s="32" t="s">
        <v>791</v>
      </c>
      <c r="O134" s="31">
        <f>278.1</f>
        <v>278.10000000000002</v>
      </c>
      <c r="P134" s="32" t="s">
        <v>785</v>
      </c>
      <c r="Q134" s="31">
        <f>287</f>
        <v>287</v>
      </c>
      <c r="R134" s="32" t="s">
        <v>791</v>
      </c>
      <c r="S134" s="33">
        <f>283.35</f>
        <v>283.35000000000002</v>
      </c>
      <c r="T134" s="30">
        <f>18695050</f>
        <v>18695050</v>
      </c>
      <c r="U134" s="30">
        <f>16426460</f>
        <v>16426460</v>
      </c>
      <c r="V134" s="30">
        <f>5302945483</f>
        <v>5302945483</v>
      </c>
      <c r="W134" s="30">
        <f>4661846667</f>
        <v>4661846667</v>
      </c>
      <c r="X134" s="34">
        <f>22</f>
        <v>22</v>
      </c>
    </row>
    <row r="135" spans="1:24" ht="13.5" customHeight="1" x14ac:dyDescent="0.15">
      <c r="A135" s="25" t="s">
        <v>1139</v>
      </c>
      <c r="B135" s="25" t="s">
        <v>468</v>
      </c>
      <c r="C135" s="25" t="s">
        <v>1120</v>
      </c>
      <c r="D135" s="25" t="s">
        <v>470</v>
      </c>
      <c r="E135" s="26" t="s">
        <v>45</v>
      </c>
      <c r="F135" s="27" t="s">
        <v>45</v>
      </c>
      <c r="G135" s="28" t="s">
        <v>45</v>
      </c>
      <c r="H135" s="29"/>
      <c r="I135" s="29" t="s">
        <v>46</v>
      </c>
      <c r="J135" s="30">
        <v>1</v>
      </c>
      <c r="K135" s="31">
        <f>4075</f>
        <v>4075</v>
      </c>
      <c r="L135" s="32" t="s">
        <v>995</v>
      </c>
      <c r="M135" s="31">
        <f>4085</f>
        <v>4085</v>
      </c>
      <c r="N135" s="32" t="s">
        <v>995</v>
      </c>
      <c r="O135" s="31">
        <f>3900</f>
        <v>3900</v>
      </c>
      <c r="P135" s="32" t="s">
        <v>998</v>
      </c>
      <c r="Q135" s="31">
        <f>4055</f>
        <v>4055</v>
      </c>
      <c r="R135" s="32" t="s">
        <v>791</v>
      </c>
      <c r="S135" s="33">
        <f>3988.18</f>
        <v>3988.18</v>
      </c>
      <c r="T135" s="30">
        <f>46969</f>
        <v>46969</v>
      </c>
      <c r="U135" s="30">
        <f>3130</f>
        <v>3130</v>
      </c>
      <c r="V135" s="30">
        <f>187843733</f>
        <v>187843733</v>
      </c>
      <c r="W135" s="30">
        <f>12464473</f>
        <v>12464473</v>
      </c>
      <c r="X135" s="34">
        <f>22</f>
        <v>22</v>
      </c>
    </row>
    <row r="136" spans="1:24" ht="13.5" customHeight="1" x14ac:dyDescent="0.15">
      <c r="A136" s="25" t="s">
        <v>1139</v>
      </c>
      <c r="B136" s="25" t="s">
        <v>471</v>
      </c>
      <c r="C136" s="25" t="s">
        <v>472</v>
      </c>
      <c r="D136" s="25" t="s">
        <v>473</v>
      </c>
      <c r="E136" s="26" t="s">
        <v>45</v>
      </c>
      <c r="F136" s="27" t="s">
        <v>45</v>
      </c>
      <c r="G136" s="28" t="s">
        <v>45</v>
      </c>
      <c r="H136" s="29"/>
      <c r="I136" s="29" t="s">
        <v>46</v>
      </c>
      <c r="J136" s="30">
        <v>1</v>
      </c>
      <c r="K136" s="31">
        <f>2530</f>
        <v>2530</v>
      </c>
      <c r="L136" s="32" t="s">
        <v>995</v>
      </c>
      <c r="M136" s="31">
        <f>2530</f>
        <v>2530</v>
      </c>
      <c r="N136" s="32" t="s">
        <v>995</v>
      </c>
      <c r="O136" s="31">
        <f>2328</f>
        <v>2328</v>
      </c>
      <c r="P136" s="32" t="s">
        <v>998</v>
      </c>
      <c r="Q136" s="31">
        <f>2417</f>
        <v>2417</v>
      </c>
      <c r="R136" s="32" t="s">
        <v>791</v>
      </c>
      <c r="S136" s="33">
        <f>2408.68</f>
        <v>2408.6799999999998</v>
      </c>
      <c r="T136" s="30">
        <f>81156</f>
        <v>81156</v>
      </c>
      <c r="U136" s="30">
        <f>4110</f>
        <v>4110</v>
      </c>
      <c r="V136" s="30">
        <f>196032429</f>
        <v>196032429</v>
      </c>
      <c r="W136" s="30">
        <f>9991410</f>
        <v>9991410</v>
      </c>
      <c r="X136" s="34">
        <f>22</f>
        <v>22</v>
      </c>
    </row>
    <row r="137" spans="1:24" ht="13.5" customHeight="1" x14ac:dyDescent="0.15">
      <c r="A137" s="25" t="s">
        <v>1139</v>
      </c>
      <c r="B137" s="25" t="s">
        <v>474</v>
      </c>
      <c r="C137" s="25" t="s">
        <v>475</v>
      </c>
      <c r="D137" s="25" t="s">
        <v>476</v>
      </c>
      <c r="E137" s="26" t="s">
        <v>45</v>
      </c>
      <c r="F137" s="27" t="s">
        <v>45</v>
      </c>
      <c r="G137" s="28" t="s">
        <v>45</v>
      </c>
      <c r="H137" s="29"/>
      <c r="I137" s="29" t="s">
        <v>46</v>
      </c>
      <c r="J137" s="30">
        <v>1</v>
      </c>
      <c r="K137" s="31">
        <f>2795</f>
        <v>2795</v>
      </c>
      <c r="L137" s="32" t="s">
        <v>995</v>
      </c>
      <c r="M137" s="31">
        <f>2814</f>
        <v>2814</v>
      </c>
      <c r="N137" s="32" t="s">
        <v>995</v>
      </c>
      <c r="O137" s="31">
        <f>2668</f>
        <v>2668</v>
      </c>
      <c r="P137" s="32" t="s">
        <v>788</v>
      </c>
      <c r="Q137" s="31">
        <f>2786</f>
        <v>2786</v>
      </c>
      <c r="R137" s="32" t="s">
        <v>791</v>
      </c>
      <c r="S137" s="33">
        <f>2746.18</f>
        <v>2746.18</v>
      </c>
      <c r="T137" s="30">
        <f>107236</f>
        <v>107236</v>
      </c>
      <c r="U137" s="30" t="str">
        <f>"－"</f>
        <v>－</v>
      </c>
      <c r="V137" s="30">
        <f>294941591</f>
        <v>294941591</v>
      </c>
      <c r="W137" s="30" t="str">
        <f>"－"</f>
        <v>－</v>
      </c>
      <c r="X137" s="34">
        <f>22</f>
        <v>22</v>
      </c>
    </row>
    <row r="138" spans="1:24" ht="13.5" customHeight="1" x14ac:dyDescent="0.15">
      <c r="A138" s="25" t="s">
        <v>1139</v>
      </c>
      <c r="B138" s="25" t="s">
        <v>477</v>
      </c>
      <c r="C138" s="25" t="s">
        <v>478</v>
      </c>
      <c r="D138" s="25" t="s">
        <v>479</v>
      </c>
      <c r="E138" s="26" t="s">
        <v>45</v>
      </c>
      <c r="F138" s="27" t="s">
        <v>45</v>
      </c>
      <c r="G138" s="28" t="s">
        <v>45</v>
      </c>
      <c r="H138" s="29"/>
      <c r="I138" s="29" t="s">
        <v>46</v>
      </c>
      <c r="J138" s="30">
        <v>1</v>
      </c>
      <c r="K138" s="31">
        <f>10675</f>
        <v>10675</v>
      </c>
      <c r="L138" s="32" t="s">
        <v>995</v>
      </c>
      <c r="M138" s="31">
        <f>10915</f>
        <v>10915</v>
      </c>
      <c r="N138" s="32" t="s">
        <v>791</v>
      </c>
      <c r="O138" s="31">
        <f>10520</f>
        <v>10520</v>
      </c>
      <c r="P138" s="32" t="s">
        <v>1001</v>
      </c>
      <c r="Q138" s="31">
        <f>10850</f>
        <v>10850</v>
      </c>
      <c r="R138" s="32" t="s">
        <v>791</v>
      </c>
      <c r="S138" s="33">
        <f>10682.73</f>
        <v>10682.73</v>
      </c>
      <c r="T138" s="30">
        <f>71262</f>
        <v>71262</v>
      </c>
      <c r="U138" s="30">
        <f>7958</f>
        <v>7958</v>
      </c>
      <c r="V138" s="30">
        <f>760715649</f>
        <v>760715649</v>
      </c>
      <c r="W138" s="30">
        <f>84953644</f>
        <v>84953644</v>
      </c>
      <c r="X138" s="34">
        <f>22</f>
        <v>22</v>
      </c>
    </row>
    <row r="139" spans="1:24" ht="13.5" customHeight="1" x14ac:dyDescent="0.15">
      <c r="A139" s="25" t="s">
        <v>1139</v>
      </c>
      <c r="B139" s="25" t="s">
        <v>480</v>
      </c>
      <c r="C139" s="25" t="s">
        <v>481</v>
      </c>
      <c r="D139" s="25" t="s">
        <v>482</v>
      </c>
      <c r="E139" s="26" t="s">
        <v>45</v>
      </c>
      <c r="F139" s="27" t="s">
        <v>45</v>
      </c>
      <c r="G139" s="28" t="s">
        <v>45</v>
      </c>
      <c r="H139" s="29"/>
      <c r="I139" s="29" t="s">
        <v>46</v>
      </c>
      <c r="J139" s="30">
        <v>1</v>
      </c>
      <c r="K139" s="31">
        <f>2833</f>
        <v>2833</v>
      </c>
      <c r="L139" s="32" t="s">
        <v>995</v>
      </c>
      <c r="M139" s="31">
        <f>2971</f>
        <v>2971</v>
      </c>
      <c r="N139" s="32" t="s">
        <v>875</v>
      </c>
      <c r="O139" s="31">
        <f>2786</f>
        <v>2786</v>
      </c>
      <c r="P139" s="32" t="s">
        <v>996</v>
      </c>
      <c r="Q139" s="31">
        <f>2930</f>
        <v>2930</v>
      </c>
      <c r="R139" s="32" t="s">
        <v>791</v>
      </c>
      <c r="S139" s="33">
        <f>2877</f>
        <v>2877</v>
      </c>
      <c r="T139" s="30">
        <f>6281535</f>
        <v>6281535</v>
      </c>
      <c r="U139" s="30">
        <f>1193</f>
        <v>1193</v>
      </c>
      <c r="V139" s="30">
        <f>18058089955</f>
        <v>18058089955</v>
      </c>
      <c r="W139" s="30">
        <f>3462505</f>
        <v>3462505</v>
      </c>
      <c r="X139" s="34">
        <f>22</f>
        <v>22</v>
      </c>
    </row>
    <row r="140" spans="1:24" ht="13.5" customHeight="1" x14ac:dyDescent="0.15">
      <c r="A140" s="25" t="s">
        <v>1139</v>
      </c>
      <c r="B140" s="25" t="s">
        <v>483</v>
      </c>
      <c r="C140" s="25" t="s">
        <v>484</v>
      </c>
      <c r="D140" s="25" t="s">
        <v>485</v>
      </c>
      <c r="E140" s="26" t="s">
        <v>45</v>
      </c>
      <c r="F140" s="27" t="s">
        <v>45</v>
      </c>
      <c r="G140" s="28" t="s">
        <v>45</v>
      </c>
      <c r="H140" s="29"/>
      <c r="I140" s="29" t="s">
        <v>46</v>
      </c>
      <c r="J140" s="30">
        <v>1</v>
      </c>
      <c r="K140" s="31">
        <f>26200</f>
        <v>26200</v>
      </c>
      <c r="L140" s="32" t="s">
        <v>995</v>
      </c>
      <c r="M140" s="31">
        <f>26810</f>
        <v>26810</v>
      </c>
      <c r="N140" s="32" t="s">
        <v>893</v>
      </c>
      <c r="O140" s="31">
        <f>25735</f>
        <v>25735</v>
      </c>
      <c r="P140" s="32" t="s">
        <v>998</v>
      </c>
      <c r="Q140" s="31">
        <f>26615</f>
        <v>26615</v>
      </c>
      <c r="R140" s="32" t="s">
        <v>791</v>
      </c>
      <c r="S140" s="33">
        <f>26085.45</f>
        <v>26085.45</v>
      </c>
      <c r="T140" s="30">
        <f>3521</f>
        <v>3521</v>
      </c>
      <c r="U140" s="30" t="str">
        <f>"－"</f>
        <v>－</v>
      </c>
      <c r="V140" s="30">
        <f>91854370</f>
        <v>91854370</v>
      </c>
      <c r="W140" s="30" t="str">
        <f>"－"</f>
        <v>－</v>
      </c>
      <c r="X140" s="34">
        <f>22</f>
        <v>22</v>
      </c>
    </row>
    <row r="141" spans="1:24" ht="13.5" customHeight="1" x14ac:dyDescent="0.15">
      <c r="A141" s="25" t="s">
        <v>1139</v>
      </c>
      <c r="B141" s="25" t="s">
        <v>486</v>
      </c>
      <c r="C141" s="25" t="s">
        <v>487</v>
      </c>
      <c r="D141" s="25" t="s">
        <v>488</v>
      </c>
      <c r="E141" s="26" t="s">
        <v>45</v>
      </c>
      <c r="F141" s="27" t="s">
        <v>45</v>
      </c>
      <c r="G141" s="28" t="s">
        <v>45</v>
      </c>
      <c r="H141" s="29"/>
      <c r="I141" s="29" t="s">
        <v>46</v>
      </c>
      <c r="J141" s="30">
        <v>10</v>
      </c>
      <c r="K141" s="31">
        <f>3230</f>
        <v>3230</v>
      </c>
      <c r="L141" s="32" t="s">
        <v>995</v>
      </c>
      <c r="M141" s="31">
        <f>3339</f>
        <v>3339</v>
      </c>
      <c r="N141" s="32" t="s">
        <v>893</v>
      </c>
      <c r="O141" s="31">
        <f>3007</f>
        <v>3007</v>
      </c>
      <c r="P141" s="32" t="s">
        <v>1004</v>
      </c>
      <c r="Q141" s="31">
        <f>3300</f>
        <v>3300</v>
      </c>
      <c r="R141" s="32" t="s">
        <v>791</v>
      </c>
      <c r="S141" s="33">
        <f>3142.05</f>
        <v>3142.05</v>
      </c>
      <c r="T141" s="30">
        <f>16510</f>
        <v>16510</v>
      </c>
      <c r="U141" s="30" t="str">
        <f>"－"</f>
        <v>－</v>
      </c>
      <c r="V141" s="30">
        <f>52160090</f>
        <v>52160090</v>
      </c>
      <c r="W141" s="30" t="str">
        <f>"－"</f>
        <v>－</v>
      </c>
      <c r="X141" s="34">
        <f>22</f>
        <v>22</v>
      </c>
    </row>
    <row r="142" spans="1:24" ht="13.5" customHeight="1" x14ac:dyDescent="0.15">
      <c r="A142" s="25" t="s">
        <v>1139</v>
      </c>
      <c r="B142" s="25" t="s">
        <v>489</v>
      </c>
      <c r="C142" s="25" t="s">
        <v>490</v>
      </c>
      <c r="D142" s="25" t="s">
        <v>491</v>
      </c>
      <c r="E142" s="26" t="s">
        <v>45</v>
      </c>
      <c r="F142" s="27" t="s">
        <v>45</v>
      </c>
      <c r="G142" s="28" t="s">
        <v>45</v>
      </c>
      <c r="H142" s="29"/>
      <c r="I142" s="29" t="s">
        <v>46</v>
      </c>
      <c r="J142" s="30">
        <v>1</v>
      </c>
      <c r="K142" s="31">
        <f>12460</f>
        <v>12460</v>
      </c>
      <c r="L142" s="32" t="s">
        <v>995</v>
      </c>
      <c r="M142" s="31">
        <f>13445</f>
        <v>13445</v>
      </c>
      <c r="N142" s="32" t="s">
        <v>893</v>
      </c>
      <c r="O142" s="31">
        <f>11900</f>
        <v>11900</v>
      </c>
      <c r="P142" s="32" t="s">
        <v>875</v>
      </c>
      <c r="Q142" s="31">
        <f>13160</f>
        <v>13160</v>
      </c>
      <c r="R142" s="32" t="s">
        <v>791</v>
      </c>
      <c r="S142" s="33">
        <f>12411.14</f>
        <v>12411.14</v>
      </c>
      <c r="T142" s="30">
        <f>3511</f>
        <v>3511</v>
      </c>
      <c r="U142" s="30" t="str">
        <f>"－"</f>
        <v>－</v>
      </c>
      <c r="V142" s="30">
        <f>44000905</f>
        <v>44000905</v>
      </c>
      <c r="W142" s="30" t="str">
        <f>"－"</f>
        <v>－</v>
      </c>
      <c r="X142" s="34">
        <f>22</f>
        <v>22</v>
      </c>
    </row>
    <row r="143" spans="1:24" ht="13.5" customHeight="1" x14ac:dyDescent="0.15">
      <c r="A143" s="25" t="s">
        <v>1139</v>
      </c>
      <c r="B143" s="25" t="s">
        <v>492</v>
      </c>
      <c r="C143" s="25" t="s">
        <v>493</v>
      </c>
      <c r="D143" s="25" t="s">
        <v>494</v>
      </c>
      <c r="E143" s="26" t="s">
        <v>45</v>
      </c>
      <c r="F143" s="27" t="s">
        <v>45</v>
      </c>
      <c r="G143" s="28" t="s">
        <v>45</v>
      </c>
      <c r="H143" s="29"/>
      <c r="I143" s="29" t="s">
        <v>46</v>
      </c>
      <c r="J143" s="30">
        <v>1</v>
      </c>
      <c r="K143" s="31">
        <f>16855</f>
        <v>16855</v>
      </c>
      <c r="L143" s="32" t="s">
        <v>995</v>
      </c>
      <c r="M143" s="31">
        <f>17600</f>
        <v>17600</v>
      </c>
      <c r="N143" s="32" t="s">
        <v>1005</v>
      </c>
      <c r="O143" s="31">
        <f>16240</f>
        <v>16240</v>
      </c>
      <c r="P143" s="32" t="s">
        <v>788</v>
      </c>
      <c r="Q143" s="31">
        <f>16595</f>
        <v>16595</v>
      </c>
      <c r="R143" s="32" t="s">
        <v>791</v>
      </c>
      <c r="S143" s="33">
        <f>16736.36</f>
        <v>16736.36</v>
      </c>
      <c r="T143" s="30">
        <f>3206</f>
        <v>3206</v>
      </c>
      <c r="U143" s="30" t="str">
        <f>"－"</f>
        <v>－</v>
      </c>
      <c r="V143" s="30">
        <f>54324615</f>
        <v>54324615</v>
      </c>
      <c r="W143" s="30" t="str">
        <f>"－"</f>
        <v>－</v>
      </c>
      <c r="X143" s="34">
        <f>22</f>
        <v>22</v>
      </c>
    </row>
    <row r="144" spans="1:24" ht="13.5" customHeight="1" x14ac:dyDescent="0.15">
      <c r="A144" s="25" t="s">
        <v>1139</v>
      </c>
      <c r="B144" s="25" t="s">
        <v>495</v>
      </c>
      <c r="C144" s="25" t="s">
        <v>496</v>
      </c>
      <c r="D144" s="25" t="s">
        <v>497</v>
      </c>
      <c r="E144" s="26" t="s">
        <v>45</v>
      </c>
      <c r="F144" s="27" t="s">
        <v>45</v>
      </c>
      <c r="G144" s="28" t="s">
        <v>45</v>
      </c>
      <c r="H144" s="29"/>
      <c r="I144" s="29" t="s">
        <v>46</v>
      </c>
      <c r="J144" s="30">
        <v>1</v>
      </c>
      <c r="K144" s="31">
        <f>18975</f>
        <v>18975</v>
      </c>
      <c r="L144" s="32" t="s">
        <v>995</v>
      </c>
      <c r="M144" s="31">
        <f>19290</f>
        <v>19290</v>
      </c>
      <c r="N144" s="32" t="s">
        <v>791</v>
      </c>
      <c r="O144" s="31">
        <f>18280</f>
        <v>18280</v>
      </c>
      <c r="P144" s="32" t="s">
        <v>876</v>
      </c>
      <c r="Q144" s="31">
        <f>19290</f>
        <v>19290</v>
      </c>
      <c r="R144" s="32" t="s">
        <v>791</v>
      </c>
      <c r="S144" s="33">
        <f>18931.11</f>
        <v>18931.11</v>
      </c>
      <c r="T144" s="30">
        <f>48</f>
        <v>48</v>
      </c>
      <c r="U144" s="30" t="str">
        <f>"－"</f>
        <v>－</v>
      </c>
      <c r="V144" s="30">
        <f>912955</f>
        <v>912955</v>
      </c>
      <c r="W144" s="30" t="str">
        <f>"－"</f>
        <v>－</v>
      </c>
      <c r="X144" s="34">
        <f>9</f>
        <v>9</v>
      </c>
    </row>
    <row r="145" spans="1:24" ht="13.5" customHeight="1" x14ac:dyDescent="0.15">
      <c r="A145" s="25" t="s">
        <v>1139</v>
      </c>
      <c r="B145" s="25" t="s">
        <v>498</v>
      </c>
      <c r="C145" s="25" t="s">
        <v>499</v>
      </c>
      <c r="D145" s="25" t="s">
        <v>500</v>
      </c>
      <c r="E145" s="26" t="s">
        <v>45</v>
      </c>
      <c r="F145" s="27" t="s">
        <v>45</v>
      </c>
      <c r="G145" s="28" t="s">
        <v>45</v>
      </c>
      <c r="H145" s="29"/>
      <c r="I145" s="29" t="s">
        <v>46</v>
      </c>
      <c r="J145" s="30">
        <v>10</v>
      </c>
      <c r="K145" s="31">
        <f>52300</f>
        <v>52300</v>
      </c>
      <c r="L145" s="32" t="s">
        <v>995</v>
      </c>
      <c r="M145" s="31">
        <f>53000</f>
        <v>53000</v>
      </c>
      <c r="N145" s="32" t="s">
        <v>791</v>
      </c>
      <c r="O145" s="31">
        <f>51850</f>
        <v>51850</v>
      </c>
      <c r="P145" s="32" t="s">
        <v>785</v>
      </c>
      <c r="Q145" s="31">
        <f>53000</f>
        <v>53000</v>
      </c>
      <c r="R145" s="32" t="s">
        <v>791</v>
      </c>
      <c r="S145" s="33">
        <f>52451.82</f>
        <v>52451.82</v>
      </c>
      <c r="T145" s="30">
        <f>2820</f>
        <v>2820</v>
      </c>
      <c r="U145" s="30">
        <f>20</f>
        <v>20</v>
      </c>
      <c r="V145" s="30">
        <f>147890600</f>
        <v>147890600</v>
      </c>
      <c r="W145" s="30">
        <f>1057900</f>
        <v>1057900</v>
      </c>
      <c r="X145" s="34">
        <f>22</f>
        <v>22</v>
      </c>
    </row>
    <row r="146" spans="1:24" ht="13.5" customHeight="1" x14ac:dyDescent="0.15">
      <c r="A146" s="25" t="s">
        <v>1139</v>
      </c>
      <c r="B146" s="25" t="s">
        <v>501</v>
      </c>
      <c r="C146" s="25" t="s">
        <v>1121</v>
      </c>
      <c r="D146" s="25" t="s">
        <v>503</v>
      </c>
      <c r="E146" s="26" t="s">
        <v>45</v>
      </c>
      <c r="F146" s="27" t="s">
        <v>45</v>
      </c>
      <c r="G146" s="28" t="s">
        <v>45</v>
      </c>
      <c r="H146" s="29"/>
      <c r="I146" s="29" t="s">
        <v>46</v>
      </c>
      <c r="J146" s="30">
        <v>100</v>
      </c>
      <c r="K146" s="31">
        <f>304.1</f>
        <v>304.10000000000002</v>
      </c>
      <c r="L146" s="32" t="s">
        <v>995</v>
      </c>
      <c r="M146" s="31">
        <f>306.3</f>
        <v>306.3</v>
      </c>
      <c r="N146" s="32" t="s">
        <v>995</v>
      </c>
      <c r="O146" s="31">
        <f>297.3</f>
        <v>297.3</v>
      </c>
      <c r="P146" s="32" t="s">
        <v>785</v>
      </c>
      <c r="Q146" s="31">
        <f>304.1</f>
        <v>304.10000000000002</v>
      </c>
      <c r="R146" s="32" t="s">
        <v>791</v>
      </c>
      <c r="S146" s="33">
        <f>302.31</f>
        <v>302.31</v>
      </c>
      <c r="T146" s="30">
        <f>26881100</f>
        <v>26881100</v>
      </c>
      <c r="U146" s="30">
        <f>416200</f>
        <v>416200</v>
      </c>
      <c r="V146" s="30">
        <f>8123201240</f>
        <v>8123201240</v>
      </c>
      <c r="W146" s="30">
        <f>125417120</f>
        <v>125417120</v>
      </c>
      <c r="X146" s="34">
        <f>22</f>
        <v>22</v>
      </c>
    </row>
    <row r="147" spans="1:24" ht="13.5" customHeight="1" x14ac:dyDescent="0.15">
      <c r="A147" s="25" t="s">
        <v>1139</v>
      </c>
      <c r="B147" s="25" t="s">
        <v>504</v>
      </c>
      <c r="C147" s="25" t="s">
        <v>1122</v>
      </c>
      <c r="D147" s="25" t="s">
        <v>506</v>
      </c>
      <c r="E147" s="26" t="s">
        <v>45</v>
      </c>
      <c r="F147" s="27" t="s">
        <v>45</v>
      </c>
      <c r="G147" s="28" t="s">
        <v>45</v>
      </c>
      <c r="H147" s="29"/>
      <c r="I147" s="29" t="s">
        <v>46</v>
      </c>
      <c r="J147" s="30">
        <v>10</v>
      </c>
      <c r="K147" s="31">
        <f>43020</f>
        <v>43020</v>
      </c>
      <c r="L147" s="32" t="s">
        <v>995</v>
      </c>
      <c r="M147" s="31">
        <f>43650</f>
        <v>43650</v>
      </c>
      <c r="N147" s="32" t="s">
        <v>1002</v>
      </c>
      <c r="O147" s="31">
        <f>42370</f>
        <v>42370</v>
      </c>
      <c r="P147" s="32" t="s">
        <v>1003</v>
      </c>
      <c r="Q147" s="31">
        <f>43500</f>
        <v>43500</v>
      </c>
      <c r="R147" s="32" t="s">
        <v>791</v>
      </c>
      <c r="S147" s="33">
        <f>43047.27</f>
        <v>43047.27</v>
      </c>
      <c r="T147" s="30">
        <f>2450</f>
        <v>2450</v>
      </c>
      <c r="U147" s="30" t="str">
        <f t="shared" ref="U147:U164" si="0">"－"</f>
        <v>－</v>
      </c>
      <c r="V147" s="30">
        <f>105250600</f>
        <v>105250600</v>
      </c>
      <c r="W147" s="30" t="str">
        <f t="shared" ref="W147:W164" si="1">"－"</f>
        <v>－</v>
      </c>
      <c r="X147" s="34">
        <f>22</f>
        <v>22</v>
      </c>
    </row>
    <row r="148" spans="1:24" ht="13.5" customHeight="1" x14ac:dyDescent="0.15">
      <c r="A148" s="25" t="s">
        <v>1139</v>
      </c>
      <c r="B148" s="25" t="s">
        <v>507</v>
      </c>
      <c r="C148" s="25" t="s">
        <v>508</v>
      </c>
      <c r="D148" s="25" t="s">
        <v>1123</v>
      </c>
      <c r="E148" s="26" t="s">
        <v>45</v>
      </c>
      <c r="F148" s="27" t="s">
        <v>45</v>
      </c>
      <c r="G148" s="28" t="s">
        <v>45</v>
      </c>
      <c r="H148" s="29"/>
      <c r="I148" s="29" t="s">
        <v>46</v>
      </c>
      <c r="J148" s="30">
        <v>10</v>
      </c>
      <c r="K148" s="31">
        <f>4620</f>
        <v>4620</v>
      </c>
      <c r="L148" s="32" t="s">
        <v>995</v>
      </c>
      <c r="M148" s="31">
        <f>4660</f>
        <v>4660</v>
      </c>
      <c r="N148" s="32" t="s">
        <v>791</v>
      </c>
      <c r="O148" s="31">
        <f>4455</f>
        <v>4455</v>
      </c>
      <c r="P148" s="32" t="s">
        <v>785</v>
      </c>
      <c r="Q148" s="31">
        <f>4658</f>
        <v>4658</v>
      </c>
      <c r="R148" s="32" t="s">
        <v>791</v>
      </c>
      <c r="S148" s="33">
        <f>4565.36</f>
        <v>4565.3599999999997</v>
      </c>
      <c r="T148" s="30">
        <f>46920</f>
        <v>46920</v>
      </c>
      <c r="U148" s="30" t="str">
        <f t="shared" si="0"/>
        <v>－</v>
      </c>
      <c r="V148" s="30">
        <f>214537390</f>
        <v>214537390</v>
      </c>
      <c r="W148" s="30" t="str">
        <f t="shared" si="1"/>
        <v>－</v>
      </c>
      <c r="X148" s="34">
        <f>22</f>
        <v>22</v>
      </c>
    </row>
    <row r="149" spans="1:24" ht="13.5" customHeight="1" x14ac:dyDescent="0.15">
      <c r="A149" s="25" t="s">
        <v>1139</v>
      </c>
      <c r="B149" s="25" t="s">
        <v>510</v>
      </c>
      <c r="C149" s="25" t="s">
        <v>1124</v>
      </c>
      <c r="D149" s="25" t="s">
        <v>1125</v>
      </c>
      <c r="E149" s="26" t="s">
        <v>45</v>
      </c>
      <c r="F149" s="27" t="s">
        <v>45</v>
      </c>
      <c r="G149" s="28" t="s">
        <v>45</v>
      </c>
      <c r="H149" s="29"/>
      <c r="I149" s="29" t="s">
        <v>46</v>
      </c>
      <c r="J149" s="30">
        <v>10</v>
      </c>
      <c r="K149" s="31">
        <f>1891.5</f>
        <v>1891.5</v>
      </c>
      <c r="L149" s="32" t="s">
        <v>995</v>
      </c>
      <c r="M149" s="31">
        <f>1900</f>
        <v>1900</v>
      </c>
      <c r="N149" s="32" t="s">
        <v>995</v>
      </c>
      <c r="O149" s="31">
        <f>1768</f>
        <v>1768</v>
      </c>
      <c r="P149" s="32" t="s">
        <v>998</v>
      </c>
      <c r="Q149" s="31">
        <f>1829</f>
        <v>1829</v>
      </c>
      <c r="R149" s="32" t="s">
        <v>791</v>
      </c>
      <c r="S149" s="33">
        <f>1817.23</f>
        <v>1817.23</v>
      </c>
      <c r="T149" s="30">
        <f>168620</f>
        <v>168620</v>
      </c>
      <c r="U149" s="30" t="str">
        <f t="shared" si="0"/>
        <v>－</v>
      </c>
      <c r="V149" s="30">
        <f>305378140</f>
        <v>305378140</v>
      </c>
      <c r="W149" s="30" t="str">
        <f t="shared" si="1"/>
        <v>－</v>
      </c>
      <c r="X149" s="34">
        <f>22</f>
        <v>22</v>
      </c>
    </row>
    <row r="150" spans="1:24" ht="13.5" customHeight="1" x14ac:dyDescent="0.15">
      <c r="A150" s="25" t="s">
        <v>1139</v>
      </c>
      <c r="B150" s="25" t="s">
        <v>513</v>
      </c>
      <c r="C150" s="25" t="s">
        <v>514</v>
      </c>
      <c r="D150" s="25" t="s">
        <v>515</v>
      </c>
      <c r="E150" s="26" t="s">
        <v>45</v>
      </c>
      <c r="F150" s="27" t="s">
        <v>45</v>
      </c>
      <c r="G150" s="28" t="s">
        <v>45</v>
      </c>
      <c r="H150" s="29"/>
      <c r="I150" s="29" t="s">
        <v>46</v>
      </c>
      <c r="J150" s="30">
        <v>100</v>
      </c>
      <c r="K150" s="31">
        <f>230</f>
        <v>230</v>
      </c>
      <c r="L150" s="32" t="s">
        <v>995</v>
      </c>
      <c r="M150" s="31">
        <f>244.3</f>
        <v>244.3</v>
      </c>
      <c r="N150" s="32" t="s">
        <v>997</v>
      </c>
      <c r="O150" s="31">
        <f>223</f>
        <v>223</v>
      </c>
      <c r="P150" s="32" t="s">
        <v>875</v>
      </c>
      <c r="Q150" s="31">
        <f>241.7</f>
        <v>241.7</v>
      </c>
      <c r="R150" s="32" t="s">
        <v>791</v>
      </c>
      <c r="S150" s="33">
        <f>229.67</f>
        <v>229.67</v>
      </c>
      <c r="T150" s="30">
        <f>127300</f>
        <v>127300</v>
      </c>
      <c r="U150" s="30" t="str">
        <f t="shared" si="0"/>
        <v>－</v>
      </c>
      <c r="V150" s="30">
        <f>29566060</f>
        <v>29566060</v>
      </c>
      <c r="W150" s="30" t="str">
        <f t="shared" si="1"/>
        <v>－</v>
      </c>
      <c r="X150" s="34">
        <f>22</f>
        <v>22</v>
      </c>
    </row>
    <row r="151" spans="1:24" ht="13.5" customHeight="1" x14ac:dyDescent="0.15">
      <c r="A151" s="25" t="s">
        <v>1139</v>
      </c>
      <c r="B151" s="25" t="s">
        <v>516</v>
      </c>
      <c r="C151" s="25" t="s">
        <v>517</v>
      </c>
      <c r="D151" s="25" t="s">
        <v>518</v>
      </c>
      <c r="E151" s="26" t="s">
        <v>45</v>
      </c>
      <c r="F151" s="27" t="s">
        <v>45</v>
      </c>
      <c r="G151" s="28" t="s">
        <v>45</v>
      </c>
      <c r="H151" s="29"/>
      <c r="I151" s="29" t="s">
        <v>46</v>
      </c>
      <c r="J151" s="30">
        <v>10</v>
      </c>
      <c r="K151" s="31">
        <f>1611</f>
        <v>1611</v>
      </c>
      <c r="L151" s="32" t="s">
        <v>995</v>
      </c>
      <c r="M151" s="31">
        <f>1642.5</f>
        <v>1642.5</v>
      </c>
      <c r="N151" s="32" t="s">
        <v>1017</v>
      </c>
      <c r="O151" s="31">
        <f>1587.5</f>
        <v>1587.5</v>
      </c>
      <c r="P151" s="32" t="s">
        <v>996</v>
      </c>
      <c r="Q151" s="31">
        <f>1636.5</f>
        <v>1636.5</v>
      </c>
      <c r="R151" s="32" t="s">
        <v>791</v>
      </c>
      <c r="S151" s="33">
        <f>1612.06</f>
        <v>1612.06</v>
      </c>
      <c r="T151" s="30">
        <f>4860</f>
        <v>4860</v>
      </c>
      <c r="U151" s="30" t="str">
        <f t="shared" si="0"/>
        <v>－</v>
      </c>
      <c r="V151" s="30">
        <f>7788900</f>
        <v>7788900</v>
      </c>
      <c r="W151" s="30" t="str">
        <f t="shared" si="1"/>
        <v>－</v>
      </c>
      <c r="X151" s="34">
        <f>18</f>
        <v>18</v>
      </c>
    </row>
    <row r="152" spans="1:24" ht="13.5" customHeight="1" x14ac:dyDescent="0.15">
      <c r="A152" s="25" t="s">
        <v>1139</v>
      </c>
      <c r="B152" s="25" t="s">
        <v>519</v>
      </c>
      <c r="C152" s="25" t="s">
        <v>520</v>
      </c>
      <c r="D152" s="25" t="s">
        <v>521</v>
      </c>
      <c r="E152" s="26" t="s">
        <v>45</v>
      </c>
      <c r="F152" s="27" t="s">
        <v>45</v>
      </c>
      <c r="G152" s="28" t="s">
        <v>45</v>
      </c>
      <c r="H152" s="29"/>
      <c r="I152" s="29" t="s">
        <v>46</v>
      </c>
      <c r="J152" s="30">
        <v>10</v>
      </c>
      <c r="K152" s="31">
        <f>570</f>
        <v>570</v>
      </c>
      <c r="L152" s="32" t="s">
        <v>995</v>
      </c>
      <c r="M152" s="31">
        <f>610</f>
        <v>610</v>
      </c>
      <c r="N152" s="32" t="s">
        <v>875</v>
      </c>
      <c r="O152" s="31">
        <f>560.6</f>
        <v>560.6</v>
      </c>
      <c r="P152" s="32" t="s">
        <v>996</v>
      </c>
      <c r="Q152" s="31">
        <f>594.8</f>
        <v>594.79999999999995</v>
      </c>
      <c r="R152" s="32" t="s">
        <v>791</v>
      </c>
      <c r="S152" s="33">
        <f>586.25</f>
        <v>586.25</v>
      </c>
      <c r="T152" s="30">
        <f>63440</f>
        <v>63440</v>
      </c>
      <c r="U152" s="30" t="str">
        <f t="shared" si="0"/>
        <v>－</v>
      </c>
      <c r="V152" s="30">
        <f>37316241</f>
        <v>37316241</v>
      </c>
      <c r="W152" s="30" t="str">
        <f t="shared" si="1"/>
        <v>－</v>
      </c>
      <c r="X152" s="34">
        <f>22</f>
        <v>22</v>
      </c>
    </row>
    <row r="153" spans="1:24" ht="13.5" customHeight="1" x14ac:dyDescent="0.15">
      <c r="A153" s="25" t="s">
        <v>1139</v>
      </c>
      <c r="B153" s="25" t="s">
        <v>522</v>
      </c>
      <c r="C153" s="25" t="s">
        <v>523</v>
      </c>
      <c r="D153" s="25" t="s">
        <v>524</v>
      </c>
      <c r="E153" s="26" t="s">
        <v>45</v>
      </c>
      <c r="F153" s="27" t="s">
        <v>45</v>
      </c>
      <c r="G153" s="28" t="s">
        <v>45</v>
      </c>
      <c r="H153" s="29"/>
      <c r="I153" s="29" t="s">
        <v>46</v>
      </c>
      <c r="J153" s="30">
        <v>10</v>
      </c>
      <c r="K153" s="31">
        <f>2124</f>
        <v>2124</v>
      </c>
      <c r="L153" s="32" t="s">
        <v>995</v>
      </c>
      <c r="M153" s="31">
        <f>2130</f>
        <v>2130</v>
      </c>
      <c r="N153" s="32" t="s">
        <v>995</v>
      </c>
      <c r="O153" s="31">
        <f>1970</f>
        <v>1970</v>
      </c>
      <c r="P153" s="32" t="s">
        <v>998</v>
      </c>
      <c r="Q153" s="31">
        <f>2077.5</f>
        <v>2077.5</v>
      </c>
      <c r="R153" s="32" t="s">
        <v>791</v>
      </c>
      <c r="S153" s="33">
        <f>2054.13</f>
        <v>2054.13</v>
      </c>
      <c r="T153" s="30">
        <f>9230</f>
        <v>9230</v>
      </c>
      <c r="U153" s="30" t="str">
        <f t="shared" si="0"/>
        <v>－</v>
      </c>
      <c r="V153" s="30">
        <f>19148830</f>
        <v>19148830</v>
      </c>
      <c r="W153" s="30" t="str">
        <f t="shared" si="1"/>
        <v>－</v>
      </c>
      <c r="X153" s="34">
        <f>20</f>
        <v>20</v>
      </c>
    </row>
    <row r="154" spans="1:24" ht="13.5" customHeight="1" x14ac:dyDescent="0.15">
      <c r="A154" s="25" t="s">
        <v>1139</v>
      </c>
      <c r="B154" s="25" t="s">
        <v>525</v>
      </c>
      <c r="C154" s="25" t="s">
        <v>526</v>
      </c>
      <c r="D154" s="25" t="s">
        <v>527</v>
      </c>
      <c r="E154" s="26" t="s">
        <v>45</v>
      </c>
      <c r="F154" s="27" t="s">
        <v>45</v>
      </c>
      <c r="G154" s="28" t="s">
        <v>45</v>
      </c>
      <c r="H154" s="29"/>
      <c r="I154" s="29" t="s">
        <v>46</v>
      </c>
      <c r="J154" s="30">
        <v>10</v>
      </c>
      <c r="K154" s="31">
        <f>964.6</f>
        <v>964.6</v>
      </c>
      <c r="L154" s="32" t="s">
        <v>995</v>
      </c>
      <c r="M154" s="31">
        <f>999.3</f>
        <v>999.3</v>
      </c>
      <c r="N154" s="32" t="s">
        <v>997</v>
      </c>
      <c r="O154" s="31">
        <f>942</f>
        <v>942</v>
      </c>
      <c r="P154" s="32" t="s">
        <v>1003</v>
      </c>
      <c r="Q154" s="31">
        <f>980</f>
        <v>980</v>
      </c>
      <c r="R154" s="32" t="s">
        <v>791</v>
      </c>
      <c r="S154" s="33">
        <f>966.72</f>
        <v>966.72</v>
      </c>
      <c r="T154" s="30">
        <f>32020</f>
        <v>32020</v>
      </c>
      <c r="U154" s="30" t="str">
        <f t="shared" si="0"/>
        <v>－</v>
      </c>
      <c r="V154" s="30">
        <f>30997492</f>
        <v>30997492</v>
      </c>
      <c r="W154" s="30" t="str">
        <f t="shared" si="1"/>
        <v>－</v>
      </c>
      <c r="X154" s="34">
        <f>22</f>
        <v>22</v>
      </c>
    </row>
    <row r="155" spans="1:24" ht="13.5" customHeight="1" x14ac:dyDescent="0.15">
      <c r="A155" s="25" t="s">
        <v>1139</v>
      </c>
      <c r="B155" s="25" t="s">
        <v>528</v>
      </c>
      <c r="C155" s="25" t="s">
        <v>529</v>
      </c>
      <c r="D155" s="25" t="s">
        <v>530</v>
      </c>
      <c r="E155" s="26" t="s">
        <v>45</v>
      </c>
      <c r="F155" s="27" t="s">
        <v>45</v>
      </c>
      <c r="G155" s="28" t="s">
        <v>45</v>
      </c>
      <c r="H155" s="29"/>
      <c r="I155" s="29" t="s">
        <v>46</v>
      </c>
      <c r="J155" s="30">
        <v>10</v>
      </c>
      <c r="K155" s="31">
        <f>661</f>
        <v>661</v>
      </c>
      <c r="L155" s="32" t="s">
        <v>995</v>
      </c>
      <c r="M155" s="31">
        <f>674.9</f>
        <v>674.9</v>
      </c>
      <c r="N155" s="32" t="s">
        <v>999</v>
      </c>
      <c r="O155" s="31">
        <f>633.3</f>
        <v>633.29999999999995</v>
      </c>
      <c r="P155" s="32" t="s">
        <v>876</v>
      </c>
      <c r="Q155" s="31">
        <f>651.5</f>
        <v>651.5</v>
      </c>
      <c r="R155" s="32" t="s">
        <v>791</v>
      </c>
      <c r="S155" s="33">
        <f>654.28</f>
        <v>654.28</v>
      </c>
      <c r="T155" s="30">
        <f>262260</f>
        <v>262260</v>
      </c>
      <c r="U155" s="30" t="str">
        <f t="shared" si="0"/>
        <v>－</v>
      </c>
      <c r="V155" s="30">
        <f>171967529</f>
        <v>171967529</v>
      </c>
      <c r="W155" s="30" t="str">
        <f t="shared" si="1"/>
        <v>－</v>
      </c>
      <c r="X155" s="34">
        <f>22</f>
        <v>22</v>
      </c>
    </row>
    <row r="156" spans="1:24" ht="13.5" customHeight="1" x14ac:dyDescent="0.15">
      <c r="A156" s="25" t="s">
        <v>1139</v>
      </c>
      <c r="B156" s="25" t="s">
        <v>531</v>
      </c>
      <c r="C156" s="25" t="s">
        <v>532</v>
      </c>
      <c r="D156" s="25" t="s">
        <v>533</v>
      </c>
      <c r="E156" s="26" t="s">
        <v>45</v>
      </c>
      <c r="F156" s="27" t="s">
        <v>45</v>
      </c>
      <c r="G156" s="28" t="s">
        <v>45</v>
      </c>
      <c r="H156" s="29"/>
      <c r="I156" s="29" t="s">
        <v>46</v>
      </c>
      <c r="J156" s="30">
        <v>100</v>
      </c>
      <c r="K156" s="31">
        <f>1.2</f>
        <v>1.2</v>
      </c>
      <c r="L156" s="32" t="s">
        <v>995</v>
      </c>
      <c r="M156" s="31">
        <f>1.4</f>
        <v>1.4</v>
      </c>
      <c r="N156" s="32" t="s">
        <v>875</v>
      </c>
      <c r="O156" s="31">
        <f>1.1</f>
        <v>1.1000000000000001</v>
      </c>
      <c r="P156" s="32" t="s">
        <v>999</v>
      </c>
      <c r="Q156" s="31">
        <f>1.2</f>
        <v>1.2</v>
      </c>
      <c r="R156" s="32" t="s">
        <v>791</v>
      </c>
      <c r="S156" s="33">
        <f>1.21</f>
        <v>1.21</v>
      </c>
      <c r="T156" s="30">
        <f>1212293500</f>
        <v>1212293500</v>
      </c>
      <c r="U156" s="30" t="str">
        <f t="shared" si="0"/>
        <v>－</v>
      </c>
      <c r="V156" s="30">
        <f>1531537670</f>
        <v>1531537670</v>
      </c>
      <c r="W156" s="30" t="str">
        <f t="shared" si="1"/>
        <v>－</v>
      </c>
      <c r="X156" s="34">
        <f>22</f>
        <v>22</v>
      </c>
    </row>
    <row r="157" spans="1:24" ht="13.5" customHeight="1" x14ac:dyDescent="0.15">
      <c r="A157" s="25" t="s">
        <v>1139</v>
      </c>
      <c r="B157" s="25" t="s">
        <v>534</v>
      </c>
      <c r="C157" s="25" t="s">
        <v>535</v>
      </c>
      <c r="D157" s="25" t="s">
        <v>536</v>
      </c>
      <c r="E157" s="26" t="s">
        <v>45</v>
      </c>
      <c r="F157" s="27" t="s">
        <v>45</v>
      </c>
      <c r="G157" s="28" t="s">
        <v>45</v>
      </c>
      <c r="H157" s="29"/>
      <c r="I157" s="29" t="s">
        <v>46</v>
      </c>
      <c r="J157" s="30">
        <v>10</v>
      </c>
      <c r="K157" s="31">
        <f>1367</f>
        <v>1367</v>
      </c>
      <c r="L157" s="32" t="s">
        <v>995</v>
      </c>
      <c r="M157" s="31">
        <f>1429.5</f>
        <v>1429.5</v>
      </c>
      <c r="N157" s="32" t="s">
        <v>875</v>
      </c>
      <c r="O157" s="31">
        <f>1345</f>
        <v>1345</v>
      </c>
      <c r="P157" s="32" t="s">
        <v>996</v>
      </c>
      <c r="Q157" s="31">
        <f>1417.5</f>
        <v>1417.5</v>
      </c>
      <c r="R157" s="32" t="s">
        <v>791</v>
      </c>
      <c r="S157" s="33">
        <f>1389.75</f>
        <v>1389.75</v>
      </c>
      <c r="T157" s="30">
        <f>78890</f>
        <v>78890</v>
      </c>
      <c r="U157" s="30" t="str">
        <f t="shared" si="0"/>
        <v>－</v>
      </c>
      <c r="V157" s="30">
        <f>109435690</f>
        <v>109435690</v>
      </c>
      <c r="W157" s="30" t="str">
        <f t="shared" si="1"/>
        <v>－</v>
      </c>
      <c r="X157" s="34">
        <f>22</f>
        <v>22</v>
      </c>
    </row>
    <row r="158" spans="1:24" ht="13.5" customHeight="1" x14ac:dyDescent="0.15">
      <c r="A158" s="25" t="s">
        <v>1139</v>
      </c>
      <c r="B158" s="25" t="s">
        <v>537</v>
      </c>
      <c r="C158" s="25" t="s">
        <v>538</v>
      </c>
      <c r="D158" s="25" t="s">
        <v>539</v>
      </c>
      <c r="E158" s="26" t="s">
        <v>45</v>
      </c>
      <c r="F158" s="27" t="s">
        <v>45</v>
      </c>
      <c r="G158" s="28" t="s">
        <v>45</v>
      </c>
      <c r="H158" s="29"/>
      <c r="I158" s="29" t="s">
        <v>46</v>
      </c>
      <c r="J158" s="30">
        <v>1</v>
      </c>
      <c r="K158" s="31">
        <f>8156</f>
        <v>8156</v>
      </c>
      <c r="L158" s="32" t="s">
        <v>995</v>
      </c>
      <c r="M158" s="31">
        <f>8898</f>
        <v>8898</v>
      </c>
      <c r="N158" s="32" t="s">
        <v>1005</v>
      </c>
      <c r="O158" s="31">
        <f>7858</f>
        <v>7858</v>
      </c>
      <c r="P158" s="32" t="s">
        <v>996</v>
      </c>
      <c r="Q158" s="31">
        <f>8264</f>
        <v>8264</v>
      </c>
      <c r="R158" s="32" t="s">
        <v>791</v>
      </c>
      <c r="S158" s="33">
        <f>8260.55</f>
        <v>8260.5499999999993</v>
      </c>
      <c r="T158" s="30">
        <f>2229</f>
        <v>2229</v>
      </c>
      <c r="U158" s="30" t="str">
        <f t="shared" si="0"/>
        <v>－</v>
      </c>
      <c r="V158" s="30">
        <f>18314773</f>
        <v>18314773</v>
      </c>
      <c r="W158" s="30" t="str">
        <f t="shared" si="1"/>
        <v>－</v>
      </c>
      <c r="X158" s="34">
        <f>22</f>
        <v>22</v>
      </c>
    </row>
    <row r="159" spans="1:24" ht="13.5" customHeight="1" x14ac:dyDescent="0.15">
      <c r="A159" s="25" t="s">
        <v>1139</v>
      </c>
      <c r="B159" s="25" t="s">
        <v>540</v>
      </c>
      <c r="C159" s="25" t="s">
        <v>541</v>
      </c>
      <c r="D159" s="25" t="s">
        <v>542</v>
      </c>
      <c r="E159" s="26" t="s">
        <v>45</v>
      </c>
      <c r="F159" s="27" t="s">
        <v>45</v>
      </c>
      <c r="G159" s="28" t="s">
        <v>45</v>
      </c>
      <c r="H159" s="29"/>
      <c r="I159" s="29" t="s">
        <v>46</v>
      </c>
      <c r="J159" s="30">
        <v>100</v>
      </c>
      <c r="K159" s="31">
        <f>429.9</f>
        <v>429.9</v>
      </c>
      <c r="L159" s="32" t="s">
        <v>995</v>
      </c>
      <c r="M159" s="31">
        <f>440</f>
        <v>440</v>
      </c>
      <c r="N159" s="32" t="s">
        <v>894</v>
      </c>
      <c r="O159" s="31">
        <f>410.3</f>
        <v>410.3</v>
      </c>
      <c r="P159" s="32" t="s">
        <v>998</v>
      </c>
      <c r="Q159" s="31">
        <f>426</f>
        <v>426</v>
      </c>
      <c r="R159" s="32" t="s">
        <v>791</v>
      </c>
      <c r="S159" s="33">
        <f>424.22</f>
        <v>424.22</v>
      </c>
      <c r="T159" s="30">
        <f>95500</f>
        <v>95500</v>
      </c>
      <c r="U159" s="30" t="str">
        <f t="shared" si="0"/>
        <v>－</v>
      </c>
      <c r="V159" s="30">
        <f>40296570</f>
        <v>40296570</v>
      </c>
      <c r="W159" s="30" t="str">
        <f t="shared" si="1"/>
        <v>－</v>
      </c>
      <c r="X159" s="34">
        <f>20</f>
        <v>20</v>
      </c>
    </row>
    <row r="160" spans="1:24" ht="13.5" customHeight="1" x14ac:dyDescent="0.15">
      <c r="A160" s="25" t="s">
        <v>1139</v>
      </c>
      <c r="B160" s="25" t="s">
        <v>543</v>
      </c>
      <c r="C160" s="25" t="s">
        <v>544</v>
      </c>
      <c r="D160" s="25" t="s">
        <v>545</v>
      </c>
      <c r="E160" s="26" t="s">
        <v>45</v>
      </c>
      <c r="F160" s="27" t="s">
        <v>45</v>
      </c>
      <c r="G160" s="28" t="s">
        <v>45</v>
      </c>
      <c r="H160" s="29"/>
      <c r="I160" s="29" t="s">
        <v>46</v>
      </c>
      <c r="J160" s="30">
        <v>10</v>
      </c>
      <c r="K160" s="31">
        <f>5076</f>
        <v>5076</v>
      </c>
      <c r="L160" s="32" t="s">
        <v>995</v>
      </c>
      <c r="M160" s="31">
        <f>5102</f>
        <v>5102</v>
      </c>
      <c r="N160" s="32" t="s">
        <v>995</v>
      </c>
      <c r="O160" s="31">
        <f>4754</f>
        <v>4754</v>
      </c>
      <c r="P160" s="32" t="s">
        <v>876</v>
      </c>
      <c r="Q160" s="31">
        <f>4949</f>
        <v>4949</v>
      </c>
      <c r="R160" s="32" t="s">
        <v>791</v>
      </c>
      <c r="S160" s="33">
        <f>4893.73</f>
        <v>4893.7299999999996</v>
      </c>
      <c r="T160" s="30">
        <f>33080</f>
        <v>33080</v>
      </c>
      <c r="U160" s="30" t="str">
        <f t="shared" si="0"/>
        <v>－</v>
      </c>
      <c r="V160" s="30">
        <f>163166790</f>
        <v>163166790</v>
      </c>
      <c r="W160" s="30" t="str">
        <f t="shared" si="1"/>
        <v>－</v>
      </c>
      <c r="X160" s="34">
        <f>22</f>
        <v>22</v>
      </c>
    </row>
    <row r="161" spans="1:24" ht="13.5" customHeight="1" x14ac:dyDescent="0.15">
      <c r="A161" s="25" t="s">
        <v>1139</v>
      </c>
      <c r="B161" s="25" t="s">
        <v>546</v>
      </c>
      <c r="C161" s="25" t="s">
        <v>547</v>
      </c>
      <c r="D161" s="25" t="s">
        <v>548</v>
      </c>
      <c r="E161" s="26" t="s">
        <v>45</v>
      </c>
      <c r="F161" s="27" t="s">
        <v>45</v>
      </c>
      <c r="G161" s="28" t="s">
        <v>45</v>
      </c>
      <c r="H161" s="29"/>
      <c r="I161" s="29" t="s">
        <v>46</v>
      </c>
      <c r="J161" s="30">
        <v>10</v>
      </c>
      <c r="K161" s="31">
        <f>2953</f>
        <v>2953</v>
      </c>
      <c r="L161" s="32" t="s">
        <v>995</v>
      </c>
      <c r="M161" s="31">
        <f>2955.5</f>
        <v>2955.5</v>
      </c>
      <c r="N161" s="32" t="s">
        <v>995</v>
      </c>
      <c r="O161" s="31">
        <f>2679</f>
        <v>2679</v>
      </c>
      <c r="P161" s="32" t="s">
        <v>792</v>
      </c>
      <c r="Q161" s="31">
        <f>2759</f>
        <v>2759</v>
      </c>
      <c r="R161" s="32" t="s">
        <v>791</v>
      </c>
      <c r="S161" s="33">
        <f>2782.93</f>
        <v>2782.93</v>
      </c>
      <c r="T161" s="30">
        <f>27990</f>
        <v>27990</v>
      </c>
      <c r="U161" s="30" t="str">
        <f t="shared" si="0"/>
        <v>－</v>
      </c>
      <c r="V161" s="30">
        <f>77350990</f>
        <v>77350990</v>
      </c>
      <c r="W161" s="30" t="str">
        <f t="shared" si="1"/>
        <v>－</v>
      </c>
      <c r="X161" s="34">
        <f>22</f>
        <v>22</v>
      </c>
    </row>
    <row r="162" spans="1:24" ht="13.5" customHeight="1" x14ac:dyDescent="0.15">
      <c r="A162" s="25" t="s">
        <v>1139</v>
      </c>
      <c r="B162" s="25" t="s">
        <v>549</v>
      </c>
      <c r="C162" s="25" t="s">
        <v>550</v>
      </c>
      <c r="D162" s="25" t="s">
        <v>551</v>
      </c>
      <c r="E162" s="26" t="s">
        <v>45</v>
      </c>
      <c r="F162" s="27" t="s">
        <v>45</v>
      </c>
      <c r="G162" s="28" t="s">
        <v>45</v>
      </c>
      <c r="H162" s="29"/>
      <c r="I162" s="29" t="s">
        <v>46</v>
      </c>
      <c r="J162" s="30">
        <v>100</v>
      </c>
      <c r="K162" s="31">
        <f>91.3</f>
        <v>91.3</v>
      </c>
      <c r="L162" s="32" t="s">
        <v>995</v>
      </c>
      <c r="M162" s="31">
        <f>93.5</f>
        <v>93.5</v>
      </c>
      <c r="N162" s="32" t="s">
        <v>999</v>
      </c>
      <c r="O162" s="31">
        <f>81.1</f>
        <v>81.099999999999994</v>
      </c>
      <c r="P162" s="32" t="s">
        <v>893</v>
      </c>
      <c r="Q162" s="31">
        <f>81.7</f>
        <v>81.7</v>
      </c>
      <c r="R162" s="32" t="s">
        <v>791</v>
      </c>
      <c r="S162" s="33">
        <f>86.3</f>
        <v>86.3</v>
      </c>
      <c r="T162" s="30">
        <f>17081900</f>
        <v>17081900</v>
      </c>
      <c r="U162" s="30" t="str">
        <f t="shared" si="0"/>
        <v>－</v>
      </c>
      <c r="V162" s="30">
        <f>1469138840</f>
        <v>1469138840</v>
      </c>
      <c r="W162" s="30" t="str">
        <f t="shared" si="1"/>
        <v>－</v>
      </c>
      <c r="X162" s="34">
        <f>22</f>
        <v>22</v>
      </c>
    </row>
    <row r="163" spans="1:24" ht="13.5" customHeight="1" x14ac:dyDescent="0.15">
      <c r="A163" s="25" t="s">
        <v>1139</v>
      </c>
      <c r="B163" s="25" t="s">
        <v>552</v>
      </c>
      <c r="C163" s="25" t="s">
        <v>553</v>
      </c>
      <c r="D163" s="25" t="s">
        <v>554</v>
      </c>
      <c r="E163" s="26" t="s">
        <v>45</v>
      </c>
      <c r="F163" s="27" t="s">
        <v>45</v>
      </c>
      <c r="G163" s="28" t="s">
        <v>45</v>
      </c>
      <c r="H163" s="29"/>
      <c r="I163" s="29" t="s">
        <v>46</v>
      </c>
      <c r="J163" s="30">
        <v>100</v>
      </c>
      <c r="K163" s="31">
        <f>173</f>
        <v>173</v>
      </c>
      <c r="L163" s="32" t="s">
        <v>995</v>
      </c>
      <c r="M163" s="31">
        <f>177</f>
        <v>177</v>
      </c>
      <c r="N163" s="32" t="s">
        <v>1004</v>
      </c>
      <c r="O163" s="31">
        <f>161.9</f>
        <v>161.9</v>
      </c>
      <c r="P163" s="32" t="s">
        <v>876</v>
      </c>
      <c r="Q163" s="31">
        <f>165.4</f>
        <v>165.4</v>
      </c>
      <c r="R163" s="32" t="s">
        <v>791</v>
      </c>
      <c r="S163" s="33">
        <f>167.45</f>
        <v>167.45</v>
      </c>
      <c r="T163" s="30">
        <f>1698600</f>
        <v>1698600</v>
      </c>
      <c r="U163" s="30" t="str">
        <f t="shared" si="0"/>
        <v>－</v>
      </c>
      <c r="V163" s="30">
        <f>285048850</f>
        <v>285048850</v>
      </c>
      <c r="W163" s="30" t="str">
        <f t="shared" si="1"/>
        <v>－</v>
      </c>
      <c r="X163" s="34">
        <f>22</f>
        <v>22</v>
      </c>
    </row>
    <row r="164" spans="1:24" ht="13.5" customHeight="1" x14ac:dyDescent="0.15">
      <c r="A164" s="25" t="s">
        <v>1139</v>
      </c>
      <c r="B164" s="25" t="s">
        <v>555</v>
      </c>
      <c r="C164" s="25" t="s">
        <v>556</v>
      </c>
      <c r="D164" s="25" t="s">
        <v>557</v>
      </c>
      <c r="E164" s="26" t="s">
        <v>45</v>
      </c>
      <c r="F164" s="27" t="s">
        <v>45</v>
      </c>
      <c r="G164" s="28" t="s">
        <v>45</v>
      </c>
      <c r="H164" s="29"/>
      <c r="I164" s="29" t="s">
        <v>46</v>
      </c>
      <c r="J164" s="30">
        <v>10</v>
      </c>
      <c r="K164" s="31">
        <f>4598</f>
        <v>4598</v>
      </c>
      <c r="L164" s="32" t="s">
        <v>995</v>
      </c>
      <c r="M164" s="31">
        <f>4999</f>
        <v>4999</v>
      </c>
      <c r="N164" s="32" t="s">
        <v>997</v>
      </c>
      <c r="O164" s="31">
        <f>4476</f>
        <v>4476</v>
      </c>
      <c r="P164" s="32" t="s">
        <v>1000</v>
      </c>
      <c r="Q164" s="31">
        <f>4888</f>
        <v>4888</v>
      </c>
      <c r="R164" s="32" t="s">
        <v>791</v>
      </c>
      <c r="S164" s="33">
        <f>4711.91</f>
        <v>4711.91</v>
      </c>
      <c r="T164" s="30">
        <f>14930</f>
        <v>14930</v>
      </c>
      <c r="U164" s="30" t="str">
        <f t="shared" si="0"/>
        <v>－</v>
      </c>
      <c r="V164" s="30">
        <f>71220080</f>
        <v>71220080</v>
      </c>
      <c r="W164" s="30" t="str">
        <f t="shared" si="1"/>
        <v>－</v>
      </c>
      <c r="X164" s="34">
        <f>22</f>
        <v>22</v>
      </c>
    </row>
    <row r="165" spans="1:24" ht="13.5" customHeight="1" x14ac:dyDescent="0.15">
      <c r="A165" s="25" t="s">
        <v>1139</v>
      </c>
      <c r="B165" s="25" t="s">
        <v>558</v>
      </c>
      <c r="C165" s="25" t="s">
        <v>559</v>
      </c>
      <c r="D165" s="25" t="s">
        <v>1126</v>
      </c>
      <c r="E165" s="26" t="s">
        <v>45</v>
      </c>
      <c r="F165" s="27" t="s">
        <v>45</v>
      </c>
      <c r="G165" s="28" t="s">
        <v>45</v>
      </c>
      <c r="H165" s="29"/>
      <c r="I165" s="29" t="s">
        <v>46</v>
      </c>
      <c r="J165" s="30">
        <v>10</v>
      </c>
      <c r="K165" s="31">
        <f>2515.5</f>
        <v>2515.5</v>
      </c>
      <c r="L165" s="32" t="s">
        <v>995</v>
      </c>
      <c r="M165" s="31">
        <f>2559</f>
        <v>2559</v>
      </c>
      <c r="N165" s="32" t="s">
        <v>791</v>
      </c>
      <c r="O165" s="31">
        <f>2445</f>
        <v>2445</v>
      </c>
      <c r="P165" s="32" t="s">
        <v>792</v>
      </c>
      <c r="Q165" s="31">
        <f>2552.5</f>
        <v>2552.5</v>
      </c>
      <c r="R165" s="32" t="s">
        <v>791</v>
      </c>
      <c r="S165" s="33">
        <f>2494.18</f>
        <v>2494.1799999999998</v>
      </c>
      <c r="T165" s="30">
        <f>2776240</f>
        <v>2776240</v>
      </c>
      <c r="U165" s="30">
        <f>2410010</f>
        <v>2410010</v>
      </c>
      <c r="V165" s="30">
        <f>6803326410</f>
        <v>6803326410</v>
      </c>
      <c r="W165" s="30">
        <f>5891235745</f>
        <v>5891235745</v>
      </c>
      <c r="X165" s="34">
        <f>22</f>
        <v>22</v>
      </c>
    </row>
    <row r="166" spans="1:24" ht="13.5" customHeight="1" x14ac:dyDescent="0.15">
      <c r="A166" s="25" t="s">
        <v>1139</v>
      </c>
      <c r="B166" s="25" t="s">
        <v>561</v>
      </c>
      <c r="C166" s="25" t="s">
        <v>1127</v>
      </c>
      <c r="D166" s="25" t="s">
        <v>1128</v>
      </c>
      <c r="E166" s="26" t="s">
        <v>45</v>
      </c>
      <c r="F166" s="27" t="s">
        <v>45</v>
      </c>
      <c r="G166" s="28" t="s">
        <v>45</v>
      </c>
      <c r="H166" s="29"/>
      <c r="I166" s="29" t="s">
        <v>46</v>
      </c>
      <c r="J166" s="30">
        <v>10</v>
      </c>
      <c r="K166" s="31">
        <f>374.7</f>
        <v>374.7</v>
      </c>
      <c r="L166" s="32" t="s">
        <v>995</v>
      </c>
      <c r="M166" s="31">
        <f>391</f>
        <v>391</v>
      </c>
      <c r="N166" s="32" t="s">
        <v>875</v>
      </c>
      <c r="O166" s="31">
        <f>368.5</f>
        <v>368.5</v>
      </c>
      <c r="P166" s="32" t="s">
        <v>996</v>
      </c>
      <c r="Q166" s="31">
        <f>387.6</f>
        <v>387.6</v>
      </c>
      <c r="R166" s="32" t="s">
        <v>791</v>
      </c>
      <c r="S166" s="33">
        <f>380.53</f>
        <v>380.53</v>
      </c>
      <c r="T166" s="30">
        <f>25115270</f>
        <v>25115270</v>
      </c>
      <c r="U166" s="30">
        <f>3230</f>
        <v>3230</v>
      </c>
      <c r="V166" s="30">
        <f>9585133610</f>
        <v>9585133610</v>
      </c>
      <c r="W166" s="30">
        <f>1205003</f>
        <v>1205003</v>
      </c>
      <c r="X166" s="34">
        <f>22</f>
        <v>22</v>
      </c>
    </row>
    <row r="167" spans="1:24" ht="13.5" customHeight="1" x14ac:dyDescent="0.15">
      <c r="A167" s="25" t="s">
        <v>1139</v>
      </c>
      <c r="B167" s="25" t="s">
        <v>564</v>
      </c>
      <c r="C167" s="25" t="s">
        <v>565</v>
      </c>
      <c r="D167" s="25" t="s">
        <v>566</v>
      </c>
      <c r="E167" s="26" t="s">
        <v>45</v>
      </c>
      <c r="F167" s="27" t="s">
        <v>45</v>
      </c>
      <c r="G167" s="28" t="s">
        <v>45</v>
      </c>
      <c r="H167" s="29"/>
      <c r="I167" s="29" t="s">
        <v>567</v>
      </c>
      <c r="J167" s="30">
        <v>1</v>
      </c>
      <c r="K167" s="31">
        <f>6110</f>
        <v>6110</v>
      </c>
      <c r="L167" s="32" t="s">
        <v>995</v>
      </c>
      <c r="M167" s="31">
        <f>6240</f>
        <v>6240</v>
      </c>
      <c r="N167" s="32" t="s">
        <v>995</v>
      </c>
      <c r="O167" s="31">
        <f>4700</f>
        <v>4700</v>
      </c>
      <c r="P167" s="32" t="s">
        <v>1001</v>
      </c>
      <c r="Q167" s="31">
        <f>5180</f>
        <v>5180</v>
      </c>
      <c r="R167" s="32" t="s">
        <v>791</v>
      </c>
      <c r="S167" s="33">
        <f>5290.68</f>
        <v>5290.68</v>
      </c>
      <c r="T167" s="30">
        <f>61606</f>
        <v>61606</v>
      </c>
      <c r="U167" s="30" t="str">
        <f>"－"</f>
        <v>－</v>
      </c>
      <c r="V167" s="30">
        <f>321791350</f>
        <v>321791350</v>
      </c>
      <c r="W167" s="30" t="str">
        <f>"－"</f>
        <v>－</v>
      </c>
      <c r="X167" s="34">
        <f>22</f>
        <v>22</v>
      </c>
    </row>
    <row r="168" spans="1:24" ht="13.5" customHeight="1" x14ac:dyDescent="0.15">
      <c r="A168" s="25" t="s">
        <v>1139</v>
      </c>
      <c r="B168" s="25" t="s">
        <v>568</v>
      </c>
      <c r="C168" s="25" t="s">
        <v>569</v>
      </c>
      <c r="D168" s="25" t="s">
        <v>570</v>
      </c>
      <c r="E168" s="26" t="s">
        <v>45</v>
      </c>
      <c r="F168" s="27" t="s">
        <v>45</v>
      </c>
      <c r="G168" s="28" t="s">
        <v>45</v>
      </c>
      <c r="H168" s="29"/>
      <c r="I168" s="29" t="s">
        <v>567</v>
      </c>
      <c r="J168" s="30">
        <v>1</v>
      </c>
      <c r="K168" s="31">
        <f>7807</f>
        <v>7807</v>
      </c>
      <c r="L168" s="32" t="s">
        <v>995</v>
      </c>
      <c r="M168" s="31">
        <f>9231</f>
        <v>9231</v>
      </c>
      <c r="N168" s="32" t="s">
        <v>1001</v>
      </c>
      <c r="O168" s="31">
        <f>7702</f>
        <v>7702</v>
      </c>
      <c r="P168" s="32" t="s">
        <v>995</v>
      </c>
      <c r="Q168" s="31">
        <f>8768</f>
        <v>8768</v>
      </c>
      <c r="R168" s="32" t="s">
        <v>791</v>
      </c>
      <c r="S168" s="33">
        <f>8541</f>
        <v>8541</v>
      </c>
      <c r="T168" s="30">
        <f>25022</f>
        <v>25022</v>
      </c>
      <c r="U168" s="30" t="str">
        <f>"－"</f>
        <v>－</v>
      </c>
      <c r="V168" s="30">
        <f>219518735</f>
        <v>219518735</v>
      </c>
      <c r="W168" s="30" t="str">
        <f>"－"</f>
        <v>－</v>
      </c>
      <c r="X168" s="34">
        <f>22</f>
        <v>22</v>
      </c>
    </row>
    <row r="169" spans="1:24" ht="13.5" customHeight="1" x14ac:dyDescent="0.15">
      <c r="A169" s="25" t="s">
        <v>1139</v>
      </c>
      <c r="B169" s="25" t="s">
        <v>571</v>
      </c>
      <c r="C169" s="25" t="s">
        <v>572</v>
      </c>
      <c r="D169" s="25" t="s">
        <v>573</v>
      </c>
      <c r="E169" s="26" t="s">
        <v>45</v>
      </c>
      <c r="F169" s="27" t="s">
        <v>45</v>
      </c>
      <c r="G169" s="28" t="s">
        <v>45</v>
      </c>
      <c r="H169" s="29"/>
      <c r="I169" s="29" t="s">
        <v>567</v>
      </c>
      <c r="J169" s="30">
        <v>1</v>
      </c>
      <c r="K169" s="31">
        <f>12910</f>
        <v>12910</v>
      </c>
      <c r="L169" s="32" t="s">
        <v>995</v>
      </c>
      <c r="M169" s="31">
        <f>13255</f>
        <v>13255</v>
      </c>
      <c r="N169" s="32" t="s">
        <v>995</v>
      </c>
      <c r="O169" s="31">
        <f>11220</f>
        <v>11220</v>
      </c>
      <c r="P169" s="32" t="s">
        <v>792</v>
      </c>
      <c r="Q169" s="31">
        <f>12215</f>
        <v>12215</v>
      </c>
      <c r="R169" s="32" t="s">
        <v>997</v>
      </c>
      <c r="S169" s="33">
        <f>12076.33</f>
        <v>12076.33</v>
      </c>
      <c r="T169" s="30">
        <f>228</f>
        <v>228</v>
      </c>
      <c r="U169" s="30" t="str">
        <f>"－"</f>
        <v>－</v>
      </c>
      <c r="V169" s="30">
        <f>2761530</f>
        <v>2761530</v>
      </c>
      <c r="W169" s="30" t="str">
        <f>"－"</f>
        <v>－</v>
      </c>
      <c r="X169" s="34">
        <f>15</f>
        <v>15</v>
      </c>
    </row>
    <row r="170" spans="1:24" ht="13.5" customHeight="1" x14ac:dyDescent="0.15">
      <c r="A170" s="25" t="s">
        <v>1139</v>
      </c>
      <c r="B170" s="25" t="s">
        <v>574</v>
      </c>
      <c r="C170" s="25" t="s">
        <v>575</v>
      </c>
      <c r="D170" s="25" t="s">
        <v>576</v>
      </c>
      <c r="E170" s="26" t="s">
        <v>45</v>
      </c>
      <c r="F170" s="27" t="s">
        <v>45</v>
      </c>
      <c r="G170" s="28" t="s">
        <v>45</v>
      </c>
      <c r="H170" s="29"/>
      <c r="I170" s="29" t="s">
        <v>567</v>
      </c>
      <c r="J170" s="30">
        <v>1</v>
      </c>
      <c r="K170" s="31">
        <f>7870</f>
        <v>7870</v>
      </c>
      <c r="L170" s="32" t="s">
        <v>995</v>
      </c>
      <c r="M170" s="31">
        <f>8230</f>
        <v>8230</v>
      </c>
      <c r="N170" s="32" t="s">
        <v>997</v>
      </c>
      <c r="O170" s="31">
        <f>7748</f>
        <v>7748</v>
      </c>
      <c r="P170" s="32" t="s">
        <v>999</v>
      </c>
      <c r="Q170" s="31">
        <f>8096</f>
        <v>8096</v>
      </c>
      <c r="R170" s="32" t="s">
        <v>791</v>
      </c>
      <c r="S170" s="33">
        <f>8020.91</f>
        <v>8020.91</v>
      </c>
      <c r="T170" s="30">
        <f>8378</f>
        <v>8378</v>
      </c>
      <c r="U170" s="30" t="str">
        <f>"－"</f>
        <v>－</v>
      </c>
      <c r="V170" s="30">
        <f>67071293</f>
        <v>67071293</v>
      </c>
      <c r="W170" s="30" t="str">
        <f>"－"</f>
        <v>－</v>
      </c>
      <c r="X170" s="34">
        <f>22</f>
        <v>22</v>
      </c>
    </row>
    <row r="171" spans="1:24" ht="13.5" customHeight="1" x14ac:dyDescent="0.15">
      <c r="A171" s="25" t="s">
        <v>1139</v>
      </c>
      <c r="B171" s="25" t="s">
        <v>577</v>
      </c>
      <c r="C171" s="25" t="s">
        <v>578</v>
      </c>
      <c r="D171" s="25" t="s">
        <v>579</v>
      </c>
      <c r="E171" s="26" t="s">
        <v>45</v>
      </c>
      <c r="F171" s="27" t="s">
        <v>45</v>
      </c>
      <c r="G171" s="28" t="s">
        <v>45</v>
      </c>
      <c r="H171" s="29"/>
      <c r="I171" s="29" t="s">
        <v>567</v>
      </c>
      <c r="J171" s="30">
        <v>1</v>
      </c>
      <c r="K171" s="31">
        <f>33730</f>
        <v>33730</v>
      </c>
      <c r="L171" s="32" t="s">
        <v>995</v>
      </c>
      <c r="M171" s="31">
        <f>35000</f>
        <v>35000</v>
      </c>
      <c r="N171" s="32" t="s">
        <v>791</v>
      </c>
      <c r="O171" s="31">
        <f>32490</f>
        <v>32490</v>
      </c>
      <c r="P171" s="32" t="s">
        <v>998</v>
      </c>
      <c r="Q171" s="31">
        <f>34790</f>
        <v>34790</v>
      </c>
      <c r="R171" s="32" t="s">
        <v>791</v>
      </c>
      <c r="S171" s="33">
        <f>33474.09</f>
        <v>33474.089999999997</v>
      </c>
      <c r="T171" s="30">
        <f>35501</f>
        <v>35501</v>
      </c>
      <c r="U171" s="30">
        <f>32</f>
        <v>32</v>
      </c>
      <c r="V171" s="30">
        <f>1190946770</f>
        <v>1190946770</v>
      </c>
      <c r="W171" s="30">
        <f>1079090</f>
        <v>1079090</v>
      </c>
      <c r="X171" s="34">
        <f>22</f>
        <v>22</v>
      </c>
    </row>
    <row r="172" spans="1:24" ht="13.5" customHeight="1" x14ac:dyDescent="0.15">
      <c r="A172" s="25" t="s">
        <v>1139</v>
      </c>
      <c r="B172" s="25" t="s">
        <v>580</v>
      </c>
      <c r="C172" s="25" t="s">
        <v>581</v>
      </c>
      <c r="D172" s="25" t="s">
        <v>582</v>
      </c>
      <c r="E172" s="26" t="s">
        <v>45</v>
      </c>
      <c r="F172" s="27" t="s">
        <v>45</v>
      </c>
      <c r="G172" s="28" t="s">
        <v>45</v>
      </c>
      <c r="H172" s="29"/>
      <c r="I172" s="29" t="s">
        <v>567</v>
      </c>
      <c r="J172" s="30">
        <v>1</v>
      </c>
      <c r="K172" s="31">
        <f>3790</f>
        <v>3790</v>
      </c>
      <c r="L172" s="32" t="s">
        <v>995</v>
      </c>
      <c r="M172" s="31">
        <f>3835</f>
        <v>3835</v>
      </c>
      <c r="N172" s="32" t="s">
        <v>998</v>
      </c>
      <c r="O172" s="31">
        <f>3705</f>
        <v>3705</v>
      </c>
      <c r="P172" s="32" t="s">
        <v>791</v>
      </c>
      <c r="Q172" s="31">
        <f>3725</f>
        <v>3725</v>
      </c>
      <c r="R172" s="32" t="s">
        <v>791</v>
      </c>
      <c r="S172" s="33">
        <f>3771.82</f>
        <v>3771.82</v>
      </c>
      <c r="T172" s="30">
        <f>7584</f>
        <v>7584</v>
      </c>
      <c r="U172" s="30" t="str">
        <f>"－"</f>
        <v>－</v>
      </c>
      <c r="V172" s="30">
        <f>28526060</f>
        <v>28526060</v>
      </c>
      <c r="W172" s="30" t="str">
        <f>"－"</f>
        <v>－</v>
      </c>
      <c r="X172" s="34">
        <f>22</f>
        <v>22</v>
      </c>
    </row>
    <row r="173" spans="1:24" ht="13.5" customHeight="1" x14ac:dyDescent="0.15">
      <c r="A173" s="25" t="s">
        <v>1139</v>
      </c>
      <c r="B173" s="25" t="s">
        <v>583</v>
      </c>
      <c r="C173" s="25" t="s">
        <v>584</v>
      </c>
      <c r="D173" s="25" t="s">
        <v>585</v>
      </c>
      <c r="E173" s="26" t="s">
        <v>45</v>
      </c>
      <c r="F173" s="27" t="s">
        <v>45</v>
      </c>
      <c r="G173" s="28" t="s">
        <v>45</v>
      </c>
      <c r="H173" s="29"/>
      <c r="I173" s="29" t="s">
        <v>567</v>
      </c>
      <c r="J173" s="30">
        <v>1</v>
      </c>
      <c r="K173" s="31">
        <f>1711</f>
        <v>1711</v>
      </c>
      <c r="L173" s="32" t="s">
        <v>995</v>
      </c>
      <c r="M173" s="31">
        <f>1876</f>
        <v>1876</v>
      </c>
      <c r="N173" s="32" t="s">
        <v>875</v>
      </c>
      <c r="O173" s="31">
        <f>1683</f>
        <v>1683</v>
      </c>
      <c r="P173" s="32" t="s">
        <v>996</v>
      </c>
      <c r="Q173" s="31">
        <f>1864</f>
        <v>1864</v>
      </c>
      <c r="R173" s="32" t="s">
        <v>791</v>
      </c>
      <c r="S173" s="33">
        <f>1797.55</f>
        <v>1797.55</v>
      </c>
      <c r="T173" s="30">
        <f>16032865</f>
        <v>16032865</v>
      </c>
      <c r="U173" s="30">
        <f>431340</f>
        <v>431340</v>
      </c>
      <c r="V173" s="30">
        <f>28745672413</f>
        <v>28745672413</v>
      </c>
      <c r="W173" s="30">
        <f>766988583</f>
        <v>766988583</v>
      </c>
      <c r="X173" s="34">
        <f>22</f>
        <v>22</v>
      </c>
    </row>
    <row r="174" spans="1:24" ht="13.5" customHeight="1" x14ac:dyDescent="0.15">
      <c r="A174" s="25" t="s">
        <v>1139</v>
      </c>
      <c r="B174" s="25" t="s">
        <v>586</v>
      </c>
      <c r="C174" s="25" t="s">
        <v>587</v>
      </c>
      <c r="D174" s="25" t="s">
        <v>588</v>
      </c>
      <c r="E174" s="26" t="s">
        <v>45</v>
      </c>
      <c r="F174" s="27" t="s">
        <v>45</v>
      </c>
      <c r="G174" s="28" t="s">
        <v>45</v>
      </c>
      <c r="H174" s="29"/>
      <c r="I174" s="29" t="s">
        <v>567</v>
      </c>
      <c r="J174" s="30">
        <v>1</v>
      </c>
      <c r="K174" s="31">
        <f>1182</f>
        <v>1182</v>
      </c>
      <c r="L174" s="32" t="s">
        <v>995</v>
      </c>
      <c r="M174" s="31">
        <f>1187</f>
        <v>1187</v>
      </c>
      <c r="N174" s="32" t="s">
        <v>996</v>
      </c>
      <c r="O174" s="31">
        <f>1121</f>
        <v>1121</v>
      </c>
      <c r="P174" s="32" t="s">
        <v>791</v>
      </c>
      <c r="Q174" s="31">
        <f>1123</f>
        <v>1123</v>
      </c>
      <c r="R174" s="32" t="s">
        <v>791</v>
      </c>
      <c r="S174" s="33">
        <f>1149.05</f>
        <v>1149.05</v>
      </c>
      <c r="T174" s="30">
        <f>1961071</f>
        <v>1961071</v>
      </c>
      <c r="U174" s="30">
        <f>1315</f>
        <v>1315</v>
      </c>
      <c r="V174" s="30">
        <f>2257161059</f>
        <v>2257161059</v>
      </c>
      <c r="W174" s="30">
        <f>1510830</f>
        <v>1510830</v>
      </c>
      <c r="X174" s="34">
        <f>22</f>
        <v>22</v>
      </c>
    </row>
    <row r="175" spans="1:24" ht="13.5" customHeight="1" x14ac:dyDescent="0.15">
      <c r="A175" s="25" t="s">
        <v>1139</v>
      </c>
      <c r="B175" s="25" t="s">
        <v>589</v>
      </c>
      <c r="C175" s="25" t="s">
        <v>590</v>
      </c>
      <c r="D175" s="25" t="s">
        <v>591</v>
      </c>
      <c r="E175" s="26" t="s">
        <v>45</v>
      </c>
      <c r="F175" s="27" t="s">
        <v>45</v>
      </c>
      <c r="G175" s="28" t="s">
        <v>45</v>
      </c>
      <c r="H175" s="29"/>
      <c r="I175" s="29" t="s">
        <v>567</v>
      </c>
      <c r="J175" s="30">
        <v>1</v>
      </c>
      <c r="K175" s="31">
        <f>26390</f>
        <v>26390</v>
      </c>
      <c r="L175" s="32" t="s">
        <v>995</v>
      </c>
      <c r="M175" s="31">
        <f>26450</f>
        <v>26450</v>
      </c>
      <c r="N175" s="32" t="s">
        <v>999</v>
      </c>
      <c r="O175" s="31">
        <f>24365</f>
        <v>24365</v>
      </c>
      <c r="P175" s="32" t="s">
        <v>789</v>
      </c>
      <c r="Q175" s="31">
        <f>25200</f>
        <v>25200</v>
      </c>
      <c r="R175" s="32" t="s">
        <v>791</v>
      </c>
      <c r="S175" s="33">
        <f>25393.18</f>
        <v>25393.18</v>
      </c>
      <c r="T175" s="30">
        <f>51302</f>
        <v>51302</v>
      </c>
      <c r="U175" s="30">
        <f>99</f>
        <v>99</v>
      </c>
      <c r="V175" s="30">
        <f>1295554145</f>
        <v>1295554145</v>
      </c>
      <c r="W175" s="30">
        <f>2458705</f>
        <v>2458705</v>
      </c>
      <c r="X175" s="34">
        <f>22</f>
        <v>22</v>
      </c>
    </row>
    <row r="176" spans="1:24" ht="13.5" customHeight="1" x14ac:dyDescent="0.15">
      <c r="A176" s="25" t="s">
        <v>1139</v>
      </c>
      <c r="B176" s="25" t="s">
        <v>592</v>
      </c>
      <c r="C176" s="25" t="s">
        <v>593</v>
      </c>
      <c r="D176" s="25" t="s">
        <v>594</v>
      </c>
      <c r="E176" s="26" t="s">
        <v>45</v>
      </c>
      <c r="F176" s="27" t="s">
        <v>45</v>
      </c>
      <c r="G176" s="28" t="s">
        <v>45</v>
      </c>
      <c r="H176" s="29"/>
      <c r="I176" s="29" t="s">
        <v>567</v>
      </c>
      <c r="J176" s="30">
        <v>1</v>
      </c>
      <c r="K176" s="31">
        <f>2769</f>
        <v>2769</v>
      </c>
      <c r="L176" s="32" t="s">
        <v>995</v>
      </c>
      <c r="M176" s="31">
        <f>2868</f>
        <v>2868</v>
      </c>
      <c r="N176" s="32" t="s">
        <v>789</v>
      </c>
      <c r="O176" s="31">
        <f>2740</f>
        <v>2740</v>
      </c>
      <c r="P176" s="32" t="s">
        <v>995</v>
      </c>
      <c r="Q176" s="31">
        <f>2798</f>
        <v>2798</v>
      </c>
      <c r="R176" s="32" t="s">
        <v>791</v>
      </c>
      <c r="S176" s="33">
        <f>2803.64</f>
        <v>2803.64</v>
      </c>
      <c r="T176" s="30">
        <f>397257</f>
        <v>397257</v>
      </c>
      <c r="U176" s="30">
        <f>110</f>
        <v>110</v>
      </c>
      <c r="V176" s="30">
        <f>1114431681</f>
        <v>1114431681</v>
      </c>
      <c r="W176" s="30">
        <f>303770</f>
        <v>303770</v>
      </c>
      <c r="X176" s="34">
        <f>22</f>
        <v>22</v>
      </c>
    </row>
    <row r="177" spans="1:24" ht="13.5" customHeight="1" x14ac:dyDescent="0.15">
      <c r="A177" s="25" t="s">
        <v>1139</v>
      </c>
      <c r="B177" s="25" t="s">
        <v>595</v>
      </c>
      <c r="C177" s="25" t="s">
        <v>596</v>
      </c>
      <c r="D177" s="25" t="s">
        <v>597</v>
      </c>
      <c r="E177" s="26" t="s">
        <v>45</v>
      </c>
      <c r="F177" s="27" t="s">
        <v>45</v>
      </c>
      <c r="G177" s="28" t="s">
        <v>45</v>
      </c>
      <c r="H177" s="29"/>
      <c r="I177" s="29" t="s">
        <v>567</v>
      </c>
      <c r="J177" s="30">
        <v>1</v>
      </c>
      <c r="K177" s="31">
        <f>8373</f>
        <v>8373</v>
      </c>
      <c r="L177" s="32" t="s">
        <v>995</v>
      </c>
      <c r="M177" s="31">
        <f>8376</f>
        <v>8376</v>
      </c>
      <c r="N177" s="32" t="s">
        <v>995</v>
      </c>
      <c r="O177" s="31">
        <f>7600</f>
        <v>7600</v>
      </c>
      <c r="P177" s="32" t="s">
        <v>792</v>
      </c>
      <c r="Q177" s="31">
        <f>8134</f>
        <v>8134</v>
      </c>
      <c r="R177" s="32" t="s">
        <v>791</v>
      </c>
      <c r="S177" s="33">
        <f>8019.91</f>
        <v>8019.91</v>
      </c>
      <c r="T177" s="30">
        <f>37762</f>
        <v>37762</v>
      </c>
      <c r="U177" s="30">
        <f>31</f>
        <v>31</v>
      </c>
      <c r="V177" s="30">
        <f>302870436</f>
        <v>302870436</v>
      </c>
      <c r="W177" s="30">
        <f>258928</f>
        <v>258928</v>
      </c>
      <c r="X177" s="34">
        <f>22</f>
        <v>22</v>
      </c>
    </row>
    <row r="178" spans="1:24" ht="13.5" customHeight="1" x14ac:dyDescent="0.15">
      <c r="A178" s="25" t="s">
        <v>1139</v>
      </c>
      <c r="B178" s="25" t="s">
        <v>598</v>
      </c>
      <c r="C178" s="25" t="s">
        <v>599</v>
      </c>
      <c r="D178" s="25" t="s">
        <v>600</v>
      </c>
      <c r="E178" s="26" t="s">
        <v>45</v>
      </c>
      <c r="F178" s="27" t="s">
        <v>45</v>
      </c>
      <c r="G178" s="28" t="s">
        <v>45</v>
      </c>
      <c r="H178" s="29"/>
      <c r="I178" s="29" t="s">
        <v>567</v>
      </c>
      <c r="J178" s="30">
        <v>1</v>
      </c>
      <c r="K178" s="31">
        <f>17980</f>
        <v>17980</v>
      </c>
      <c r="L178" s="32" t="s">
        <v>995</v>
      </c>
      <c r="M178" s="31">
        <f>18125</f>
        <v>18125</v>
      </c>
      <c r="N178" s="32" t="s">
        <v>995</v>
      </c>
      <c r="O178" s="31">
        <f>17010</f>
        <v>17010</v>
      </c>
      <c r="P178" s="32" t="s">
        <v>998</v>
      </c>
      <c r="Q178" s="31">
        <f>17750</f>
        <v>17750</v>
      </c>
      <c r="R178" s="32" t="s">
        <v>791</v>
      </c>
      <c r="S178" s="33">
        <f>17710.53</f>
        <v>17710.53</v>
      </c>
      <c r="T178" s="30">
        <f>544</f>
        <v>544</v>
      </c>
      <c r="U178" s="30" t="str">
        <f t="shared" ref="U178:U190" si="2">"－"</f>
        <v>－</v>
      </c>
      <c r="V178" s="30">
        <f>9652260</f>
        <v>9652260</v>
      </c>
      <c r="W178" s="30" t="str">
        <f t="shared" ref="W178:W190" si="3">"－"</f>
        <v>－</v>
      </c>
      <c r="X178" s="34">
        <f>19</f>
        <v>19</v>
      </c>
    </row>
    <row r="179" spans="1:24" ht="13.5" customHeight="1" x14ac:dyDescent="0.15">
      <c r="A179" s="25" t="s">
        <v>1139</v>
      </c>
      <c r="B179" s="25" t="s">
        <v>601</v>
      </c>
      <c r="C179" s="25" t="s">
        <v>602</v>
      </c>
      <c r="D179" s="25" t="s">
        <v>603</v>
      </c>
      <c r="E179" s="26" t="s">
        <v>45</v>
      </c>
      <c r="F179" s="27" t="s">
        <v>45</v>
      </c>
      <c r="G179" s="28" t="s">
        <v>45</v>
      </c>
      <c r="H179" s="29"/>
      <c r="I179" s="29" t="s">
        <v>567</v>
      </c>
      <c r="J179" s="30">
        <v>1</v>
      </c>
      <c r="K179" s="31">
        <f>25895</f>
        <v>25895</v>
      </c>
      <c r="L179" s="32" t="s">
        <v>995</v>
      </c>
      <c r="M179" s="31">
        <f>26150</f>
        <v>26150</v>
      </c>
      <c r="N179" s="32" t="s">
        <v>893</v>
      </c>
      <c r="O179" s="31">
        <f>25380</f>
        <v>25380</v>
      </c>
      <c r="P179" s="32" t="s">
        <v>894</v>
      </c>
      <c r="Q179" s="31">
        <f>26095</f>
        <v>26095</v>
      </c>
      <c r="R179" s="32" t="s">
        <v>791</v>
      </c>
      <c r="S179" s="33">
        <f>25804.32</f>
        <v>25804.32</v>
      </c>
      <c r="T179" s="30">
        <f>15424</f>
        <v>15424</v>
      </c>
      <c r="U179" s="30" t="str">
        <f t="shared" si="2"/>
        <v>－</v>
      </c>
      <c r="V179" s="30">
        <f>397962985</f>
        <v>397962985</v>
      </c>
      <c r="W179" s="30" t="str">
        <f t="shared" si="3"/>
        <v>－</v>
      </c>
      <c r="X179" s="34">
        <f>22</f>
        <v>22</v>
      </c>
    </row>
    <row r="180" spans="1:24" ht="13.5" customHeight="1" x14ac:dyDescent="0.15">
      <c r="A180" s="25" t="s">
        <v>1139</v>
      </c>
      <c r="B180" s="25" t="s">
        <v>604</v>
      </c>
      <c r="C180" s="25" t="s">
        <v>605</v>
      </c>
      <c r="D180" s="25" t="s">
        <v>606</v>
      </c>
      <c r="E180" s="26" t="s">
        <v>45</v>
      </c>
      <c r="F180" s="27" t="s">
        <v>45</v>
      </c>
      <c r="G180" s="28" t="s">
        <v>45</v>
      </c>
      <c r="H180" s="29"/>
      <c r="I180" s="29" t="s">
        <v>567</v>
      </c>
      <c r="J180" s="30">
        <v>1</v>
      </c>
      <c r="K180" s="31">
        <f>16295</f>
        <v>16295</v>
      </c>
      <c r="L180" s="32" t="s">
        <v>995</v>
      </c>
      <c r="M180" s="31">
        <f>16395</f>
        <v>16395</v>
      </c>
      <c r="N180" s="32" t="s">
        <v>996</v>
      </c>
      <c r="O180" s="31">
        <f>15600</f>
        <v>15600</v>
      </c>
      <c r="P180" s="32" t="s">
        <v>894</v>
      </c>
      <c r="Q180" s="31">
        <f>16250</f>
        <v>16250</v>
      </c>
      <c r="R180" s="32" t="s">
        <v>791</v>
      </c>
      <c r="S180" s="33">
        <f>16045.31</f>
        <v>16045.31</v>
      </c>
      <c r="T180" s="30">
        <f>141</f>
        <v>141</v>
      </c>
      <c r="U180" s="30" t="str">
        <f t="shared" si="2"/>
        <v>－</v>
      </c>
      <c r="V180" s="30">
        <f>2226940</f>
        <v>2226940</v>
      </c>
      <c r="W180" s="30" t="str">
        <f t="shared" si="3"/>
        <v>－</v>
      </c>
      <c r="X180" s="34">
        <f>16</f>
        <v>16</v>
      </c>
    </row>
    <row r="181" spans="1:24" ht="13.5" customHeight="1" x14ac:dyDescent="0.15">
      <c r="A181" s="25" t="s">
        <v>1139</v>
      </c>
      <c r="B181" s="25" t="s">
        <v>607</v>
      </c>
      <c r="C181" s="25" t="s">
        <v>608</v>
      </c>
      <c r="D181" s="25" t="s">
        <v>609</v>
      </c>
      <c r="E181" s="26" t="s">
        <v>45</v>
      </c>
      <c r="F181" s="27" t="s">
        <v>45</v>
      </c>
      <c r="G181" s="28" t="s">
        <v>45</v>
      </c>
      <c r="H181" s="29"/>
      <c r="I181" s="29" t="s">
        <v>567</v>
      </c>
      <c r="J181" s="30">
        <v>1</v>
      </c>
      <c r="K181" s="31">
        <f>23150</f>
        <v>23150</v>
      </c>
      <c r="L181" s="32" t="s">
        <v>995</v>
      </c>
      <c r="M181" s="31">
        <f>23385</f>
        <v>23385</v>
      </c>
      <c r="N181" s="32" t="s">
        <v>995</v>
      </c>
      <c r="O181" s="31">
        <f>21875</f>
        <v>21875</v>
      </c>
      <c r="P181" s="32" t="s">
        <v>998</v>
      </c>
      <c r="Q181" s="31">
        <f>22450</f>
        <v>22450</v>
      </c>
      <c r="R181" s="32" t="s">
        <v>791</v>
      </c>
      <c r="S181" s="33">
        <f>22437.05</f>
        <v>22437.05</v>
      </c>
      <c r="T181" s="30">
        <f>43459</f>
        <v>43459</v>
      </c>
      <c r="U181" s="30" t="str">
        <f t="shared" si="2"/>
        <v>－</v>
      </c>
      <c r="V181" s="30">
        <f>976937455</f>
        <v>976937455</v>
      </c>
      <c r="W181" s="30" t="str">
        <f t="shared" si="3"/>
        <v>－</v>
      </c>
      <c r="X181" s="34">
        <f>22</f>
        <v>22</v>
      </c>
    </row>
    <row r="182" spans="1:24" ht="13.5" customHeight="1" x14ac:dyDescent="0.15">
      <c r="A182" s="25" t="s">
        <v>1139</v>
      </c>
      <c r="B182" s="25" t="s">
        <v>610</v>
      </c>
      <c r="C182" s="25" t="s">
        <v>611</v>
      </c>
      <c r="D182" s="25" t="s">
        <v>612</v>
      </c>
      <c r="E182" s="26" t="s">
        <v>45</v>
      </c>
      <c r="F182" s="27" t="s">
        <v>45</v>
      </c>
      <c r="G182" s="28" t="s">
        <v>45</v>
      </c>
      <c r="H182" s="29"/>
      <c r="I182" s="29" t="s">
        <v>567</v>
      </c>
      <c r="J182" s="30">
        <v>1</v>
      </c>
      <c r="K182" s="31">
        <f>4115</f>
        <v>4115</v>
      </c>
      <c r="L182" s="32" t="s">
        <v>995</v>
      </c>
      <c r="M182" s="31">
        <f>4320</f>
        <v>4320</v>
      </c>
      <c r="N182" s="32" t="s">
        <v>789</v>
      </c>
      <c r="O182" s="31">
        <f>4050</f>
        <v>4050</v>
      </c>
      <c r="P182" s="32" t="s">
        <v>1003</v>
      </c>
      <c r="Q182" s="31">
        <f>4220</f>
        <v>4220</v>
      </c>
      <c r="R182" s="32" t="s">
        <v>791</v>
      </c>
      <c r="S182" s="33">
        <f>4186.82</f>
        <v>4186.82</v>
      </c>
      <c r="T182" s="30">
        <f>4328</f>
        <v>4328</v>
      </c>
      <c r="U182" s="30" t="str">
        <f t="shared" si="2"/>
        <v>－</v>
      </c>
      <c r="V182" s="30">
        <f>18071570</f>
        <v>18071570</v>
      </c>
      <c r="W182" s="30" t="str">
        <f t="shared" si="3"/>
        <v>－</v>
      </c>
      <c r="X182" s="34">
        <f>22</f>
        <v>22</v>
      </c>
    </row>
    <row r="183" spans="1:24" ht="13.5" customHeight="1" x14ac:dyDescent="0.15">
      <c r="A183" s="25" t="s">
        <v>1139</v>
      </c>
      <c r="B183" s="25" t="s">
        <v>613</v>
      </c>
      <c r="C183" s="25" t="s">
        <v>614</v>
      </c>
      <c r="D183" s="25" t="s">
        <v>615</v>
      </c>
      <c r="E183" s="26" t="s">
        <v>45</v>
      </c>
      <c r="F183" s="27" t="s">
        <v>45</v>
      </c>
      <c r="G183" s="28" t="s">
        <v>45</v>
      </c>
      <c r="H183" s="29"/>
      <c r="I183" s="29" t="s">
        <v>567</v>
      </c>
      <c r="J183" s="30">
        <v>1</v>
      </c>
      <c r="K183" s="31">
        <f>21380</f>
        <v>21380</v>
      </c>
      <c r="L183" s="32" t="s">
        <v>995</v>
      </c>
      <c r="M183" s="31">
        <f>22525</f>
        <v>22525</v>
      </c>
      <c r="N183" s="32" t="s">
        <v>791</v>
      </c>
      <c r="O183" s="31">
        <f>20785</f>
        <v>20785</v>
      </c>
      <c r="P183" s="32" t="s">
        <v>1003</v>
      </c>
      <c r="Q183" s="31">
        <f>22525</f>
        <v>22525</v>
      </c>
      <c r="R183" s="32" t="s">
        <v>791</v>
      </c>
      <c r="S183" s="33">
        <f>21464.74</f>
        <v>21464.74</v>
      </c>
      <c r="T183" s="30">
        <f>1415</f>
        <v>1415</v>
      </c>
      <c r="U183" s="30" t="str">
        <f t="shared" si="2"/>
        <v>－</v>
      </c>
      <c r="V183" s="30">
        <f>30189000</f>
        <v>30189000</v>
      </c>
      <c r="W183" s="30" t="str">
        <f t="shared" si="3"/>
        <v>－</v>
      </c>
      <c r="X183" s="34">
        <f>19</f>
        <v>19</v>
      </c>
    </row>
    <row r="184" spans="1:24" ht="13.5" customHeight="1" x14ac:dyDescent="0.15">
      <c r="A184" s="25" t="s">
        <v>1139</v>
      </c>
      <c r="B184" s="25" t="s">
        <v>616</v>
      </c>
      <c r="C184" s="25" t="s">
        <v>617</v>
      </c>
      <c r="D184" s="25" t="s">
        <v>618</v>
      </c>
      <c r="E184" s="26" t="s">
        <v>45</v>
      </c>
      <c r="F184" s="27" t="s">
        <v>45</v>
      </c>
      <c r="G184" s="28" t="s">
        <v>45</v>
      </c>
      <c r="H184" s="29"/>
      <c r="I184" s="29" t="s">
        <v>567</v>
      </c>
      <c r="J184" s="30">
        <v>1</v>
      </c>
      <c r="K184" s="31">
        <f>16065</f>
        <v>16065</v>
      </c>
      <c r="L184" s="32" t="s">
        <v>995</v>
      </c>
      <c r="M184" s="31">
        <f>16065</f>
        <v>16065</v>
      </c>
      <c r="N184" s="32" t="s">
        <v>995</v>
      </c>
      <c r="O184" s="31">
        <f>15400</f>
        <v>15400</v>
      </c>
      <c r="P184" s="32" t="s">
        <v>875</v>
      </c>
      <c r="Q184" s="31">
        <f>16040</f>
        <v>16040</v>
      </c>
      <c r="R184" s="32" t="s">
        <v>893</v>
      </c>
      <c r="S184" s="33">
        <f>15718.33</f>
        <v>15718.33</v>
      </c>
      <c r="T184" s="30">
        <f>28</f>
        <v>28</v>
      </c>
      <c r="U184" s="30" t="str">
        <f t="shared" si="2"/>
        <v>－</v>
      </c>
      <c r="V184" s="30">
        <f>436470</f>
        <v>436470</v>
      </c>
      <c r="W184" s="30" t="str">
        <f t="shared" si="3"/>
        <v>－</v>
      </c>
      <c r="X184" s="34">
        <f>6</f>
        <v>6</v>
      </c>
    </row>
    <row r="185" spans="1:24" ht="13.5" customHeight="1" x14ac:dyDescent="0.15">
      <c r="A185" s="25" t="s">
        <v>1139</v>
      </c>
      <c r="B185" s="25" t="s">
        <v>619</v>
      </c>
      <c r="C185" s="25" t="s">
        <v>620</v>
      </c>
      <c r="D185" s="25" t="s">
        <v>621</v>
      </c>
      <c r="E185" s="26" t="s">
        <v>45</v>
      </c>
      <c r="F185" s="27" t="s">
        <v>45</v>
      </c>
      <c r="G185" s="28" t="s">
        <v>45</v>
      </c>
      <c r="H185" s="29"/>
      <c r="I185" s="29" t="s">
        <v>567</v>
      </c>
      <c r="J185" s="30">
        <v>1</v>
      </c>
      <c r="K185" s="31">
        <f>24565</f>
        <v>24565</v>
      </c>
      <c r="L185" s="32" t="s">
        <v>996</v>
      </c>
      <c r="M185" s="31">
        <f>26360</f>
        <v>26360</v>
      </c>
      <c r="N185" s="32" t="s">
        <v>893</v>
      </c>
      <c r="O185" s="31">
        <f>24315</f>
        <v>24315</v>
      </c>
      <c r="P185" s="32" t="s">
        <v>785</v>
      </c>
      <c r="Q185" s="31">
        <f>25975</f>
        <v>25975</v>
      </c>
      <c r="R185" s="32" t="s">
        <v>893</v>
      </c>
      <c r="S185" s="33">
        <f>25201.25</f>
        <v>25201.25</v>
      </c>
      <c r="T185" s="30">
        <f>577</f>
        <v>577</v>
      </c>
      <c r="U185" s="30" t="str">
        <f t="shared" si="2"/>
        <v>－</v>
      </c>
      <c r="V185" s="30">
        <f>14695550</f>
        <v>14695550</v>
      </c>
      <c r="W185" s="30" t="str">
        <f t="shared" si="3"/>
        <v>－</v>
      </c>
      <c r="X185" s="34">
        <f>12</f>
        <v>12</v>
      </c>
    </row>
    <row r="186" spans="1:24" ht="13.5" customHeight="1" x14ac:dyDescent="0.15">
      <c r="A186" s="25" t="s">
        <v>1139</v>
      </c>
      <c r="B186" s="25" t="s">
        <v>622</v>
      </c>
      <c r="C186" s="25" t="s">
        <v>623</v>
      </c>
      <c r="D186" s="25" t="s">
        <v>624</v>
      </c>
      <c r="E186" s="26" t="s">
        <v>45</v>
      </c>
      <c r="F186" s="27" t="s">
        <v>45</v>
      </c>
      <c r="G186" s="28" t="s">
        <v>45</v>
      </c>
      <c r="H186" s="29"/>
      <c r="I186" s="29" t="s">
        <v>567</v>
      </c>
      <c r="J186" s="30">
        <v>1</v>
      </c>
      <c r="K186" s="31">
        <f>18065</f>
        <v>18065</v>
      </c>
      <c r="L186" s="32" t="s">
        <v>1002</v>
      </c>
      <c r="M186" s="31">
        <f>18110</f>
        <v>18110</v>
      </c>
      <c r="N186" s="32" t="s">
        <v>894</v>
      </c>
      <c r="O186" s="31">
        <f>18065</f>
        <v>18065</v>
      </c>
      <c r="P186" s="32" t="s">
        <v>1002</v>
      </c>
      <c r="Q186" s="31">
        <f>18110</f>
        <v>18110</v>
      </c>
      <c r="R186" s="32" t="s">
        <v>894</v>
      </c>
      <c r="S186" s="33">
        <f>18087.5</f>
        <v>18087.5</v>
      </c>
      <c r="T186" s="30">
        <f>400</f>
        <v>400</v>
      </c>
      <c r="U186" s="30" t="str">
        <f t="shared" si="2"/>
        <v>－</v>
      </c>
      <c r="V186" s="30">
        <f>7230500</f>
        <v>7230500</v>
      </c>
      <c r="W186" s="30" t="str">
        <f t="shared" si="3"/>
        <v>－</v>
      </c>
      <c r="X186" s="34">
        <f>2</f>
        <v>2</v>
      </c>
    </row>
    <row r="187" spans="1:24" ht="13.5" customHeight="1" x14ac:dyDescent="0.15">
      <c r="A187" s="25" t="s">
        <v>1139</v>
      </c>
      <c r="B187" s="25" t="s">
        <v>625</v>
      </c>
      <c r="C187" s="25" t="s">
        <v>626</v>
      </c>
      <c r="D187" s="25" t="s">
        <v>627</v>
      </c>
      <c r="E187" s="26" t="s">
        <v>45</v>
      </c>
      <c r="F187" s="27" t="s">
        <v>45</v>
      </c>
      <c r="G187" s="28" t="s">
        <v>45</v>
      </c>
      <c r="H187" s="29"/>
      <c r="I187" s="29" t="s">
        <v>567</v>
      </c>
      <c r="J187" s="30">
        <v>1</v>
      </c>
      <c r="K187" s="31">
        <f>16375</f>
        <v>16375</v>
      </c>
      <c r="L187" s="32" t="s">
        <v>995</v>
      </c>
      <c r="M187" s="31">
        <f>16450</f>
        <v>16450</v>
      </c>
      <c r="N187" s="32" t="s">
        <v>875</v>
      </c>
      <c r="O187" s="31">
        <f>15770</f>
        <v>15770</v>
      </c>
      <c r="P187" s="32" t="s">
        <v>792</v>
      </c>
      <c r="Q187" s="31">
        <f>16340</f>
        <v>16340</v>
      </c>
      <c r="R187" s="32" t="s">
        <v>791</v>
      </c>
      <c r="S187" s="33">
        <f>16064.69</f>
        <v>16064.69</v>
      </c>
      <c r="T187" s="30">
        <f>769</f>
        <v>769</v>
      </c>
      <c r="U187" s="30" t="str">
        <f t="shared" si="2"/>
        <v>－</v>
      </c>
      <c r="V187" s="30">
        <f>12385945</f>
        <v>12385945</v>
      </c>
      <c r="W187" s="30" t="str">
        <f t="shared" si="3"/>
        <v>－</v>
      </c>
      <c r="X187" s="34">
        <f>16</f>
        <v>16</v>
      </c>
    </row>
    <row r="188" spans="1:24" ht="13.5" customHeight="1" x14ac:dyDescent="0.15">
      <c r="A188" s="25" t="s">
        <v>1139</v>
      </c>
      <c r="B188" s="25" t="s">
        <v>628</v>
      </c>
      <c r="C188" s="25" t="s">
        <v>629</v>
      </c>
      <c r="D188" s="25" t="s">
        <v>630</v>
      </c>
      <c r="E188" s="26" t="s">
        <v>45</v>
      </c>
      <c r="F188" s="27" t="s">
        <v>45</v>
      </c>
      <c r="G188" s="28" t="s">
        <v>45</v>
      </c>
      <c r="H188" s="29"/>
      <c r="I188" s="29" t="s">
        <v>567</v>
      </c>
      <c r="J188" s="30">
        <v>1</v>
      </c>
      <c r="K188" s="31">
        <f>18690</f>
        <v>18690</v>
      </c>
      <c r="L188" s="32" t="s">
        <v>995</v>
      </c>
      <c r="M188" s="31">
        <f>18915</f>
        <v>18915</v>
      </c>
      <c r="N188" s="32" t="s">
        <v>875</v>
      </c>
      <c r="O188" s="31">
        <f>18025</f>
        <v>18025</v>
      </c>
      <c r="P188" s="32" t="s">
        <v>1003</v>
      </c>
      <c r="Q188" s="31">
        <f>18805</f>
        <v>18805</v>
      </c>
      <c r="R188" s="32" t="s">
        <v>893</v>
      </c>
      <c r="S188" s="33">
        <f>18552</f>
        <v>18552</v>
      </c>
      <c r="T188" s="30">
        <f>291</f>
        <v>291</v>
      </c>
      <c r="U188" s="30" t="str">
        <f t="shared" si="2"/>
        <v>－</v>
      </c>
      <c r="V188" s="30">
        <f>5482280</f>
        <v>5482280</v>
      </c>
      <c r="W188" s="30" t="str">
        <f t="shared" si="3"/>
        <v>－</v>
      </c>
      <c r="X188" s="34">
        <f>10</f>
        <v>10</v>
      </c>
    </row>
    <row r="189" spans="1:24" ht="13.5" customHeight="1" x14ac:dyDescent="0.15">
      <c r="A189" s="25" t="s">
        <v>1139</v>
      </c>
      <c r="B189" s="25" t="s">
        <v>631</v>
      </c>
      <c r="C189" s="25" t="s">
        <v>632</v>
      </c>
      <c r="D189" s="25" t="s">
        <v>633</v>
      </c>
      <c r="E189" s="26" t="s">
        <v>45</v>
      </c>
      <c r="F189" s="27" t="s">
        <v>45</v>
      </c>
      <c r="G189" s="28" t="s">
        <v>45</v>
      </c>
      <c r="H189" s="29"/>
      <c r="I189" s="29" t="s">
        <v>567</v>
      </c>
      <c r="J189" s="30">
        <v>1</v>
      </c>
      <c r="K189" s="31">
        <f>15315</f>
        <v>15315</v>
      </c>
      <c r="L189" s="32" t="s">
        <v>998</v>
      </c>
      <c r="M189" s="31">
        <f>15590</f>
        <v>15590</v>
      </c>
      <c r="N189" s="32" t="s">
        <v>893</v>
      </c>
      <c r="O189" s="31">
        <f>15315</f>
        <v>15315</v>
      </c>
      <c r="P189" s="32" t="s">
        <v>998</v>
      </c>
      <c r="Q189" s="31">
        <f>15590</f>
        <v>15590</v>
      </c>
      <c r="R189" s="32" t="s">
        <v>893</v>
      </c>
      <c r="S189" s="33">
        <f>15450</f>
        <v>15450</v>
      </c>
      <c r="T189" s="30">
        <f>46</f>
        <v>46</v>
      </c>
      <c r="U189" s="30" t="str">
        <f t="shared" si="2"/>
        <v>－</v>
      </c>
      <c r="V189" s="30">
        <f>711780</f>
        <v>711780</v>
      </c>
      <c r="W189" s="30" t="str">
        <f t="shared" si="3"/>
        <v>－</v>
      </c>
      <c r="X189" s="34">
        <f>6</f>
        <v>6</v>
      </c>
    </row>
    <row r="190" spans="1:24" ht="13.5" customHeight="1" x14ac:dyDescent="0.15">
      <c r="A190" s="25" t="s">
        <v>1139</v>
      </c>
      <c r="B190" s="25" t="s">
        <v>634</v>
      </c>
      <c r="C190" s="25" t="s">
        <v>635</v>
      </c>
      <c r="D190" s="25" t="s">
        <v>636</v>
      </c>
      <c r="E190" s="26" t="s">
        <v>45</v>
      </c>
      <c r="F190" s="27" t="s">
        <v>45</v>
      </c>
      <c r="G190" s="28" t="s">
        <v>45</v>
      </c>
      <c r="H190" s="29"/>
      <c r="I190" s="29" t="s">
        <v>567</v>
      </c>
      <c r="J190" s="30">
        <v>1</v>
      </c>
      <c r="K190" s="31">
        <f>10700</f>
        <v>10700</v>
      </c>
      <c r="L190" s="32" t="s">
        <v>995</v>
      </c>
      <c r="M190" s="31">
        <f>10700</f>
        <v>10700</v>
      </c>
      <c r="N190" s="32" t="s">
        <v>995</v>
      </c>
      <c r="O190" s="31">
        <f>10310</f>
        <v>10310</v>
      </c>
      <c r="P190" s="32" t="s">
        <v>998</v>
      </c>
      <c r="Q190" s="31">
        <f>10560</f>
        <v>10560</v>
      </c>
      <c r="R190" s="32" t="s">
        <v>791</v>
      </c>
      <c r="S190" s="33">
        <f>10496.25</f>
        <v>10496.25</v>
      </c>
      <c r="T190" s="30">
        <f>3609</f>
        <v>3609</v>
      </c>
      <c r="U190" s="30" t="str">
        <f t="shared" si="2"/>
        <v>－</v>
      </c>
      <c r="V190" s="30">
        <f>37890400</f>
        <v>37890400</v>
      </c>
      <c r="W190" s="30" t="str">
        <f t="shared" si="3"/>
        <v>－</v>
      </c>
      <c r="X190" s="34">
        <f>8</f>
        <v>8</v>
      </c>
    </row>
    <row r="191" spans="1:24" ht="13.5" customHeight="1" x14ac:dyDescent="0.15">
      <c r="A191" s="25" t="s">
        <v>1139</v>
      </c>
      <c r="B191" s="25" t="s">
        <v>637</v>
      </c>
      <c r="C191" s="25" t="s">
        <v>638</v>
      </c>
      <c r="D191" s="25" t="s">
        <v>639</v>
      </c>
      <c r="E191" s="26" t="s">
        <v>45</v>
      </c>
      <c r="F191" s="27" t="s">
        <v>45</v>
      </c>
      <c r="G191" s="28" t="s">
        <v>45</v>
      </c>
      <c r="H191" s="29"/>
      <c r="I191" s="29" t="s">
        <v>567</v>
      </c>
      <c r="J191" s="30">
        <v>1</v>
      </c>
      <c r="K191" s="31">
        <f>11740</f>
        <v>11740</v>
      </c>
      <c r="L191" s="32" t="s">
        <v>995</v>
      </c>
      <c r="M191" s="31">
        <f>11800</f>
        <v>11800</v>
      </c>
      <c r="N191" s="32" t="s">
        <v>995</v>
      </c>
      <c r="O191" s="31">
        <f>11225</f>
        <v>11225</v>
      </c>
      <c r="P191" s="32" t="s">
        <v>788</v>
      </c>
      <c r="Q191" s="31">
        <f>11725</f>
        <v>11725</v>
      </c>
      <c r="R191" s="32" t="s">
        <v>791</v>
      </c>
      <c r="S191" s="33">
        <f>11496</f>
        <v>11496</v>
      </c>
      <c r="T191" s="30">
        <f>37859</f>
        <v>37859</v>
      </c>
      <c r="U191" s="30">
        <f>9900</f>
        <v>9900</v>
      </c>
      <c r="V191" s="30">
        <f>437497705</f>
        <v>437497705</v>
      </c>
      <c r="W191" s="30">
        <f>113968800</f>
        <v>113968800</v>
      </c>
      <c r="X191" s="34">
        <f>20</f>
        <v>20</v>
      </c>
    </row>
    <row r="192" spans="1:24" ht="13.5" customHeight="1" x14ac:dyDescent="0.15">
      <c r="A192" s="25" t="s">
        <v>1139</v>
      </c>
      <c r="B192" s="25" t="s">
        <v>640</v>
      </c>
      <c r="C192" s="25" t="s">
        <v>641</v>
      </c>
      <c r="D192" s="25" t="s">
        <v>642</v>
      </c>
      <c r="E192" s="26" t="s">
        <v>45</v>
      </c>
      <c r="F192" s="27" t="s">
        <v>45</v>
      </c>
      <c r="G192" s="28" t="s">
        <v>45</v>
      </c>
      <c r="H192" s="29"/>
      <c r="I192" s="29" t="s">
        <v>567</v>
      </c>
      <c r="J192" s="30">
        <v>1</v>
      </c>
      <c r="K192" s="31">
        <f>11405</f>
        <v>11405</v>
      </c>
      <c r="L192" s="32" t="s">
        <v>999</v>
      </c>
      <c r="M192" s="31">
        <f>11405</f>
        <v>11405</v>
      </c>
      <c r="N192" s="32" t="s">
        <v>999</v>
      </c>
      <c r="O192" s="31">
        <f>10900</f>
        <v>10900</v>
      </c>
      <c r="P192" s="32" t="s">
        <v>788</v>
      </c>
      <c r="Q192" s="31">
        <f>11235</f>
        <v>11235</v>
      </c>
      <c r="R192" s="32" t="s">
        <v>791</v>
      </c>
      <c r="S192" s="33">
        <f>11161.25</f>
        <v>11161.25</v>
      </c>
      <c r="T192" s="30">
        <f>5269</f>
        <v>5269</v>
      </c>
      <c r="U192" s="30" t="str">
        <f>"－"</f>
        <v>－</v>
      </c>
      <c r="V192" s="30">
        <f>59048550</f>
        <v>59048550</v>
      </c>
      <c r="W192" s="30" t="str">
        <f>"－"</f>
        <v>－</v>
      </c>
      <c r="X192" s="34">
        <f>16</f>
        <v>16</v>
      </c>
    </row>
    <row r="193" spans="1:24" ht="13.5" customHeight="1" x14ac:dyDescent="0.15">
      <c r="A193" s="25" t="s">
        <v>1139</v>
      </c>
      <c r="B193" s="25" t="s">
        <v>899</v>
      </c>
      <c r="C193" s="25" t="s">
        <v>900</v>
      </c>
      <c r="D193" s="25" t="s">
        <v>901</v>
      </c>
      <c r="E193" s="26" t="s">
        <v>45</v>
      </c>
      <c r="F193" s="27" t="s">
        <v>45</v>
      </c>
      <c r="G193" s="28" t="s">
        <v>45</v>
      </c>
      <c r="H193" s="29"/>
      <c r="I193" s="29" t="s">
        <v>567</v>
      </c>
      <c r="J193" s="30">
        <v>1</v>
      </c>
      <c r="K193" s="31">
        <f>11020</f>
        <v>11020</v>
      </c>
      <c r="L193" s="32" t="s">
        <v>785</v>
      </c>
      <c r="M193" s="31">
        <f>11020</f>
        <v>11020</v>
      </c>
      <c r="N193" s="32" t="s">
        <v>785</v>
      </c>
      <c r="O193" s="31">
        <f>11020</f>
        <v>11020</v>
      </c>
      <c r="P193" s="32" t="s">
        <v>785</v>
      </c>
      <c r="Q193" s="31">
        <f>11020</f>
        <v>11020</v>
      </c>
      <c r="R193" s="32" t="s">
        <v>785</v>
      </c>
      <c r="S193" s="33">
        <f>11020</f>
        <v>11020</v>
      </c>
      <c r="T193" s="30">
        <f>10</f>
        <v>10</v>
      </c>
      <c r="U193" s="30" t="str">
        <f>"－"</f>
        <v>－</v>
      </c>
      <c r="V193" s="30">
        <f>110200</f>
        <v>110200</v>
      </c>
      <c r="W193" s="30" t="str">
        <f>"－"</f>
        <v>－</v>
      </c>
      <c r="X193" s="34">
        <f>1</f>
        <v>1</v>
      </c>
    </row>
    <row r="194" spans="1:24" ht="13.5" customHeight="1" x14ac:dyDescent="0.15">
      <c r="A194" s="25" t="s">
        <v>1139</v>
      </c>
      <c r="B194" s="25" t="s">
        <v>986</v>
      </c>
      <c r="C194" s="25" t="s">
        <v>987</v>
      </c>
      <c r="D194" s="25" t="s">
        <v>988</v>
      </c>
      <c r="E194" s="26" t="s">
        <v>45</v>
      </c>
      <c r="F194" s="27" t="s">
        <v>45</v>
      </c>
      <c r="G194" s="28" t="s">
        <v>45</v>
      </c>
      <c r="H194" s="29"/>
      <c r="I194" s="29" t="s">
        <v>46</v>
      </c>
      <c r="J194" s="30">
        <v>10</v>
      </c>
      <c r="K194" s="31">
        <f>2198.5</f>
        <v>2198.5</v>
      </c>
      <c r="L194" s="32" t="s">
        <v>995</v>
      </c>
      <c r="M194" s="31">
        <f>2235</f>
        <v>2235</v>
      </c>
      <c r="N194" s="32" t="s">
        <v>1002</v>
      </c>
      <c r="O194" s="31">
        <f>2162</f>
        <v>2162</v>
      </c>
      <c r="P194" s="32" t="s">
        <v>1003</v>
      </c>
      <c r="Q194" s="31">
        <f>2227</f>
        <v>2227</v>
      </c>
      <c r="R194" s="32" t="s">
        <v>791</v>
      </c>
      <c r="S194" s="33">
        <f>2200.16</f>
        <v>2200.16</v>
      </c>
      <c r="T194" s="30">
        <f>38770</f>
        <v>38770</v>
      </c>
      <c r="U194" s="30" t="str">
        <f>"－"</f>
        <v>－</v>
      </c>
      <c r="V194" s="30">
        <f>85663885</f>
        <v>85663885</v>
      </c>
      <c r="W194" s="30" t="str">
        <f>"－"</f>
        <v>－</v>
      </c>
      <c r="X194" s="34">
        <f>22</f>
        <v>22</v>
      </c>
    </row>
    <row r="195" spans="1:24" ht="13.5" customHeight="1" x14ac:dyDescent="0.15">
      <c r="A195" s="25" t="s">
        <v>1139</v>
      </c>
      <c r="B195" s="25" t="s">
        <v>990</v>
      </c>
      <c r="C195" s="25" t="s">
        <v>991</v>
      </c>
      <c r="D195" s="25" t="s">
        <v>992</v>
      </c>
      <c r="E195" s="26" t="s">
        <v>45</v>
      </c>
      <c r="F195" s="27" t="s">
        <v>45</v>
      </c>
      <c r="G195" s="28" t="s">
        <v>45</v>
      </c>
      <c r="H195" s="29"/>
      <c r="I195" s="29" t="s">
        <v>46</v>
      </c>
      <c r="J195" s="30">
        <v>1</v>
      </c>
      <c r="K195" s="31">
        <f>1120</f>
        <v>1120</v>
      </c>
      <c r="L195" s="32" t="s">
        <v>995</v>
      </c>
      <c r="M195" s="31">
        <f>1129</f>
        <v>1129</v>
      </c>
      <c r="N195" s="32" t="s">
        <v>996</v>
      </c>
      <c r="O195" s="31">
        <f>1097</f>
        <v>1097</v>
      </c>
      <c r="P195" s="32" t="s">
        <v>793</v>
      </c>
      <c r="Q195" s="31">
        <f>1127</f>
        <v>1127</v>
      </c>
      <c r="R195" s="32" t="s">
        <v>791</v>
      </c>
      <c r="S195" s="33">
        <f>1114.36</f>
        <v>1114.3599999999999</v>
      </c>
      <c r="T195" s="30">
        <f>1004418</f>
        <v>1004418</v>
      </c>
      <c r="U195" s="30">
        <f>127001</f>
        <v>127001</v>
      </c>
      <c r="V195" s="30">
        <f>1119343373</f>
        <v>1119343373</v>
      </c>
      <c r="W195" s="30">
        <f>141788275</f>
        <v>141788275</v>
      </c>
      <c r="X195" s="34">
        <f>22</f>
        <v>22</v>
      </c>
    </row>
    <row r="196" spans="1:24" ht="13.5" customHeight="1" x14ac:dyDescent="0.15">
      <c r="A196" s="25" t="s">
        <v>1139</v>
      </c>
      <c r="B196" s="25" t="s">
        <v>1006</v>
      </c>
      <c r="C196" s="25" t="s">
        <v>1007</v>
      </c>
      <c r="D196" s="25" t="s">
        <v>1008</v>
      </c>
      <c r="E196" s="26" t="s">
        <v>45</v>
      </c>
      <c r="F196" s="27" t="s">
        <v>45</v>
      </c>
      <c r="G196" s="28" t="s">
        <v>45</v>
      </c>
      <c r="H196" s="29"/>
      <c r="I196" s="29" t="s">
        <v>46</v>
      </c>
      <c r="J196" s="30">
        <v>1</v>
      </c>
      <c r="K196" s="31">
        <f>62190</f>
        <v>62190</v>
      </c>
      <c r="L196" s="32" t="s">
        <v>995</v>
      </c>
      <c r="M196" s="31">
        <f>62350</f>
        <v>62350</v>
      </c>
      <c r="N196" s="32" t="s">
        <v>995</v>
      </c>
      <c r="O196" s="31">
        <f>55990</f>
        <v>55990</v>
      </c>
      <c r="P196" s="32" t="s">
        <v>998</v>
      </c>
      <c r="Q196" s="31">
        <f>59760</f>
        <v>59760</v>
      </c>
      <c r="R196" s="32" t="s">
        <v>791</v>
      </c>
      <c r="S196" s="33">
        <f>58630.45</f>
        <v>58630.45</v>
      </c>
      <c r="T196" s="30">
        <f>64663</f>
        <v>64663</v>
      </c>
      <c r="U196" s="30" t="str">
        <f>"－"</f>
        <v>－</v>
      </c>
      <c r="V196" s="30">
        <f>3775775780</f>
        <v>3775775780</v>
      </c>
      <c r="W196" s="30" t="str">
        <f>"－"</f>
        <v>－</v>
      </c>
      <c r="X196" s="34">
        <f>22</f>
        <v>22</v>
      </c>
    </row>
    <row r="197" spans="1:24" ht="13.5" customHeight="1" x14ac:dyDescent="0.15">
      <c r="A197" s="25" t="s">
        <v>1139</v>
      </c>
      <c r="B197" s="25" t="s">
        <v>1010</v>
      </c>
      <c r="C197" s="25" t="s">
        <v>1011</v>
      </c>
      <c r="D197" s="25" t="s">
        <v>1012</v>
      </c>
      <c r="E197" s="26" t="s">
        <v>45</v>
      </c>
      <c r="F197" s="27" t="s">
        <v>45</v>
      </c>
      <c r="G197" s="28" t="s">
        <v>45</v>
      </c>
      <c r="H197" s="29"/>
      <c r="I197" s="29" t="s">
        <v>46</v>
      </c>
      <c r="J197" s="30">
        <v>1</v>
      </c>
      <c r="K197" s="31">
        <f>8515</f>
        <v>8515</v>
      </c>
      <c r="L197" s="32" t="s">
        <v>995</v>
      </c>
      <c r="M197" s="31">
        <f>8963</f>
        <v>8963</v>
      </c>
      <c r="N197" s="32" t="s">
        <v>998</v>
      </c>
      <c r="O197" s="31">
        <f>8504</f>
        <v>8504</v>
      </c>
      <c r="P197" s="32" t="s">
        <v>995</v>
      </c>
      <c r="Q197" s="31">
        <f>8658</f>
        <v>8658</v>
      </c>
      <c r="R197" s="32" t="s">
        <v>791</v>
      </c>
      <c r="S197" s="33">
        <f>8764.86</f>
        <v>8764.86</v>
      </c>
      <c r="T197" s="30">
        <f>529181</f>
        <v>529181</v>
      </c>
      <c r="U197" s="30">
        <f>351880</f>
        <v>351880</v>
      </c>
      <c r="V197" s="30">
        <f>4664490009</f>
        <v>4664490009</v>
      </c>
      <c r="W197" s="30">
        <f>3116170530</f>
        <v>3116170530</v>
      </c>
      <c r="X197" s="34">
        <f>22</f>
        <v>22</v>
      </c>
    </row>
    <row r="198" spans="1:24" ht="13.5" customHeight="1" x14ac:dyDescent="0.15">
      <c r="A198" s="25" t="s">
        <v>1139</v>
      </c>
      <c r="B198" s="25" t="s">
        <v>1018</v>
      </c>
      <c r="C198" s="25" t="s">
        <v>1019</v>
      </c>
      <c r="D198" s="25" t="s">
        <v>1020</v>
      </c>
      <c r="E198" s="26" t="s">
        <v>45</v>
      </c>
      <c r="F198" s="27" t="s">
        <v>45</v>
      </c>
      <c r="G198" s="28" t="s">
        <v>45</v>
      </c>
      <c r="H198" s="29"/>
      <c r="I198" s="29" t="s">
        <v>46</v>
      </c>
      <c r="J198" s="30">
        <v>10</v>
      </c>
      <c r="K198" s="31">
        <f>13300</f>
        <v>13300</v>
      </c>
      <c r="L198" s="32" t="s">
        <v>995</v>
      </c>
      <c r="M198" s="31">
        <f>13335</f>
        <v>13335</v>
      </c>
      <c r="N198" s="32" t="s">
        <v>995</v>
      </c>
      <c r="O198" s="31">
        <f>11960</f>
        <v>11960</v>
      </c>
      <c r="P198" s="32" t="s">
        <v>788</v>
      </c>
      <c r="Q198" s="31">
        <f>12760</f>
        <v>12760</v>
      </c>
      <c r="R198" s="32" t="s">
        <v>791</v>
      </c>
      <c r="S198" s="33">
        <f>12515.24</f>
        <v>12515.24</v>
      </c>
      <c r="T198" s="30">
        <f>11760</f>
        <v>11760</v>
      </c>
      <c r="U198" s="30" t="str">
        <f>"－"</f>
        <v>－</v>
      </c>
      <c r="V198" s="30">
        <f>147694450</f>
        <v>147694450</v>
      </c>
      <c r="W198" s="30" t="str">
        <f>"－"</f>
        <v>－</v>
      </c>
      <c r="X198" s="34">
        <f>21</f>
        <v>21</v>
      </c>
    </row>
    <row r="199" spans="1:24" ht="13.5" customHeight="1" x14ac:dyDescent="0.15">
      <c r="A199" s="25" t="s">
        <v>1139</v>
      </c>
      <c r="B199" s="25" t="s">
        <v>1022</v>
      </c>
      <c r="C199" s="25" t="s">
        <v>1023</v>
      </c>
      <c r="D199" s="25" t="s">
        <v>1024</v>
      </c>
      <c r="E199" s="26" t="s">
        <v>45</v>
      </c>
      <c r="F199" s="27" t="s">
        <v>45</v>
      </c>
      <c r="G199" s="28" t="s">
        <v>45</v>
      </c>
      <c r="H199" s="29"/>
      <c r="I199" s="29" t="s">
        <v>46</v>
      </c>
      <c r="J199" s="30">
        <v>10</v>
      </c>
      <c r="K199" s="31">
        <f>8551</f>
        <v>8551</v>
      </c>
      <c r="L199" s="32" t="s">
        <v>995</v>
      </c>
      <c r="M199" s="31">
        <f>9007</f>
        <v>9007</v>
      </c>
      <c r="N199" s="32" t="s">
        <v>998</v>
      </c>
      <c r="O199" s="31">
        <f>8551</f>
        <v>8551</v>
      </c>
      <c r="P199" s="32" t="s">
        <v>995</v>
      </c>
      <c r="Q199" s="31">
        <f>8700</f>
        <v>8700</v>
      </c>
      <c r="R199" s="32" t="s">
        <v>791</v>
      </c>
      <c r="S199" s="33">
        <f>8808.05</f>
        <v>8808.0499999999993</v>
      </c>
      <c r="T199" s="30">
        <f>522390</f>
        <v>522390</v>
      </c>
      <c r="U199" s="30">
        <f>463100</f>
        <v>463100</v>
      </c>
      <c r="V199" s="30">
        <f>4686831030</f>
        <v>4686831030</v>
      </c>
      <c r="W199" s="30">
        <f>4159780250</f>
        <v>4159780250</v>
      </c>
      <c r="X199" s="34">
        <f>22</f>
        <v>22</v>
      </c>
    </row>
    <row r="200" spans="1:24" ht="13.5" customHeight="1" x14ac:dyDescent="0.15">
      <c r="A200" s="25" t="s">
        <v>1139</v>
      </c>
      <c r="B200" s="25" t="s">
        <v>1025</v>
      </c>
      <c r="C200" s="25" t="s">
        <v>1026</v>
      </c>
      <c r="D200" s="25" t="s">
        <v>1027</v>
      </c>
      <c r="E200" s="26" t="s">
        <v>45</v>
      </c>
      <c r="F200" s="27" t="s">
        <v>45</v>
      </c>
      <c r="G200" s="28" t="s">
        <v>45</v>
      </c>
      <c r="H200" s="29"/>
      <c r="I200" s="29" t="s">
        <v>46</v>
      </c>
      <c r="J200" s="30">
        <v>10</v>
      </c>
      <c r="K200" s="31">
        <f>563.6</f>
        <v>563.6</v>
      </c>
      <c r="L200" s="32" t="s">
        <v>995</v>
      </c>
      <c r="M200" s="31">
        <f>577.7</f>
        <v>577.70000000000005</v>
      </c>
      <c r="N200" s="32" t="s">
        <v>788</v>
      </c>
      <c r="O200" s="31">
        <f>554</f>
        <v>554</v>
      </c>
      <c r="P200" s="32" t="s">
        <v>1003</v>
      </c>
      <c r="Q200" s="31">
        <f>570.2</f>
        <v>570.20000000000005</v>
      </c>
      <c r="R200" s="32" t="s">
        <v>791</v>
      </c>
      <c r="S200" s="33">
        <f>563.65</f>
        <v>563.65</v>
      </c>
      <c r="T200" s="30">
        <f>227270</f>
        <v>227270</v>
      </c>
      <c r="U200" s="30">
        <f>90000</f>
        <v>90000</v>
      </c>
      <c r="V200" s="30">
        <f>128025442</f>
        <v>128025442</v>
      </c>
      <c r="W200" s="30">
        <f>50727546</f>
        <v>50727546</v>
      </c>
      <c r="X200" s="34">
        <f>22</f>
        <v>22</v>
      </c>
    </row>
    <row r="201" spans="1:24" ht="13.5" customHeight="1" x14ac:dyDescent="0.15">
      <c r="A201" s="25" t="s">
        <v>1139</v>
      </c>
      <c r="B201" s="25" t="s">
        <v>1029</v>
      </c>
      <c r="C201" s="25" t="s">
        <v>1030</v>
      </c>
      <c r="D201" s="25" t="s">
        <v>1031</v>
      </c>
      <c r="E201" s="26" t="s">
        <v>45</v>
      </c>
      <c r="F201" s="27" t="s">
        <v>45</v>
      </c>
      <c r="G201" s="28" t="s">
        <v>45</v>
      </c>
      <c r="H201" s="29"/>
      <c r="I201" s="29" t="s">
        <v>46</v>
      </c>
      <c r="J201" s="30">
        <v>10</v>
      </c>
      <c r="K201" s="31">
        <f>527.8</f>
        <v>527.79999999999995</v>
      </c>
      <c r="L201" s="32" t="s">
        <v>995</v>
      </c>
      <c r="M201" s="31">
        <f>529</f>
        <v>529</v>
      </c>
      <c r="N201" s="32" t="s">
        <v>785</v>
      </c>
      <c r="O201" s="31">
        <f>504.4</f>
        <v>504.4</v>
      </c>
      <c r="P201" s="32" t="s">
        <v>789</v>
      </c>
      <c r="Q201" s="31">
        <f>517.2</f>
        <v>517.20000000000005</v>
      </c>
      <c r="R201" s="32" t="s">
        <v>791</v>
      </c>
      <c r="S201" s="33">
        <f>517.03</f>
        <v>517.03</v>
      </c>
      <c r="T201" s="30">
        <f>49690</f>
        <v>49690</v>
      </c>
      <c r="U201" s="30" t="str">
        <f>"－"</f>
        <v>－</v>
      </c>
      <c r="V201" s="30">
        <f>25559328</f>
        <v>25559328</v>
      </c>
      <c r="W201" s="30" t="str">
        <f>"－"</f>
        <v>－</v>
      </c>
      <c r="X201" s="34">
        <f>22</f>
        <v>22</v>
      </c>
    </row>
    <row r="202" spans="1:24" ht="13.5" customHeight="1" x14ac:dyDescent="0.15">
      <c r="A202" s="25" t="s">
        <v>1139</v>
      </c>
      <c r="B202" s="25" t="s">
        <v>1071</v>
      </c>
      <c r="C202" s="25" t="s">
        <v>1072</v>
      </c>
      <c r="D202" s="25" t="s">
        <v>1073</v>
      </c>
      <c r="E202" s="26" t="s">
        <v>45</v>
      </c>
      <c r="F202" s="27" t="s">
        <v>45</v>
      </c>
      <c r="G202" s="28" t="s">
        <v>45</v>
      </c>
      <c r="H202" s="29"/>
      <c r="I202" s="29" t="s">
        <v>46</v>
      </c>
      <c r="J202" s="30">
        <v>1</v>
      </c>
      <c r="K202" s="31">
        <f>1313</f>
        <v>1313</v>
      </c>
      <c r="L202" s="32" t="s">
        <v>995</v>
      </c>
      <c r="M202" s="31">
        <f>1320</f>
        <v>1320</v>
      </c>
      <c r="N202" s="32" t="s">
        <v>999</v>
      </c>
      <c r="O202" s="31">
        <f>1198</f>
        <v>1198</v>
      </c>
      <c r="P202" s="32" t="s">
        <v>788</v>
      </c>
      <c r="Q202" s="31">
        <f>1270</f>
        <v>1270</v>
      </c>
      <c r="R202" s="32" t="s">
        <v>791</v>
      </c>
      <c r="S202" s="33">
        <f>1253.86</f>
        <v>1253.8599999999999</v>
      </c>
      <c r="T202" s="30">
        <f>2225334</f>
        <v>2225334</v>
      </c>
      <c r="U202" s="30">
        <f>789005</f>
        <v>789005</v>
      </c>
      <c r="V202" s="30">
        <f>2804890187</f>
        <v>2804890187</v>
      </c>
      <c r="W202" s="30">
        <f>1003027604</f>
        <v>1003027604</v>
      </c>
      <c r="X202" s="34">
        <f>22</f>
        <v>22</v>
      </c>
    </row>
    <row r="203" spans="1:24" ht="13.5" customHeight="1" x14ac:dyDescent="0.15">
      <c r="A203" s="25" t="s">
        <v>1139</v>
      </c>
      <c r="B203" s="25" t="s">
        <v>1075</v>
      </c>
      <c r="C203" s="25" t="s">
        <v>1076</v>
      </c>
      <c r="D203" s="25" t="s">
        <v>1077</v>
      </c>
      <c r="E203" s="26" t="s">
        <v>45</v>
      </c>
      <c r="F203" s="27" t="s">
        <v>45</v>
      </c>
      <c r="G203" s="28" t="s">
        <v>45</v>
      </c>
      <c r="H203" s="29"/>
      <c r="I203" s="29" t="s">
        <v>46</v>
      </c>
      <c r="J203" s="30">
        <v>1</v>
      </c>
      <c r="K203" s="31">
        <f>1399</f>
        <v>1399</v>
      </c>
      <c r="L203" s="32" t="s">
        <v>995</v>
      </c>
      <c r="M203" s="31">
        <f>1420</f>
        <v>1420</v>
      </c>
      <c r="N203" s="32" t="s">
        <v>791</v>
      </c>
      <c r="O203" s="31">
        <f>1298</f>
        <v>1298</v>
      </c>
      <c r="P203" s="32" t="s">
        <v>788</v>
      </c>
      <c r="Q203" s="31">
        <f>1416</f>
        <v>1416</v>
      </c>
      <c r="R203" s="32" t="s">
        <v>791</v>
      </c>
      <c r="S203" s="33">
        <f>1355.23</f>
        <v>1355.23</v>
      </c>
      <c r="T203" s="30">
        <f>1062352</f>
        <v>1062352</v>
      </c>
      <c r="U203" s="30">
        <f>63</f>
        <v>63</v>
      </c>
      <c r="V203" s="30">
        <f>1426193393</f>
        <v>1426193393</v>
      </c>
      <c r="W203" s="30">
        <f>78383</f>
        <v>78383</v>
      </c>
      <c r="X203" s="34">
        <f>22</f>
        <v>22</v>
      </c>
    </row>
    <row r="204" spans="1:24" ht="13.5" customHeight="1" x14ac:dyDescent="0.15">
      <c r="A204" s="25" t="s">
        <v>1139</v>
      </c>
      <c r="B204" s="25" t="s">
        <v>1078</v>
      </c>
      <c r="C204" s="25" t="s">
        <v>1079</v>
      </c>
      <c r="D204" s="25" t="s">
        <v>1080</v>
      </c>
      <c r="E204" s="26" t="s">
        <v>45</v>
      </c>
      <c r="F204" s="27" t="s">
        <v>45</v>
      </c>
      <c r="G204" s="28" t="s">
        <v>45</v>
      </c>
      <c r="H204" s="29"/>
      <c r="I204" s="29" t="s">
        <v>46</v>
      </c>
      <c r="J204" s="30">
        <v>10</v>
      </c>
      <c r="K204" s="31">
        <f>824.7</f>
        <v>824.7</v>
      </c>
      <c r="L204" s="32" t="s">
        <v>995</v>
      </c>
      <c r="M204" s="31">
        <f>825.5</f>
        <v>825.5</v>
      </c>
      <c r="N204" s="32" t="s">
        <v>1005</v>
      </c>
      <c r="O204" s="31">
        <f>780</f>
        <v>780</v>
      </c>
      <c r="P204" s="32" t="s">
        <v>792</v>
      </c>
      <c r="Q204" s="31">
        <f>787.8</f>
        <v>787.8</v>
      </c>
      <c r="R204" s="32" t="s">
        <v>791</v>
      </c>
      <c r="S204" s="33">
        <f>787.88</f>
        <v>787.88</v>
      </c>
      <c r="T204" s="30">
        <f>63610</f>
        <v>63610</v>
      </c>
      <c r="U204" s="30">
        <f>50000</f>
        <v>50000</v>
      </c>
      <c r="V204" s="30">
        <f>49947414</f>
        <v>49947414</v>
      </c>
      <c r="W204" s="30">
        <f>39185000</f>
        <v>39185000</v>
      </c>
      <c r="X204" s="34">
        <f>22</f>
        <v>22</v>
      </c>
    </row>
    <row r="205" spans="1:24" ht="13.5" customHeight="1" x14ac:dyDescent="0.15">
      <c r="A205" s="25" t="s">
        <v>1139</v>
      </c>
      <c r="B205" s="25" t="s">
        <v>1082</v>
      </c>
      <c r="C205" s="25" t="s">
        <v>1083</v>
      </c>
      <c r="D205" s="25" t="s">
        <v>1084</v>
      </c>
      <c r="E205" s="26" t="s">
        <v>45</v>
      </c>
      <c r="F205" s="27" t="s">
        <v>45</v>
      </c>
      <c r="G205" s="28" t="s">
        <v>45</v>
      </c>
      <c r="H205" s="29"/>
      <c r="I205" s="29" t="s">
        <v>46</v>
      </c>
      <c r="J205" s="30">
        <v>10</v>
      </c>
      <c r="K205" s="31">
        <f>790.9</f>
        <v>790.9</v>
      </c>
      <c r="L205" s="32" t="s">
        <v>999</v>
      </c>
      <c r="M205" s="31">
        <f>820</f>
        <v>820</v>
      </c>
      <c r="N205" s="32" t="s">
        <v>785</v>
      </c>
      <c r="O205" s="31">
        <f>779.3</f>
        <v>779.3</v>
      </c>
      <c r="P205" s="32" t="s">
        <v>788</v>
      </c>
      <c r="Q205" s="31">
        <f>779.7</f>
        <v>779.7</v>
      </c>
      <c r="R205" s="32" t="s">
        <v>789</v>
      </c>
      <c r="S205" s="33">
        <f>785.1</f>
        <v>785.1</v>
      </c>
      <c r="T205" s="30">
        <f>2200</f>
        <v>2200</v>
      </c>
      <c r="U205" s="30" t="str">
        <f>"－"</f>
        <v>－</v>
      </c>
      <c r="V205" s="30">
        <f>1723872</f>
        <v>1723872</v>
      </c>
      <c r="W205" s="30" t="str">
        <f>"－"</f>
        <v>－</v>
      </c>
      <c r="X205" s="34">
        <f>13</f>
        <v>13</v>
      </c>
    </row>
    <row r="206" spans="1:24" ht="13.5" customHeight="1" x14ac:dyDescent="0.15">
      <c r="A206" s="25" t="s">
        <v>1139</v>
      </c>
      <c r="B206" s="25" t="s">
        <v>1092</v>
      </c>
      <c r="C206" s="25" t="s">
        <v>1093</v>
      </c>
      <c r="D206" s="25" t="s">
        <v>1094</v>
      </c>
      <c r="E206" s="26" t="s">
        <v>45</v>
      </c>
      <c r="F206" s="27" t="s">
        <v>45</v>
      </c>
      <c r="G206" s="28" t="s">
        <v>45</v>
      </c>
      <c r="H206" s="29"/>
      <c r="I206" s="29" t="s">
        <v>46</v>
      </c>
      <c r="J206" s="30">
        <v>1</v>
      </c>
      <c r="K206" s="31">
        <f>12215</f>
        <v>12215</v>
      </c>
      <c r="L206" s="32" t="s">
        <v>995</v>
      </c>
      <c r="M206" s="31">
        <f>12370</f>
        <v>12370</v>
      </c>
      <c r="N206" s="32" t="s">
        <v>791</v>
      </c>
      <c r="O206" s="31">
        <f>11875</f>
        <v>11875</v>
      </c>
      <c r="P206" s="32" t="s">
        <v>998</v>
      </c>
      <c r="Q206" s="31">
        <f>12355</f>
        <v>12355</v>
      </c>
      <c r="R206" s="32" t="s">
        <v>791</v>
      </c>
      <c r="S206" s="33">
        <f>12088.57</f>
        <v>12088.57</v>
      </c>
      <c r="T206" s="30">
        <f>13614</f>
        <v>13614</v>
      </c>
      <c r="U206" s="30" t="str">
        <f>"－"</f>
        <v>－</v>
      </c>
      <c r="V206" s="30">
        <f>166326210</f>
        <v>166326210</v>
      </c>
      <c r="W206" s="30" t="str">
        <f>"－"</f>
        <v>－</v>
      </c>
      <c r="X206" s="34">
        <f>21</f>
        <v>21</v>
      </c>
    </row>
    <row r="207" spans="1:24" ht="13.5" customHeight="1" x14ac:dyDescent="0.15">
      <c r="A207" s="25" t="s">
        <v>1139</v>
      </c>
      <c r="B207" s="25" t="s">
        <v>1096</v>
      </c>
      <c r="C207" s="25" t="s">
        <v>1097</v>
      </c>
      <c r="D207" s="25" t="s">
        <v>1098</v>
      </c>
      <c r="E207" s="26" t="s">
        <v>45</v>
      </c>
      <c r="F207" s="27" t="s">
        <v>45</v>
      </c>
      <c r="G207" s="28" t="s">
        <v>45</v>
      </c>
      <c r="H207" s="29"/>
      <c r="I207" s="29" t="s">
        <v>46</v>
      </c>
      <c r="J207" s="30">
        <v>1</v>
      </c>
      <c r="K207" s="31">
        <f>38040</f>
        <v>38040</v>
      </c>
      <c r="L207" s="32" t="s">
        <v>995</v>
      </c>
      <c r="M207" s="31">
        <f>38070</f>
        <v>38070</v>
      </c>
      <c r="N207" s="32" t="s">
        <v>995</v>
      </c>
      <c r="O207" s="31">
        <f>36170</f>
        <v>36170</v>
      </c>
      <c r="P207" s="32" t="s">
        <v>789</v>
      </c>
      <c r="Q207" s="31">
        <f>37310</f>
        <v>37310</v>
      </c>
      <c r="R207" s="32" t="s">
        <v>791</v>
      </c>
      <c r="S207" s="33">
        <f>36953.85</f>
        <v>36953.85</v>
      </c>
      <c r="T207" s="30">
        <f>20084</f>
        <v>20084</v>
      </c>
      <c r="U207" s="30">
        <f>16597</f>
        <v>16597</v>
      </c>
      <c r="V207" s="30">
        <f>728435031</f>
        <v>728435031</v>
      </c>
      <c r="W207" s="30">
        <f>599741721</f>
        <v>599741721</v>
      </c>
      <c r="X207" s="34">
        <f>13</f>
        <v>13</v>
      </c>
    </row>
    <row r="208" spans="1:24" ht="13.5" customHeight="1" x14ac:dyDescent="0.15">
      <c r="A208" s="25" t="s">
        <v>1139</v>
      </c>
      <c r="B208" s="25" t="s">
        <v>1099</v>
      </c>
      <c r="C208" s="25" t="s">
        <v>1100</v>
      </c>
      <c r="D208" s="25" t="s">
        <v>1101</v>
      </c>
      <c r="E208" s="26" t="s">
        <v>45</v>
      </c>
      <c r="F208" s="27" t="s">
        <v>45</v>
      </c>
      <c r="G208" s="28" t="s">
        <v>45</v>
      </c>
      <c r="H208" s="29"/>
      <c r="I208" s="29" t="s">
        <v>46</v>
      </c>
      <c r="J208" s="30">
        <v>1</v>
      </c>
      <c r="K208" s="31">
        <f>26790</f>
        <v>26790</v>
      </c>
      <c r="L208" s="32" t="s">
        <v>995</v>
      </c>
      <c r="M208" s="31">
        <f>29690</f>
        <v>29690</v>
      </c>
      <c r="N208" s="32" t="s">
        <v>998</v>
      </c>
      <c r="O208" s="31">
        <f>26740</f>
        <v>26740</v>
      </c>
      <c r="P208" s="32" t="s">
        <v>995</v>
      </c>
      <c r="Q208" s="31">
        <f>27715</f>
        <v>27715</v>
      </c>
      <c r="R208" s="32" t="s">
        <v>791</v>
      </c>
      <c r="S208" s="33">
        <f>28395.91</f>
        <v>28395.91</v>
      </c>
      <c r="T208" s="30">
        <f>31817</f>
        <v>31817</v>
      </c>
      <c r="U208" s="30">
        <f>17910</f>
        <v>17910</v>
      </c>
      <c r="V208" s="30">
        <f>907159272</f>
        <v>907159272</v>
      </c>
      <c r="W208" s="30">
        <f>509453367</f>
        <v>509453367</v>
      </c>
      <c r="X208" s="34">
        <f>22</f>
        <v>22</v>
      </c>
    </row>
    <row r="209" spans="1:24" ht="13.5" customHeight="1" x14ac:dyDescent="0.15">
      <c r="A209" s="25" t="s">
        <v>1139</v>
      </c>
      <c r="B209" s="25" t="s">
        <v>1104</v>
      </c>
      <c r="C209" s="25" t="s">
        <v>1105</v>
      </c>
      <c r="D209" s="25" t="s">
        <v>1106</v>
      </c>
      <c r="E209" s="26" t="s">
        <v>45</v>
      </c>
      <c r="F209" s="27" t="s">
        <v>45</v>
      </c>
      <c r="G209" s="28" t="s">
        <v>45</v>
      </c>
      <c r="H209" s="29"/>
      <c r="I209" s="29" t="s">
        <v>46</v>
      </c>
      <c r="J209" s="30">
        <v>10</v>
      </c>
      <c r="K209" s="31">
        <f>205.8</f>
        <v>205.8</v>
      </c>
      <c r="L209" s="32" t="s">
        <v>995</v>
      </c>
      <c r="M209" s="31">
        <f>208.9</f>
        <v>208.9</v>
      </c>
      <c r="N209" s="32" t="s">
        <v>875</v>
      </c>
      <c r="O209" s="31">
        <f>195</f>
        <v>195</v>
      </c>
      <c r="P209" s="32" t="s">
        <v>788</v>
      </c>
      <c r="Q209" s="31">
        <f>205.1</f>
        <v>205.1</v>
      </c>
      <c r="R209" s="32" t="s">
        <v>791</v>
      </c>
      <c r="S209" s="33">
        <f>201.55</f>
        <v>201.55</v>
      </c>
      <c r="T209" s="30">
        <f>577880</f>
        <v>577880</v>
      </c>
      <c r="U209" s="30">
        <f>500000</f>
        <v>500000</v>
      </c>
      <c r="V209" s="30">
        <f>117338834</f>
        <v>117338834</v>
      </c>
      <c r="W209" s="30">
        <f>101600000</f>
        <v>101600000</v>
      </c>
      <c r="X209" s="34">
        <f>22</f>
        <v>22</v>
      </c>
    </row>
    <row r="210" spans="1:24" ht="13.5" customHeight="1" x14ac:dyDescent="0.15">
      <c r="A210" s="25" t="s">
        <v>1139</v>
      </c>
      <c r="B210" s="25" t="s">
        <v>1108</v>
      </c>
      <c r="C210" s="25" t="s">
        <v>1109</v>
      </c>
      <c r="D210" s="25" t="s">
        <v>1110</v>
      </c>
      <c r="E210" s="26" t="s">
        <v>45</v>
      </c>
      <c r="F210" s="27" t="s">
        <v>45</v>
      </c>
      <c r="G210" s="28" t="s">
        <v>45</v>
      </c>
      <c r="H210" s="29"/>
      <c r="I210" s="29" t="s">
        <v>46</v>
      </c>
      <c r="J210" s="30">
        <v>10</v>
      </c>
      <c r="K210" s="31">
        <f>767.7</f>
        <v>767.7</v>
      </c>
      <c r="L210" s="32" t="s">
        <v>995</v>
      </c>
      <c r="M210" s="31">
        <f>785.2</f>
        <v>785.2</v>
      </c>
      <c r="N210" s="32" t="s">
        <v>785</v>
      </c>
      <c r="O210" s="31">
        <f>763.1</f>
        <v>763.1</v>
      </c>
      <c r="P210" s="32" t="s">
        <v>1004</v>
      </c>
      <c r="Q210" s="31">
        <f>767.4</f>
        <v>767.4</v>
      </c>
      <c r="R210" s="32" t="s">
        <v>791</v>
      </c>
      <c r="S210" s="33">
        <f>768.8</f>
        <v>768.8</v>
      </c>
      <c r="T210" s="30">
        <f>13439600</f>
        <v>13439600</v>
      </c>
      <c r="U210" s="30">
        <f>12950000</f>
        <v>12950000</v>
      </c>
      <c r="V210" s="30">
        <f>10363958064</f>
        <v>10363958064</v>
      </c>
      <c r="W210" s="30">
        <f>9987525000</f>
        <v>9987525000</v>
      </c>
      <c r="X210" s="34">
        <f>22</f>
        <v>22</v>
      </c>
    </row>
    <row r="211" spans="1:24" ht="13.5" customHeight="1" x14ac:dyDescent="0.15">
      <c r="A211" s="25" t="s">
        <v>1139</v>
      </c>
      <c r="B211" s="25" t="s">
        <v>1129</v>
      </c>
      <c r="C211" s="25" t="s">
        <v>1130</v>
      </c>
      <c r="D211" s="25" t="s">
        <v>1131</v>
      </c>
      <c r="E211" s="26" t="s">
        <v>45</v>
      </c>
      <c r="F211" s="27" t="s">
        <v>45</v>
      </c>
      <c r="G211" s="28" t="s">
        <v>45</v>
      </c>
      <c r="H211" s="29"/>
      <c r="I211" s="29" t="s">
        <v>46</v>
      </c>
      <c r="J211" s="30">
        <v>1</v>
      </c>
      <c r="K211" s="31">
        <f>1042</f>
        <v>1042</v>
      </c>
      <c r="L211" s="32" t="s">
        <v>995</v>
      </c>
      <c r="M211" s="31">
        <f>1049</f>
        <v>1049</v>
      </c>
      <c r="N211" s="32" t="s">
        <v>995</v>
      </c>
      <c r="O211" s="31">
        <f>972</f>
        <v>972</v>
      </c>
      <c r="P211" s="32" t="s">
        <v>788</v>
      </c>
      <c r="Q211" s="31">
        <f>1021</f>
        <v>1021</v>
      </c>
      <c r="R211" s="32" t="s">
        <v>791</v>
      </c>
      <c r="S211" s="33">
        <f>1009.91</f>
        <v>1009.91</v>
      </c>
      <c r="T211" s="30">
        <f>831873</f>
        <v>831873</v>
      </c>
      <c r="U211" s="30" t="str">
        <f>"－"</f>
        <v>－</v>
      </c>
      <c r="V211" s="30">
        <f>838802956</f>
        <v>838802956</v>
      </c>
      <c r="W211" s="30" t="str">
        <f>"－"</f>
        <v>－</v>
      </c>
      <c r="X211" s="34">
        <f>22</f>
        <v>22</v>
      </c>
    </row>
    <row r="212" spans="1:24" ht="13.5" customHeight="1" x14ac:dyDescent="0.15">
      <c r="A212" s="25" t="s">
        <v>1139</v>
      </c>
      <c r="B212" s="25" t="s">
        <v>1133</v>
      </c>
      <c r="C212" s="25" t="s">
        <v>1134</v>
      </c>
      <c r="D212" s="25" t="s">
        <v>1135</v>
      </c>
      <c r="E212" s="26" t="s">
        <v>45</v>
      </c>
      <c r="F212" s="27" t="s">
        <v>45</v>
      </c>
      <c r="G212" s="28" t="s">
        <v>45</v>
      </c>
      <c r="H212" s="29"/>
      <c r="I212" s="29" t="s">
        <v>46</v>
      </c>
      <c r="J212" s="30">
        <v>1</v>
      </c>
      <c r="K212" s="31">
        <f>1052</f>
        <v>1052</v>
      </c>
      <c r="L212" s="32" t="s">
        <v>995</v>
      </c>
      <c r="M212" s="31">
        <f>1062</f>
        <v>1062</v>
      </c>
      <c r="N212" s="32" t="s">
        <v>1005</v>
      </c>
      <c r="O212" s="31">
        <f>1027</f>
        <v>1027</v>
      </c>
      <c r="P212" s="32" t="s">
        <v>1003</v>
      </c>
      <c r="Q212" s="31">
        <f>1056</f>
        <v>1056</v>
      </c>
      <c r="R212" s="32" t="s">
        <v>791</v>
      </c>
      <c r="S212" s="33">
        <f>1042.95</f>
        <v>1042.95</v>
      </c>
      <c r="T212" s="30">
        <f>121271</f>
        <v>121271</v>
      </c>
      <c r="U212" s="30" t="str">
        <f>"－"</f>
        <v>－</v>
      </c>
      <c r="V212" s="30">
        <f>126166011</f>
        <v>126166011</v>
      </c>
      <c r="W212" s="30" t="str">
        <f>"－"</f>
        <v>－</v>
      </c>
      <c r="X212" s="34">
        <f>22</f>
        <v>22</v>
      </c>
    </row>
    <row r="213" spans="1:24" ht="13.5" customHeight="1" x14ac:dyDescent="0.15">
      <c r="A213" s="25" t="s">
        <v>1139</v>
      </c>
      <c r="B213" s="25" t="s">
        <v>1136</v>
      </c>
      <c r="C213" s="25" t="s">
        <v>1137</v>
      </c>
      <c r="D213" s="25" t="s">
        <v>1138</v>
      </c>
      <c r="E213" s="26" t="s">
        <v>45</v>
      </c>
      <c r="F213" s="27" t="s">
        <v>45</v>
      </c>
      <c r="G213" s="28" t="s">
        <v>45</v>
      </c>
      <c r="H213" s="29"/>
      <c r="I213" s="29" t="s">
        <v>46</v>
      </c>
      <c r="J213" s="30">
        <v>1</v>
      </c>
      <c r="K213" s="31">
        <f>1039</f>
        <v>1039</v>
      </c>
      <c r="L213" s="32" t="s">
        <v>995</v>
      </c>
      <c r="M213" s="31">
        <f>1039</f>
        <v>1039</v>
      </c>
      <c r="N213" s="32" t="s">
        <v>995</v>
      </c>
      <c r="O213" s="31">
        <f>897</f>
        <v>897</v>
      </c>
      <c r="P213" s="32" t="s">
        <v>793</v>
      </c>
      <c r="Q213" s="31">
        <f>921</f>
        <v>921</v>
      </c>
      <c r="R213" s="32" t="s">
        <v>791</v>
      </c>
      <c r="S213" s="33">
        <f>960.36</f>
        <v>960.36</v>
      </c>
      <c r="T213" s="30">
        <f>232862</f>
        <v>232862</v>
      </c>
      <c r="U213" s="30" t="str">
        <f>"－"</f>
        <v>－</v>
      </c>
      <c r="V213" s="30">
        <f>218897847</f>
        <v>218897847</v>
      </c>
      <c r="W213" s="30" t="str">
        <f>"－"</f>
        <v>－</v>
      </c>
      <c r="X213" s="34">
        <f>22</f>
        <v>22</v>
      </c>
    </row>
    <row r="214" spans="1:24" ht="13.5" customHeight="1" x14ac:dyDescent="0.15">
      <c r="A214" s="25" t="s">
        <v>1139</v>
      </c>
      <c r="B214" s="25" t="s">
        <v>643</v>
      </c>
      <c r="C214" s="25" t="s">
        <v>644</v>
      </c>
      <c r="D214" s="25" t="s">
        <v>645</v>
      </c>
      <c r="E214" s="26" t="s">
        <v>45</v>
      </c>
      <c r="F214" s="27" t="s">
        <v>45</v>
      </c>
      <c r="G214" s="28" t="s">
        <v>45</v>
      </c>
      <c r="H214" s="29"/>
      <c r="I214" s="29" t="s">
        <v>46</v>
      </c>
      <c r="J214" s="30">
        <v>10</v>
      </c>
      <c r="K214" s="31">
        <f>939.4</f>
        <v>939.4</v>
      </c>
      <c r="L214" s="32" t="s">
        <v>995</v>
      </c>
      <c r="M214" s="31">
        <f>966.1</f>
        <v>966.1</v>
      </c>
      <c r="N214" s="32" t="s">
        <v>1017</v>
      </c>
      <c r="O214" s="31">
        <f>932.2</f>
        <v>932.2</v>
      </c>
      <c r="P214" s="32" t="s">
        <v>997</v>
      </c>
      <c r="Q214" s="31">
        <f>935.7</f>
        <v>935.7</v>
      </c>
      <c r="R214" s="32" t="s">
        <v>791</v>
      </c>
      <c r="S214" s="33">
        <f>936.68</f>
        <v>936.68</v>
      </c>
      <c r="T214" s="30">
        <f>3838000</f>
        <v>3838000</v>
      </c>
      <c r="U214" s="30">
        <f>2048100</f>
        <v>2048100</v>
      </c>
      <c r="V214" s="30">
        <f>3598804824</f>
        <v>3598804824</v>
      </c>
      <c r="W214" s="30">
        <f>1918630293</f>
        <v>1918630293</v>
      </c>
      <c r="X214" s="34">
        <f>22</f>
        <v>22</v>
      </c>
    </row>
    <row r="215" spans="1:24" ht="13.5" customHeight="1" x14ac:dyDescent="0.15">
      <c r="A215" s="25" t="s">
        <v>1139</v>
      </c>
      <c r="B215" s="25" t="s">
        <v>646</v>
      </c>
      <c r="C215" s="25" t="s">
        <v>647</v>
      </c>
      <c r="D215" s="25" t="s">
        <v>648</v>
      </c>
      <c r="E215" s="26" t="s">
        <v>45</v>
      </c>
      <c r="F215" s="27" t="s">
        <v>45</v>
      </c>
      <c r="G215" s="28" t="s">
        <v>45</v>
      </c>
      <c r="H215" s="29"/>
      <c r="I215" s="29" t="s">
        <v>46</v>
      </c>
      <c r="J215" s="30">
        <v>10</v>
      </c>
      <c r="K215" s="31">
        <f>1027</f>
        <v>1027</v>
      </c>
      <c r="L215" s="32" t="s">
        <v>995</v>
      </c>
      <c r="M215" s="31">
        <f>1055</f>
        <v>1055</v>
      </c>
      <c r="N215" s="32" t="s">
        <v>997</v>
      </c>
      <c r="O215" s="31">
        <f>1017</f>
        <v>1017</v>
      </c>
      <c r="P215" s="32" t="s">
        <v>785</v>
      </c>
      <c r="Q215" s="31">
        <f>1043.5</f>
        <v>1043.5</v>
      </c>
      <c r="R215" s="32" t="s">
        <v>791</v>
      </c>
      <c r="S215" s="33">
        <f>1036</f>
        <v>1036</v>
      </c>
      <c r="T215" s="30">
        <f>1291580</f>
        <v>1291580</v>
      </c>
      <c r="U215" s="30">
        <f>168560</f>
        <v>168560</v>
      </c>
      <c r="V215" s="30">
        <f>1340174868</f>
        <v>1340174868</v>
      </c>
      <c r="W215" s="30">
        <f>175235008</f>
        <v>175235008</v>
      </c>
      <c r="X215" s="34">
        <f>22</f>
        <v>22</v>
      </c>
    </row>
    <row r="216" spans="1:24" ht="13.5" customHeight="1" x14ac:dyDescent="0.15">
      <c r="A216" s="25" t="s">
        <v>1139</v>
      </c>
      <c r="B216" s="25" t="s">
        <v>649</v>
      </c>
      <c r="C216" s="25" t="s">
        <v>650</v>
      </c>
      <c r="D216" s="25" t="s">
        <v>651</v>
      </c>
      <c r="E216" s="26" t="s">
        <v>45</v>
      </c>
      <c r="F216" s="27" t="s">
        <v>45</v>
      </c>
      <c r="G216" s="28" t="s">
        <v>45</v>
      </c>
      <c r="H216" s="29"/>
      <c r="I216" s="29" t="s">
        <v>46</v>
      </c>
      <c r="J216" s="30">
        <v>10</v>
      </c>
      <c r="K216" s="31">
        <f>814.9</f>
        <v>814.9</v>
      </c>
      <c r="L216" s="32" t="s">
        <v>995</v>
      </c>
      <c r="M216" s="31">
        <f>815</f>
        <v>815</v>
      </c>
      <c r="N216" s="32" t="s">
        <v>995</v>
      </c>
      <c r="O216" s="31">
        <f>796</f>
        <v>796</v>
      </c>
      <c r="P216" s="32" t="s">
        <v>1001</v>
      </c>
      <c r="Q216" s="31">
        <f>808.2</f>
        <v>808.2</v>
      </c>
      <c r="R216" s="32" t="s">
        <v>791</v>
      </c>
      <c r="S216" s="33">
        <f>805.49</f>
        <v>805.49</v>
      </c>
      <c r="T216" s="30">
        <f>4752650</f>
        <v>4752650</v>
      </c>
      <c r="U216" s="30">
        <f>4196570</f>
        <v>4196570</v>
      </c>
      <c r="V216" s="30">
        <f>3829602300</f>
        <v>3829602300</v>
      </c>
      <c r="W216" s="30">
        <f>3380748822</f>
        <v>3380748822</v>
      </c>
      <c r="X216" s="34">
        <f>22</f>
        <v>22</v>
      </c>
    </row>
    <row r="217" spans="1:24" ht="13.5" customHeight="1" x14ac:dyDescent="0.15">
      <c r="A217" s="25" t="s">
        <v>1139</v>
      </c>
      <c r="B217" s="25" t="s">
        <v>652</v>
      </c>
      <c r="C217" s="25" t="s">
        <v>653</v>
      </c>
      <c r="D217" s="25" t="s">
        <v>654</v>
      </c>
      <c r="E217" s="26" t="s">
        <v>45</v>
      </c>
      <c r="F217" s="27" t="s">
        <v>45</v>
      </c>
      <c r="G217" s="28" t="s">
        <v>45</v>
      </c>
      <c r="H217" s="29"/>
      <c r="I217" s="29" t="s">
        <v>46</v>
      </c>
      <c r="J217" s="30">
        <v>10</v>
      </c>
      <c r="K217" s="31">
        <f>1990</f>
        <v>1990</v>
      </c>
      <c r="L217" s="32" t="s">
        <v>995</v>
      </c>
      <c r="M217" s="31">
        <f>2019</f>
        <v>2019</v>
      </c>
      <c r="N217" s="32" t="s">
        <v>893</v>
      </c>
      <c r="O217" s="31">
        <f>1930</f>
        <v>1930</v>
      </c>
      <c r="P217" s="32" t="s">
        <v>998</v>
      </c>
      <c r="Q217" s="31">
        <f>2010.5</f>
        <v>2010.5</v>
      </c>
      <c r="R217" s="32" t="s">
        <v>791</v>
      </c>
      <c r="S217" s="33">
        <f>1969.93</f>
        <v>1969.93</v>
      </c>
      <c r="T217" s="30">
        <f>626950</f>
        <v>626950</v>
      </c>
      <c r="U217" s="30">
        <f>154870</f>
        <v>154870</v>
      </c>
      <c r="V217" s="30">
        <f>1234351528</f>
        <v>1234351528</v>
      </c>
      <c r="W217" s="30">
        <f>306431843</f>
        <v>306431843</v>
      </c>
      <c r="X217" s="34">
        <f>22</f>
        <v>22</v>
      </c>
    </row>
    <row r="218" spans="1:24" ht="13.5" customHeight="1" x14ac:dyDescent="0.15">
      <c r="A218" s="25" t="s">
        <v>1139</v>
      </c>
      <c r="B218" s="25" t="s">
        <v>655</v>
      </c>
      <c r="C218" s="25" t="s">
        <v>656</v>
      </c>
      <c r="D218" s="25" t="s">
        <v>657</v>
      </c>
      <c r="E218" s="26" t="s">
        <v>45</v>
      </c>
      <c r="F218" s="27" t="s">
        <v>45</v>
      </c>
      <c r="G218" s="28" t="s">
        <v>45</v>
      </c>
      <c r="H218" s="29"/>
      <c r="I218" s="29" t="s">
        <v>46</v>
      </c>
      <c r="J218" s="30">
        <v>10</v>
      </c>
      <c r="K218" s="31">
        <f>1467</f>
        <v>1467</v>
      </c>
      <c r="L218" s="32" t="s">
        <v>995</v>
      </c>
      <c r="M218" s="31">
        <f>1467</f>
        <v>1467</v>
      </c>
      <c r="N218" s="32" t="s">
        <v>995</v>
      </c>
      <c r="O218" s="31">
        <f>1382.5</f>
        <v>1382.5</v>
      </c>
      <c r="P218" s="32" t="s">
        <v>788</v>
      </c>
      <c r="Q218" s="31">
        <f>1428</f>
        <v>1428</v>
      </c>
      <c r="R218" s="32" t="s">
        <v>791</v>
      </c>
      <c r="S218" s="33">
        <f>1414.41</f>
        <v>1414.41</v>
      </c>
      <c r="T218" s="30">
        <f>822430</f>
        <v>822430</v>
      </c>
      <c r="U218" s="30">
        <f>724210</f>
        <v>724210</v>
      </c>
      <c r="V218" s="30">
        <f>1144643734</f>
        <v>1144643734</v>
      </c>
      <c r="W218" s="30">
        <f>1006350479</f>
        <v>1006350479</v>
      </c>
      <c r="X218" s="34">
        <f>22</f>
        <v>22</v>
      </c>
    </row>
    <row r="219" spans="1:24" ht="13.5" customHeight="1" x14ac:dyDescent="0.15">
      <c r="A219" s="25" t="s">
        <v>1139</v>
      </c>
      <c r="B219" s="25" t="s">
        <v>658</v>
      </c>
      <c r="C219" s="25" t="s">
        <v>659</v>
      </c>
      <c r="D219" s="25" t="s">
        <v>660</v>
      </c>
      <c r="E219" s="26" t="s">
        <v>45</v>
      </c>
      <c r="F219" s="27" t="s">
        <v>45</v>
      </c>
      <c r="G219" s="28" t="s">
        <v>45</v>
      </c>
      <c r="H219" s="29"/>
      <c r="I219" s="29" t="s">
        <v>46</v>
      </c>
      <c r="J219" s="30">
        <v>10</v>
      </c>
      <c r="K219" s="31">
        <f>1251.5</f>
        <v>1251.5</v>
      </c>
      <c r="L219" s="32" t="s">
        <v>995</v>
      </c>
      <c r="M219" s="31">
        <f>1262</f>
        <v>1262</v>
      </c>
      <c r="N219" s="32" t="s">
        <v>995</v>
      </c>
      <c r="O219" s="31">
        <f>1206</f>
        <v>1206</v>
      </c>
      <c r="P219" s="32" t="s">
        <v>1001</v>
      </c>
      <c r="Q219" s="31">
        <f>1260</f>
        <v>1260</v>
      </c>
      <c r="R219" s="32" t="s">
        <v>791</v>
      </c>
      <c r="S219" s="33">
        <f>1234.68</f>
        <v>1234.68</v>
      </c>
      <c r="T219" s="30">
        <f>719260</f>
        <v>719260</v>
      </c>
      <c r="U219" s="30">
        <f>149380</f>
        <v>149380</v>
      </c>
      <c r="V219" s="30">
        <f>888231663</f>
        <v>888231663</v>
      </c>
      <c r="W219" s="30">
        <f>187110373</f>
        <v>187110373</v>
      </c>
      <c r="X219" s="34">
        <f>22</f>
        <v>22</v>
      </c>
    </row>
    <row r="220" spans="1:24" ht="13.5" customHeight="1" x14ac:dyDescent="0.15">
      <c r="A220" s="25" t="s">
        <v>1139</v>
      </c>
      <c r="B220" s="25" t="s">
        <v>661</v>
      </c>
      <c r="C220" s="25" t="s">
        <v>662</v>
      </c>
      <c r="D220" s="25" t="s">
        <v>663</v>
      </c>
      <c r="E220" s="26" t="s">
        <v>45</v>
      </c>
      <c r="F220" s="27" t="s">
        <v>45</v>
      </c>
      <c r="G220" s="28" t="s">
        <v>45</v>
      </c>
      <c r="H220" s="29"/>
      <c r="I220" s="29" t="s">
        <v>46</v>
      </c>
      <c r="J220" s="30">
        <v>10</v>
      </c>
      <c r="K220" s="31">
        <f>609.8</f>
        <v>609.79999999999995</v>
      </c>
      <c r="L220" s="32" t="s">
        <v>995</v>
      </c>
      <c r="M220" s="31">
        <f>612.1</f>
        <v>612.1</v>
      </c>
      <c r="N220" s="32" t="s">
        <v>995</v>
      </c>
      <c r="O220" s="31">
        <f>549.5</f>
        <v>549.5</v>
      </c>
      <c r="P220" s="32" t="s">
        <v>788</v>
      </c>
      <c r="Q220" s="31">
        <f>590.1</f>
        <v>590.1</v>
      </c>
      <c r="R220" s="32" t="s">
        <v>791</v>
      </c>
      <c r="S220" s="33">
        <f>583.62</f>
        <v>583.62</v>
      </c>
      <c r="T220" s="30">
        <f>31380170</f>
        <v>31380170</v>
      </c>
      <c r="U220" s="30">
        <f>720660</f>
        <v>720660</v>
      </c>
      <c r="V220" s="30">
        <f>18220286765</f>
        <v>18220286765</v>
      </c>
      <c r="W220" s="30">
        <f>423453652</f>
        <v>423453652</v>
      </c>
      <c r="X220" s="34">
        <f>22</f>
        <v>22</v>
      </c>
    </row>
    <row r="221" spans="1:24" ht="13.5" customHeight="1" x14ac:dyDescent="0.15">
      <c r="A221" s="25" t="s">
        <v>1139</v>
      </c>
      <c r="B221" s="25" t="s">
        <v>664</v>
      </c>
      <c r="C221" s="25" t="s">
        <v>665</v>
      </c>
      <c r="D221" s="25" t="s">
        <v>666</v>
      </c>
      <c r="E221" s="26" t="s">
        <v>45</v>
      </c>
      <c r="F221" s="27" t="s">
        <v>45</v>
      </c>
      <c r="G221" s="28" t="s">
        <v>45</v>
      </c>
      <c r="H221" s="29"/>
      <c r="I221" s="29" t="s">
        <v>46</v>
      </c>
      <c r="J221" s="30">
        <v>10</v>
      </c>
      <c r="K221" s="31">
        <f>1140</f>
        <v>1140</v>
      </c>
      <c r="L221" s="32" t="s">
        <v>995</v>
      </c>
      <c r="M221" s="31">
        <f>1151</f>
        <v>1151</v>
      </c>
      <c r="N221" s="32" t="s">
        <v>791</v>
      </c>
      <c r="O221" s="31">
        <f>1109</f>
        <v>1109</v>
      </c>
      <c r="P221" s="32" t="s">
        <v>1001</v>
      </c>
      <c r="Q221" s="31">
        <f>1143</f>
        <v>1143</v>
      </c>
      <c r="R221" s="32" t="s">
        <v>791</v>
      </c>
      <c r="S221" s="33">
        <f>1127.59</f>
        <v>1127.5899999999999</v>
      </c>
      <c r="T221" s="30">
        <f>513540</f>
        <v>513540</v>
      </c>
      <c r="U221" s="30">
        <f>441020</f>
        <v>441020</v>
      </c>
      <c r="V221" s="30">
        <f>580669530</f>
        <v>580669530</v>
      </c>
      <c r="W221" s="30">
        <f>499146230</f>
        <v>499146230</v>
      </c>
      <c r="X221" s="34">
        <f>22</f>
        <v>22</v>
      </c>
    </row>
    <row r="222" spans="1:24" ht="13.5" customHeight="1" x14ac:dyDescent="0.15">
      <c r="A222" s="25" t="s">
        <v>1139</v>
      </c>
      <c r="B222" s="25" t="s">
        <v>667</v>
      </c>
      <c r="C222" s="25" t="s">
        <v>668</v>
      </c>
      <c r="D222" s="25" t="s">
        <v>669</v>
      </c>
      <c r="E222" s="26" t="s">
        <v>45</v>
      </c>
      <c r="F222" s="27" t="s">
        <v>45</v>
      </c>
      <c r="G222" s="28" t="s">
        <v>45</v>
      </c>
      <c r="H222" s="29"/>
      <c r="I222" s="29" t="s">
        <v>46</v>
      </c>
      <c r="J222" s="30">
        <v>1</v>
      </c>
      <c r="K222" s="31">
        <f>1279</f>
        <v>1279</v>
      </c>
      <c r="L222" s="32" t="s">
        <v>995</v>
      </c>
      <c r="M222" s="31">
        <f>1282</f>
        <v>1282</v>
      </c>
      <c r="N222" s="32" t="s">
        <v>995</v>
      </c>
      <c r="O222" s="31">
        <f>1224</f>
        <v>1224</v>
      </c>
      <c r="P222" s="32" t="s">
        <v>788</v>
      </c>
      <c r="Q222" s="31">
        <f>1280</f>
        <v>1280</v>
      </c>
      <c r="R222" s="32" t="s">
        <v>791</v>
      </c>
      <c r="S222" s="33">
        <f>1252.05</f>
        <v>1252.05</v>
      </c>
      <c r="T222" s="30">
        <f>35185</f>
        <v>35185</v>
      </c>
      <c r="U222" s="30">
        <f>2</f>
        <v>2</v>
      </c>
      <c r="V222" s="30">
        <f>43938000</f>
        <v>43938000</v>
      </c>
      <c r="W222" s="30">
        <f>2509</f>
        <v>2509</v>
      </c>
      <c r="X222" s="34">
        <f>22</f>
        <v>22</v>
      </c>
    </row>
    <row r="223" spans="1:24" ht="13.5" customHeight="1" x14ac:dyDescent="0.15">
      <c r="A223" s="25" t="s">
        <v>1139</v>
      </c>
      <c r="B223" s="25" t="s">
        <v>670</v>
      </c>
      <c r="C223" s="25" t="s">
        <v>671</v>
      </c>
      <c r="D223" s="25" t="s">
        <v>672</v>
      </c>
      <c r="E223" s="26" t="s">
        <v>45</v>
      </c>
      <c r="F223" s="27" t="s">
        <v>45</v>
      </c>
      <c r="G223" s="28" t="s">
        <v>45</v>
      </c>
      <c r="H223" s="29"/>
      <c r="I223" s="29" t="s">
        <v>46</v>
      </c>
      <c r="J223" s="30">
        <v>10</v>
      </c>
      <c r="K223" s="31">
        <f>969.6</f>
        <v>969.6</v>
      </c>
      <c r="L223" s="32" t="s">
        <v>995</v>
      </c>
      <c r="M223" s="31">
        <f>986</f>
        <v>986</v>
      </c>
      <c r="N223" s="32" t="s">
        <v>791</v>
      </c>
      <c r="O223" s="31">
        <f>955</f>
        <v>955</v>
      </c>
      <c r="P223" s="32" t="s">
        <v>785</v>
      </c>
      <c r="Q223" s="31">
        <f>986</f>
        <v>986</v>
      </c>
      <c r="R223" s="32" t="s">
        <v>791</v>
      </c>
      <c r="S223" s="33">
        <f>970.79</f>
        <v>970.79</v>
      </c>
      <c r="T223" s="30">
        <f>81900</f>
        <v>81900</v>
      </c>
      <c r="U223" s="30" t="str">
        <f>"－"</f>
        <v>－</v>
      </c>
      <c r="V223" s="30">
        <f>79603546</f>
        <v>79603546</v>
      </c>
      <c r="W223" s="30" t="str">
        <f>"－"</f>
        <v>－</v>
      </c>
      <c r="X223" s="34">
        <f>22</f>
        <v>22</v>
      </c>
    </row>
    <row r="224" spans="1:24" ht="13.5" customHeight="1" x14ac:dyDescent="0.15">
      <c r="A224" s="25" t="s">
        <v>1139</v>
      </c>
      <c r="B224" s="25" t="s">
        <v>673</v>
      </c>
      <c r="C224" s="25" t="s">
        <v>674</v>
      </c>
      <c r="D224" s="25" t="s">
        <v>675</v>
      </c>
      <c r="E224" s="26" t="s">
        <v>45</v>
      </c>
      <c r="F224" s="27" t="s">
        <v>45</v>
      </c>
      <c r="G224" s="28" t="s">
        <v>45</v>
      </c>
      <c r="H224" s="29"/>
      <c r="I224" s="29" t="s">
        <v>46</v>
      </c>
      <c r="J224" s="30">
        <v>10</v>
      </c>
      <c r="K224" s="31">
        <f>1309.5</f>
        <v>1309.5</v>
      </c>
      <c r="L224" s="32" t="s">
        <v>995</v>
      </c>
      <c r="M224" s="31">
        <f>1320</f>
        <v>1320</v>
      </c>
      <c r="N224" s="32" t="s">
        <v>995</v>
      </c>
      <c r="O224" s="31">
        <f>1205</f>
        <v>1205</v>
      </c>
      <c r="P224" s="32" t="s">
        <v>998</v>
      </c>
      <c r="Q224" s="31">
        <f>1269</f>
        <v>1269</v>
      </c>
      <c r="R224" s="32" t="s">
        <v>791</v>
      </c>
      <c r="S224" s="33">
        <f>1263.39</f>
        <v>1263.3900000000001</v>
      </c>
      <c r="T224" s="30">
        <f>153840</f>
        <v>153840</v>
      </c>
      <c r="U224" s="30" t="str">
        <f>"－"</f>
        <v>－</v>
      </c>
      <c r="V224" s="30">
        <f>194741025</f>
        <v>194741025</v>
      </c>
      <c r="W224" s="30" t="str">
        <f>"－"</f>
        <v>－</v>
      </c>
      <c r="X224" s="34">
        <f>22</f>
        <v>22</v>
      </c>
    </row>
    <row r="225" spans="1:24" ht="13.5" customHeight="1" x14ac:dyDescent="0.15">
      <c r="A225" s="25" t="s">
        <v>1139</v>
      </c>
      <c r="B225" s="25" t="s">
        <v>676</v>
      </c>
      <c r="C225" s="25" t="s">
        <v>677</v>
      </c>
      <c r="D225" s="25" t="s">
        <v>678</v>
      </c>
      <c r="E225" s="26" t="s">
        <v>45</v>
      </c>
      <c r="F225" s="27" t="s">
        <v>45</v>
      </c>
      <c r="G225" s="28" t="s">
        <v>45</v>
      </c>
      <c r="H225" s="29"/>
      <c r="I225" s="29" t="s">
        <v>46</v>
      </c>
      <c r="J225" s="30">
        <v>10</v>
      </c>
      <c r="K225" s="31">
        <f>1504</f>
        <v>1504</v>
      </c>
      <c r="L225" s="32" t="s">
        <v>995</v>
      </c>
      <c r="M225" s="31">
        <f>1505.5</f>
        <v>1505.5</v>
      </c>
      <c r="N225" s="32" t="s">
        <v>995</v>
      </c>
      <c r="O225" s="31">
        <f>1425.5</f>
        <v>1425.5</v>
      </c>
      <c r="P225" s="32" t="s">
        <v>788</v>
      </c>
      <c r="Q225" s="31">
        <f>1475.5</f>
        <v>1475.5</v>
      </c>
      <c r="R225" s="32" t="s">
        <v>791</v>
      </c>
      <c r="S225" s="33">
        <f>1459.68</f>
        <v>1459.68</v>
      </c>
      <c r="T225" s="30">
        <f>3252460</f>
        <v>3252460</v>
      </c>
      <c r="U225" s="30">
        <f>602150</f>
        <v>602150</v>
      </c>
      <c r="V225" s="30">
        <f>4734489352</f>
        <v>4734489352</v>
      </c>
      <c r="W225" s="30">
        <f>887448022</f>
        <v>887448022</v>
      </c>
      <c r="X225" s="34">
        <f>22</f>
        <v>22</v>
      </c>
    </row>
    <row r="226" spans="1:24" ht="13.5" customHeight="1" x14ac:dyDescent="0.15">
      <c r="A226" s="25" t="s">
        <v>1139</v>
      </c>
      <c r="B226" s="25" t="s">
        <v>679</v>
      </c>
      <c r="C226" s="25" t="s">
        <v>680</v>
      </c>
      <c r="D226" s="25" t="s">
        <v>681</v>
      </c>
      <c r="E226" s="26" t="s">
        <v>45</v>
      </c>
      <c r="F226" s="27" t="s">
        <v>45</v>
      </c>
      <c r="G226" s="28" t="s">
        <v>45</v>
      </c>
      <c r="H226" s="29"/>
      <c r="I226" s="29" t="s">
        <v>46</v>
      </c>
      <c r="J226" s="30">
        <v>1</v>
      </c>
      <c r="K226" s="31">
        <f>4510</f>
        <v>4510</v>
      </c>
      <c r="L226" s="32" t="s">
        <v>995</v>
      </c>
      <c r="M226" s="31">
        <f>4560</f>
        <v>4560</v>
      </c>
      <c r="N226" s="32" t="s">
        <v>995</v>
      </c>
      <c r="O226" s="31">
        <f>4165</f>
        <v>4165</v>
      </c>
      <c r="P226" s="32" t="s">
        <v>998</v>
      </c>
      <c r="Q226" s="31">
        <f>4445</f>
        <v>4445</v>
      </c>
      <c r="R226" s="32" t="s">
        <v>791</v>
      </c>
      <c r="S226" s="33">
        <f>4343.41</f>
        <v>4343.41</v>
      </c>
      <c r="T226" s="30">
        <f>36324</f>
        <v>36324</v>
      </c>
      <c r="U226" s="30" t="str">
        <f>"－"</f>
        <v>－</v>
      </c>
      <c r="V226" s="30">
        <f>158661885</f>
        <v>158661885</v>
      </c>
      <c r="W226" s="30" t="str">
        <f>"－"</f>
        <v>－</v>
      </c>
      <c r="X226" s="34">
        <f>22</f>
        <v>22</v>
      </c>
    </row>
    <row r="227" spans="1:24" ht="13.5" customHeight="1" x14ac:dyDescent="0.15">
      <c r="A227" s="25" t="s">
        <v>1139</v>
      </c>
      <c r="B227" s="25" t="s">
        <v>682</v>
      </c>
      <c r="C227" s="25" t="s">
        <v>683</v>
      </c>
      <c r="D227" s="25" t="s">
        <v>684</v>
      </c>
      <c r="E227" s="26" t="s">
        <v>45</v>
      </c>
      <c r="F227" s="27" t="s">
        <v>45</v>
      </c>
      <c r="G227" s="28" t="s">
        <v>45</v>
      </c>
      <c r="H227" s="29"/>
      <c r="I227" s="29" t="s">
        <v>46</v>
      </c>
      <c r="J227" s="30">
        <v>10</v>
      </c>
      <c r="K227" s="31">
        <f>1854</f>
        <v>1854</v>
      </c>
      <c r="L227" s="32" t="s">
        <v>995</v>
      </c>
      <c r="M227" s="31">
        <f>1913</f>
        <v>1913</v>
      </c>
      <c r="N227" s="32" t="s">
        <v>1005</v>
      </c>
      <c r="O227" s="31">
        <f>1805</f>
        <v>1805</v>
      </c>
      <c r="P227" s="32" t="s">
        <v>1017</v>
      </c>
      <c r="Q227" s="31">
        <f>1836.5</f>
        <v>1836.5</v>
      </c>
      <c r="R227" s="32" t="s">
        <v>791</v>
      </c>
      <c r="S227" s="33">
        <f>1858.7</f>
        <v>1858.7</v>
      </c>
      <c r="T227" s="30">
        <f>950</f>
        <v>950</v>
      </c>
      <c r="U227" s="30" t="str">
        <f>"－"</f>
        <v>－</v>
      </c>
      <c r="V227" s="30">
        <f>1757735</f>
        <v>1757735</v>
      </c>
      <c r="W227" s="30" t="str">
        <f>"－"</f>
        <v>－</v>
      </c>
      <c r="X227" s="34">
        <f>10</f>
        <v>10</v>
      </c>
    </row>
    <row r="228" spans="1:24" ht="13.5" customHeight="1" x14ac:dyDescent="0.15">
      <c r="A228" s="25" t="s">
        <v>1139</v>
      </c>
      <c r="B228" s="25" t="s">
        <v>685</v>
      </c>
      <c r="C228" s="25" t="s">
        <v>686</v>
      </c>
      <c r="D228" s="25" t="s">
        <v>687</v>
      </c>
      <c r="E228" s="26" t="s">
        <v>45</v>
      </c>
      <c r="F228" s="27" t="s">
        <v>45</v>
      </c>
      <c r="G228" s="28" t="s">
        <v>45</v>
      </c>
      <c r="H228" s="29"/>
      <c r="I228" s="29" t="s">
        <v>46</v>
      </c>
      <c r="J228" s="30">
        <v>10</v>
      </c>
      <c r="K228" s="31">
        <f>2395</f>
        <v>2395</v>
      </c>
      <c r="L228" s="32" t="s">
        <v>995</v>
      </c>
      <c r="M228" s="31">
        <f>2406.5</f>
        <v>2406.5</v>
      </c>
      <c r="N228" s="32" t="s">
        <v>995</v>
      </c>
      <c r="O228" s="31">
        <f>2278</f>
        <v>2278</v>
      </c>
      <c r="P228" s="32" t="s">
        <v>792</v>
      </c>
      <c r="Q228" s="31">
        <f>2372</f>
        <v>2372</v>
      </c>
      <c r="R228" s="32" t="s">
        <v>791</v>
      </c>
      <c r="S228" s="33">
        <f>2336.2</f>
        <v>2336.1999999999998</v>
      </c>
      <c r="T228" s="30">
        <f>9667560</f>
        <v>9667560</v>
      </c>
      <c r="U228" s="30">
        <f>7124900</f>
        <v>7124900</v>
      </c>
      <c r="V228" s="30">
        <f>22739995810</f>
        <v>22739995810</v>
      </c>
      <c r="W228" s="30">
        <f>16777922790</f>
        <v>16777922790</v>
      </c>
      <c r="X228" s="34">
        <f>22</f>
        <v>22</v>
      </c>
    </row>
    <row r="229" spans="1:24" ht="13.5" customHeight="1" x14ac:dyDescent="0.15">
      <c r="A229" s="25" t="s">
        <v>1139</v>
      </c>
      <c r="B229" s="25" t="s">
        <v>688</v>
      </c>
      <c r="C229" s="25" t="s">
        <v>689</v>
      </c>
      <c r="D229" s="25" t="s">
        <v>690</v>
      </c>
      <c r="E229" s="26" t="s">
        <v>45</v>
      </c>
      <c r="F229" s="27" t="s">
        <v>45</v>
      </c>
      <c r="G229" s="28" t="s">
        <v>45</v>
      </c>
      <c r="H229" s="29"/>
      <c r="I229" s="29" t="s">
        <v>46</v>
      </c>
      <c r="J229" s="30">
        <v>1</v>
      </c>
      <c r="K229" s="31">
        <f>33950</f>
        <v>33950</v>
      </c>
      <c r="L229" s="32" t="s">
        <v>995</v>
      </c>
      <c r="M229" s="31">
        <f>34140</f>
        <v>34140</v>
      </c>
      <c r="N229" s="32" t="s">
        <v>995</v>
      </c>
      <c r="O229" s="31">
        <f>31570</f>
        <v>31570</v>
      </c>
      <c r="P229" s="32" t="s">
        <v>788</v>
      </c>
      <c r="Q229" s="31">
        <f>32990</f>
        <v>32990</v>
      </c>
      <c r="R229" s="32" t="s">
        <v>791</v>
      </c>
      <c r="S229" s="33">
        <f>32632.27</f>
        <v>32632.27</v>
      </c>
      <c r="T229" s="30">
        <f>457591</f>
        <v>457591</v>
      </c>
      <c r="U229" s="30">
        <f>341890</f>
        <v>341890</v>
      </c>
      <c r="V229" s="30">
        <f>15084416485</f>
        <v>15084416485</v>
      </c>
      <c r="W229" s="30">
        <f>11312538515</f>
        <v>11312538515</v>
      </c>
      <c r="X229" s="34">
        <f>22</f>
        <v>22</v>
      </c>
    </row>
    <row r="230" spans="1:24" ht="13.5" customHeight="1" x14ac:dyDescent="0.15">
      <c r="A230" s="25" t="s">
        <v>1139</v>
      </c>
      <c r="B230" s="25" t="s">
        <v>691</v>
      </c>
      <c r="C230" s="25" t="s">
        <v>692</v>
      </c>
      <c r="D230" s="25" t="s">
        <v>693</v>
      </c>
      <c r="E230" s="26" t="s">
        <v>45</v>
      </c>
      <c r="F230" s="27" t="s">
        <v>45</v>
      </c>
      <c r="G230" s="28" t="s">
        <v>45</v>
      </c>
      <c r="H230" s="29"/>
      <c r="I230" s="29" t="s">
        <v>46</v>
      </c>
      <c r="J230" s="30">
        <v>1</v>
      </c>
      <c r="K230" s="31">
        <f>21470</f>
        <v>21470</v>
      </c>
      <c r="L230" s="32" t="s">
        <v>999</v>
      </c>
      <c r="M230" s="31">
        <f>21480</f>
        <v>21480</v>
      </c>
      <c r="N230" s="32" t="s">
        <v>999</v>
      </c>
      <c r="O230" s="31">
        <f>20385</f>
        <v>20385</v>
      </c>
      <c r="P230" s="32" t="s">
        <v>792</v>
      </c>
      <c r="Q230" s="31">
        <f>21350</f>
        <v>21350</v>
      </c>
      <c r="R230" s="32" t="s">
        <v>791</v>
      </c>
      <c r="S230" s="33">
        <f>21064.23</f>
        <v>21064.23</v>
      </c>
      <c r="T230" s="30">
        <f>34096</f>
        <v>34096</v>
      </c>
      <c r="U230" s="30">
        <f>28000</f>
        <v>28000</v>
      </c>
      <c r="V230" s="30">
        <f>716547615</f>
        <v>716547615</v>
      </c>
      <c r="W230" s="30">
        <f>588812000</f>
        <v>588812000</v>
      </c>
      <c r="X230" s="34">
        <f>13</f>
        <v>13</v>
      </c>
    </row>
    <row r="231" spans="1:24" ht="13.5" customHeight="1" x14ac:dyDescent="0.15">
      <c r="A231" s="25" t="s">
        <v>1139</v>
      </c>
      <c r="B231" s="25" t="s">
        <v>694</v>
      </c>
      <c r="C231" s="25" t="s">
        <v>695</v>
      </c>
      <c r="D231" s="25" t="s">
        <v>696</v>
      </c>
      <c r="E231" s="26" t="s">
        <v>45</v>
      </c>
      <c r="F231" s="27" t="s">
        <v>45</v>
      </c>
      <c r="G231" s="28" t="s">
        <v>45</v>
      </c>
      <c r="H231" s="29"/>
      <c r="I231" s="29" t="s">
        <v>46</v>
      </c>
      <c r="J231" s="30">
        <v>10</v>
      </c>
      <c r="K231" s="31">
        <f>1136</f>
        <v>1136</v>
      </c>
      <c r="L231" s="32" t="s">
        <v>995</v>
      </c>
      <c r="M231" s="31">
        <f>1153</f>
        <v>1153</v>
      </c>
      <c r="N231" s="32" t="s">
        <v>1017</v>
      </c>
      <c r="O231" s="31">
        <f>1118.5</f>
        <v>1118.5</v>
      </c>
      <c r="P231" s="32" t="s">
        <v>998</v>
      </c>
      <c r="Q231" s="31">
        <f>1153</f>
        <v>1153</v>
      </c>
      <c r="R231" s="32" t="s">
        <v>1017</v>
      </c>
      <c r="S231" s="33">
        <f>1130.97</f>
        <v>1130.97</v>
      </c>
      <c r="T231" s="30">
        <f>291920</f>
        <v>291920</v>
      </c>
      <c r="U231" s="30" t="str">
        <f>"－"</f>
        <v>－</v>
      </c>
      <c r="V231" s="30">
        <f>329499300</f>
        <v>329499300</v>
      </c>
      <c r="W231" s="30" t="str">
        <f>"－"</f>
        <v>－</v>
      </c>
      <c r="X231" s="34">
        <f>16</f>
        <v>16</v>
      </c>
    </row>
    <row r="232" spans="1:24" ht="13.5" customHeight="1" x14ac:dyDescent="0.15">
      <c r="A232" s="25" t="s">
        <v>1139</v>
      </c>
      <c r="B232" s="25" t="s">
        <v>697</v>
      </c>
      <c r="C232" s="25" t="s">
        <v>1085</v>
      </c>
      <c r="D232" s="25" t="s">
        <v>1086</v>
      </c>
      <c r="E232" s="26" t="s">
        <v>45</v>
      </c>
      <c r="F232" s="27" t="s">
        <v>45</v>
      </c>
      <c r="G232" s="28" t="s">
        <v>45</v>
      </c>
      <c r="H232" s="29"/>
      <c r="I232" s="29" t="s">
        <v>46</v>
      </c>
      <c r="J232" s="30">
        <v>10</v>
      </c>
      <c r="K232" s="31">
        <f>1133</f>
        <v>1133</v>
      </c>
      <c r="L232" s="32" t="s">
        <v>995</v>
      </c>
      <c r="M232" s="31">
        <f>1158</f>
        <v>1158</v>
      </c>
      <c r="N232" s="32" t="s">
        <v>791</v>
      </c>
      <c r="O232" s="31">
        <f>1116</f>
        <v>1116</v>
      </c>
      <c r="P232" s="32" t="s">
        <v>998</v>
      </c>
      <c r="Q232" s="31">
        <f>1158</f>
        <v>1158</v>
      </c>
      <c r="R232" s="32" t="s">
        <v>791</v>
      </c>
      <c r="S232" s="33">
        <f>1131.18</f>
        <v>1131.18</v>
      </c>
      <c r="T232" s="30">
        <f>274380</f>
        <v>274380</v>
      </c>
      <c r="U232" s="30">
        <f>261440</f>
        <v>261440</v>
      </c>
      <c r="V232" s="30">
        <f>313637033</f>
        <v>313637033</v>
      </c>
      <c r="W232" s="30">
        <f>298977663</f>
        <v>298977663</v>
      </c>
      <c r="X232" s="34">
        <f>22</f>
        <v>22</v>
      </c>
    </row>
    <row r="233" spans="1:24" ht="13.5" customHeight="1" x14ac:dyDescent="0.15">
      <c r="A233" s="25" t="s">
        <v>1139</v>
      </c>
      <c r="B233" s="25" t="s">
        <v>700</v>
      </c>
      <c r="C233" s="25" t="s">
        <v>701</v>
      </c>
      <c r="D233" s="25" t="s">
        <v>702</v>
      </c>
      <c r="E233" s="26" t="s">
        <v>45</v>
      </c>
      <c r="F233" s="27" t="s">
        <v>45</v>
      </c>
      <c r="G233" s="28" t="s">
        <v>45</v>
      </c>
      <c r="H233" s="29"/>
      <c r="I233" s="29" t="s">
        <v>46</v>
      </c>
      <c r="J233" s="30">
        <v>1</v>
      </c>
      <c r="K233" s="31">
        <f>1468</f>
        <v>1468</v>
      </c>
      <c r="L233" s="32" t="s">
        <v>995</v>
      </c>
      <c r="M233" s="31">
        <f>1481</f>
        <v>1481</v>
      </c>
      <c r="N233" s="32" t="s">
        <v>995</v>
      </c>
      <c r="O233" s="31">
        <f>1418</f>
        <v>1418</v>
      </c>
      <c r="P233" s="32" t="s">
        <v>792</v>
      </c>
      <c r="Q233" s="31">
        <f>1479</f>
        <v>1479</v>
      </c>
      <c r="R233" s="32" t="s">
        <v>791</v>
      </c>
      <c r="S233" s="33">
        <f>1455.5</f>
        <v>1455.5</v>
      </c>
      <c r="T233" s="30">
        <f>322096</f>
        <v>322096</v>
      </c>
      <c r="U233" s="30">
        <f>27900</f>
        <v>27900</v>
      </c>
      <c r="V233" s="30">
        <f>467273884</f>
        <v>467273884</v>
      </c>
      <c r="W233" s="30">
        <f>40326640</f>
        <v>40326640</v>
      </c>
      <c r="X233" s="34">
        <f>22</f>
        <v>22</v>
      </c>
    </row>
    <row r="234" spans="1:24" ht="13.5" customHeight="1" x14ac:dyDescent="0.15">
      <c r="A234" s="25" t="s">
        <v>1139</v>
      </c>
      <c r="B234" s="25" t="s">
        <v>703</v>
      </c>
      <c r="C234" s="25" t="s">
        <v>704</v>
      </c>
      <c r="D234" s="25" t="s">
        <v>705</v>
      </c>
      <c r="E234" s="26" t="s">
        <v>45</v>
      </c>
      <c r="F234" s="27" t="s">
        <v>45</v>
      </c>
      <c r="G234" s="28" t="s">
        <v>45</v>
      </c>
      <c r="H234" s="29"/>
      <c r="I234" s="29" t="s">
        <v>46</v>
      </c>
      <c r="J234" s="30">
        <v>1</v>
      </c>
      <c r="K234" s="31">
        <f>14040</f>
        <v>14040</v>
      </c>
      <c r="L234" s="32" t="s">
        <v>995</v>
      </c>
      <c r="M234" s="31">
        <f>14060</f>
        <v>14060</v>
      </c>
      <c r="N234" s="32" t="s">
        <v>999</v>
      </c>
      <c r="O234" s="31">
        <f>12805</f>
        <v>12805</v>
      </c>
      <c r="P234" s="32" t="s">
        <v>789</v>
      </c>
      <c r="Q234" s="31">
        <f>13175</f>
        <v>13175</v>
      </c>
      <c r="R234" s="32" t="s">
        <v>791</v>
      </c>
      <c r="S234" s="33">
        <f>13335</f>
        <v>13335</v>
      </c>
      <c r="T234" s="30">
        <f>3194</f>
        <v>3194</v>
      </c>
      <c r="U234" s="30" t="str">
        <f>"－"</f>
        <v>－</v>
      </c>
      <c r="V234" s="30">
        <f>42733180</f>
        <v>42733180</v>
      </c>
      <c r="W234" s="30" t="str">
        <f>"－"</f>
        <v>－</v>
      </c>
      <c r="X234" s="34">
        <f>22</f>
        <v>22</v>
      </c>
    </row>
    <row r="235" spans="1:24" ht="13.5" customHeight="1" x14ac:dyDescent="0.15">
      <c r="A235" s="25" t="s">
        <v>1139</v>
      </c>
      <c r="B235" s="25" t="s">
        <v>706</v>
      </c>
      <c r="C235" s="25" t="s">
        <v>707</v>
      </c>
      <c r="D235" s="25" t="s">
        <v>708</v>
      </c>
      <c r="E235" s="26" t="s">
        <v>45</v>
      </c>
      <c r="F235" s="27" t="s">
        <v>45</v>
      </c>
      <c r="G235" s="28" t="s">
        <v>45</v>
      </c>
      <c r="H235" s="29"/>
      <c r="I235" s="29" t="s">
        <v>46</v>
      </c>
      <c r="J235" s="30">
        <v>1</v>
      </c>
      <c r="K235" s="31">
        <f>2021</f>
        <v>2021</v>
      </c>
      <c r="L235" s="32" t="s">
        <v>995</v>
      </c>
      <c r="M235" s="31">
        <f>2051</f>
        <v>2051</v>
      </c>
      <c r="N235" s="32" t="s">
        <v>791</v>
      </c>
      <c r="O235" s="31">
        <f>1975</f>
        <v>1975</v>
      </c>
      <c r="P235" s="32" t="s">
        <v>1001</v>
      </c>
      <c r="Q235" s="31">
        <f>2035</f>
        <v>2035</v>
      </c>
      <c r="R235" s="32" t="s">
        <v>791</v>
      </c>
      <c r="S235" s="33">
        <f>2006.23</f>
        <v>2006.23</v>
      </c>
      <c r="T235" s="30">
        <f>132858</f>
        <v>132858</v>
      </c>
      <c r="U235" s="30">
        <f>100014</f>
        <v>100014</v>
      </c>
      <c r="V235" s="30">
        <f>264212859</f>
        <v>264212859</v>
      </c>
      <c r="W235" s="30">
        <f>198376534</f>
        <v>198376534</v>
      </c>
      <c r="X235" s="34">
        <f>22</f>
        <v>22</v>
      </c>
    </row>
    <row r="236" spans="1:24" ht="13.5" customHeight="1" x14ac:dyDescent="0.15">
      <c r="A236" s="25" t="s">
        <v>1139</v>
      </c>
      <c r="B236" s="25" t="s">
        <v>709</v>
      </c>
      <c r="C236" s="25" t="s">
        <v>710</v>
      </c>
      <c r="D236" s="25" t="s">
        <v>711</v>
      </c>
      <c r="E236" s="26" t="s">
        <v>45</v>
      </c>
      <c r="F236" s="27" t="s">
        <v>45</v>
      </c>
      <c r="G236" s="28" t="s">
        <v>45</v>
      </c>
      <c r="H236" s="29"/>
      <c r="I236" s="29" t="s">
        <v>46</v>
      </c>
      <c r="J236" s="30">
        <v>10</v>
      </c>
      <c r="K236" s="31">
        <f>1645</f>
        <v>1645</v>
      </c>
      <c r="L236" s="32" t="s">
        <v>995</v>
      </c>
      <c r="M236" s="31">
        <f>1665</f>
        <v>1665</v>
      </c>
      <c r="N236" s="32" t="s">
        <v>785</v>
      </c>
      <c r="O236" s="31">
        <f>1513</f>
        <v>1513</v>
      </c>
      <c r="P236" s="32" t="s">
        <v>789</v>
      </c>
      <c r="Q236" s="31">
        <f>1525</f>
        <v>1525</v>
      </c>
      <c r="R236" s="32" t="s">
        <v>997</v>
      </c>
      <c r="S236" s="33">
        <f>1596.32</f>
        <v>1596.32</v>
      </c>
      <c r="T236" s="30">
        <f>1540</f>
        <v>1540</v>
      </c>
      <c r="U236" s="30" t="str">
        <f>"－"</f>
        <v>－</v>
      </c>
      <c r="V236" s="30">
        <f>2469435</f>
        <v>2469435</v>
      </c>
      <c r="W236" s="30" t="str">
        <f>"－"</f>
        <v>－</v>
      </c>
      <c r="X236" s="34">
        <f>17</f>
        <v>17</v>
      </c>
    </row>
    <row r="237" spans="1:24" ht="13.5" customHeight="1" x14ac:dyDescent="0.15">
      <c r="A237" s="25" t="s">
        <v>1139</v>
      </c>
      <c r="B237" s="25" t="s">
        <v>712</v>
      </c>
      <c r="C237" s="25" t="s">
        <v>795</v>
      </c>
      <c r="D237" s="25" t="s">
        <v>796</v>
      </c>
      <c r="E237" s="26" t="s">
        <v>45</v>
      </c>
      <c r="F237" s="27" t="s">
        <v>45</v>
      </c>
      <c r="G237" s="28" t="s">
        <v>45</v>
      </c>
      <c r="H237" s="29"/>
      <c r="I237" s="29" t="s">
        <v>46</v>
      </c>
      <c r="J237" s="30">
        <v>10</v>
      </c>
      <c r="K237" s="31">
        <f>828.2</f>
        <v>828.2</v>
      </c>
      <c r="L237" s="32" t="s">
        <v>995</v>
      </c>
      <c r="M237" s="31">
        <f>845</f>
        <v>845</v>
      </c>
      <c r="N237" s="32" t="s">
        <v>1005</v>
      </c>
      <c r="O237" s="31">
        <f>815</f>
        <v>815</v>
      </c>
      <c r="P237" s="32" t="s">
        <v>894</v>
      </c>
      <c r="Q237" s="31">
        <f>827</f>
        <v>827</v>
      </c>
      <c r="R237" s="32" t="s">
        <v>791</v>
      </c>
      <c r="S237" s="33">
        <f>825.09</f>
        <v>825.09</v>
      </c>
      <c r="T237" s="30">
        <f>695950</f>
        <v>695950</v>
      </c>
      <c r="U237" s="30">
        <f>274900</f>
        <v>274900</v>
      </c>
      <c r="V237" s="30">
        <f>572195159</f>
        <v>572195159</v>
      </c>
      <c r="W237" s="30">
        <f>226100336</f>
        <v>226100336</v>
      </c>
      <c r="X237" s="34">
        <f>22</f>
        <v>22</v>
      </c>
    </row>
    <row r="238" spans="1:24" ht="13.5" customHeight="1" x14ac:dyDescent="0.15">
      <c r="A238" s="25" t="s">
        <v>1139</v>
      </c>
      <c r="B238" s="25" t="s">
        <v>713</v>
      </c>
      <c r="C238" s="25" t="s">
        <v>714</v>
      </c>
      <c r="D238" s="25" t="s">
        <v>715</v>
      </c>
      <c r="E238" s="26" t="s">
        <v>45</v>
      </c>
      <c r="F238" s="27" t="s">
        <v>45</v>
      </c>
      <c r="G238" s="28" t="s">
        <v>45</v>
      </c>
      <c r="H238" s="29"/>
      <c r="I238" s="29" t="s">
        <v>46</v>
      </c>
      <c r="J238" s="30">
        <v>10</v>
      </c>
      <c r="K238" s="31">
        <f>1928</f>
        <v>1928</v>
      </c>
      <c r="L238" s="32" t="s">
        <v>995</v>
      </c>
      <c r="M238" s="31">
        <f>1962</f>
        <v>1962</v>
      </c>
      <c r="N238" s="32" t="s">
        <v>791</v>
      </c>
      <c r="O238" s="31">
        <f>1890</f>
        <v>1890</v>
      </c>
      <c r="P238" s="32" t="s">
        <v>1001</v>
      </c>
      <c r="Q238" s="31">
        <f>1956</f>
        <v>1956</v>
      </c>
      <c r="R238" s="32" t="s">
        <v>791</v>
      </c>
      <c r="S238" s="33">
        <f>1916.81</f>
        <v>1916.81</v>
      </c>
      <c r="T238" s="30">
        <f>48330</f>
        <v>48330</v>
      </c>
      <c r="U238" s="30" t="str">
        <f>"－"</f>
        <v>－</v>
      </c>
      <c r="V238" s="30">
        <f>92561380</f>
        <v>92561380</v>
      </c>
      <c r="W238" s="30" t="str">
        <f>"－"</f>
        <v>－</v>
      </c>
      <c r="X238" s="34">
        <f>21</f>
        <v>21</v>
      </c>
    </row>
    <row r="239" spans="1:24" ht="13.5" customHeight="1" x14ac:dyDescent="0.15">
      <c r="A239" s="25" t="s">
        <v>1139</v>
      </c>
      <c r="B239" s="25" t="s">
        <v>716</v>
      </c>
      <c r="C239" s="25" t="s">
        <v>717</v>
      </c>
      <c r="D239" s="25" t="s">
        <v>718</v>
      </c>
      <c r="E239" s="26" t="s">
        <v>45</v>
      </c>
      <c r="F239" s="27" t="s">
        <v>45</v>
      </c>
      <c r="G239" s="28" t="s">
        <v>45</v>
      </c>
      <c r="H239" s="29"/>
      <c r="I239" s="29" t="s">
        <v>46</v>
      </c>
      <c r="J239" s="30">
        <v>10</v>
      </c>
      <c r="K239" s="31">
        <f>1926</f>
        <v>1926</v>
      </c>
      <c r="L239" s="32" t="s">
        <v>995</v>
      </c>
      <c r="M239" s="31">
        <f>1962.5</f>
        <v>1962.5</v>
      </c>
      <c r="N239" s="32" t="s">
        <v>791</v>
      </c>
      <c r="O239" s="31">
        <f>1889.5</f>
        <v>1889.5</v>
      </c>
      <c r="P239" s="32" t="s">
        <v>1001</v>
      </c>
      <c r="Q239" s="31">
        <f>1947.5</f>
        <v>1947.5</v>
      </c>
      <c r="R239" s="32" t="s">
        <v>791</v>
      </c>
      <c r="S239" s="33">
        <f>1918.77</f>
        <v>1918.77</v>
      </c>
      <c r="T239" s="30">
        <f>1882000</f>
        <v>1882000</v>
      </c>
      <c r="U239" s="30">
        <f>768200</f>
        <v>768200</v>
      </c>
      <c r="V239" s="30">
        <f>3623935135</f>
        <v>3623935135</v>
      </c>
      <c r="W239" s="30">
        <f>1480247950</f>
        <v>1480247950</v>
      </c>
      <c r="X239" s="34">
        <f>22</f>
        <v>22</v>
      </c>
    </row>
    <row r="240" spans="1:24" ht="13.5" customHeight="1" x14ac:dyDescent="0.15">
      <c r="A240" s="25" t="s">
        <v>1139</v>
      </c>
      <c r="B240" s="25" t="s">
        <v>719</v>
      </c>
      <c r="C240" s="25" t="s">
        <v>720</v>
      </c>
      <c r="D240" s="25" t="s">
        <v>721</v>
      </c>
      <c r="E240" s="26" t="s">
        <v>45</v>
      </c>
      <c r="F240" s="27" t="s">
        <v>45</v>
      </c>
      <c r="G240" s="28" t="s">
        <v>45</v>
      </c>
      <c r="H240" s="29"/>
      <c r="I240" s="29" t="s">
        <v>46</v>
      </c>
      <c r="J240" s="30">
        <v>10</v>
      </c>
      <c r="K240" s="31">
        <f>2351.5</f>
        <v>2351.5</v>
      </c>
      <c r="L240" s="32" t="s">
        <v>995</v>
      </c>
      <c r="M240" s="31">
        <f>2361</f>
        <v>2361</v>
      </c>
      <c r="N240" s="32" t="s">
        <v>995</v>
      </c>
      <c r="O240" s="31">
        <f>2251</f>
        <v>2251</v>
      </c>
      <c r="P240" s="32" t="s">
        <v>792</v>
      </c>
      <c r="Q240" s="31">
        <f>2347.5</f>
        <v>2347.5</v>
      </c>
      <c r="R240" s="32" t="s">
        <v>791</v>
      </c>
      <c r="S240" s="33">
        <f>2306.48</f>
        <v>2306.48</v>
      </c>
      <c r="T240" s="30">
        <f>1226650</f>
        <v>1226650</v>
      </c>
      <c r="U240" s="30">
        <f>897500</f>
        <v>897500</v>
      </c>
      <c r="V240" s="30">
        <f>2843707405</f>
        <v>2843707405</v>
      </c>
      <c r="W240" s="30">
        <f>2083224520</f>
        <v>2083224520</v>
      </c>
      <c r="X240" s="34">
        <f>22</f>
        <v>22</v>
      </c>
    </row>
    <row r="241" spans="1:24" ht="13.5" customHeight="1" x14ac:dyDescent="0.15">
      <c r="A241" s="25" t="s">
        <v>1139</v>
      </c>
      <c r="B241" s="25" t="s">
        <v>722</v>
      </c>
      <c r="C241" s="25" t="s">
        <v>723</v>
      </c>
      <c r="D241" s="25" t="s">
        <v>724</v>
      </c>
      <c r="E241" s="26" t="s">
        <v>45</v>
      </c>
      <c r="F241" s="27" t="s">
        <v>45</v>
      </c>
      <c r="G241" s="28" t="s">
        <v>45</v>
      </c>
      <c r="H241" s="29"/>
      <c r="I241" s="29" t="s">
        <v>46</v>
      </c>
      <c r="J241" s="30">
        <v>1</v>
      </c>
      <c r="K241" s="31">
        <f>18760</f>
        <v>18760</v>
      </c>
      <c r="L241" s="32" t="s">
        <v>995</v>
      </c>
      <c r="M241" s="31">
        <f>19000</f>
        <v>19000</v>
      </c>
      <c r="N241" s="32" t="s">
        <v>791</v>
      </c>
      <c r="O241" s="31">
        <f>18225</f>
        <v>18225</v>
      </c>
      <c r="P241" s="32" t="s">
        <v>998</v>
      </c>
      <c r="Q241" s="31">
        <f>18970</f>
        <v>18970</v>
      </c>
      <c r="R241" s="32" t="s">
        <v>791</v>
      </c>
      <c r="S241" s="33">
        <f>18577.73</f>
        <v>18577.73</v>
      </c>
      <c r="T241" s="30">
        <f>705553</f>
        <v>705553</v>
      </c>
      <c r="U241" s="30">
        <f>24895</f>
        <v>24895</v>
      </c>
      <c r="V241" s="30">
        <f>13123085347</f>
        <v>13123085347</v>
      </c>
      <c r="W241" s="30">
        <f>458824427</f>
        <v>458824427</v>
      </c>
      <c r="X241" s="34">
        <f>22</f>
        <v>22</v>
      </c>
    </row>
    <row r="242" spans="1:24" ht="13.5" customHeight="1" x14ac:dyDescent="0.15">
      <c r="A242" s="25" t="s">
        <v>1139</v>
      </c>
      <c r="B242" s="25" t="s">
        <v>725</v>
      </c>
      <c r="C242" s="25" t="s">
        <v>726</v>
      </c>
      <c r="D242" s="25" t="s">
        <v>727</v>
      </c>
      <c r="E242" s="26" t="s">
        <v>45</v>
      </c>
      <c r="F242" s="27" t="s">
        <v>45</v>
      </c>
      <c r="G242" s="28" t="s">
        <v>45</v>
      </c>
      <c r="H242" s="29"/>
      <c r="I242" s="29" t="s">
        <v>46</v>
      </c>
      <c r="J242" s="30">
        <v>1</v>
      </c>
      <c r="K242" s="31">
        <f>16655</f>
        <v>16655</v>
      </c>
      <c r="L242" s="32" t="s">
        <v>995</v>
      </c>
      <c r="M242" s="31">
        <f>16680</f>
        <v>16680</v>
      </c>
      <c r="N242" s="32" t="s">
        <v>995</v>
      </c>
      <c r="O242" s="31">
        <f>16025</f>
        <v>16025</v>
      </c>
      <c r="P242" s="32" t="s">
        <v>998</v>
      </c>
      <c r="Q242" s="31">
        <f>16550</f>
        <v>16550</v>
      </c>
      <c r="R242" s="32" t="s">
        <v>791</v>
      </c>
      <c r="S242" s="33">
        <f>16330</f>
        <v>16330</v>
      </c>
      <c r="T242" s="30">
        <f>202360</f>
        <v>202360</v>
      </c>
      <c r="U242" s="30" t="str">
        <f>"－"</f>
        <v>－</v>
      </c>
      <c r="V242" s="30">
        <f>3306817715</f>
        <v>3306817715</v>
      </c>
      <c r="W242" s="30" t="str">
        <f>"－"</f>
        <v>－</v>
      </c>
      <c r="X242" s="34">
        <f>22</f>
        <v>22</v>
      </c>
    </row>
    <row r="243" spans="1:24" ht="13.5" customHeight="1" x14ac:dyDescent="0.15">
      <c r="A243" s="25" t="s">
        <v>1139</v>
      </c>
      <c r="B243" s="25" t="s">
        <v>728</v>
      </c>
      <c r="C243" s="25" t="s">
        <v>729</v>
      </c>
      <c r="D243" s="25" t="s">
        <v>730</v>
      </c>
      <c r="E243" s="26" t="s">
        <v>45</v>
      </c>
      <c r="F243" s="27" t="s">
        <v>45</v>
      </c>
      <c r="G243" s="28" t="s">
        <v>45</v>
      </c>
      <c r="H243" s="29"/>
      <c r="I243" s="29" t="s">
        <v>46</v>
      </c>
      <c r="J243" s="30">
        <v>1</v>
      </c>
      <c r="K243" s="31">
        <f>31020</f>
        <v>31020</v>
      </c>
      <c r="L243" s="32" t="s">
        <v>999</v>
      </c>
      <c r="M243" s="31">
        <f>31080</f>
        <v>31080</v>
      </c>
      <c r="N243" s="32" t="s">
        <v>1003</v>
      </c>
      <c r="O243" s="31">
        <f>29980</f>
        <v>29980</v>
      </c>
      <c r="P243" s="32" t="s">
        <v>998</v>
      </c>
      <c r="Q243" s="31">
        <f>30880</f>
        <v>30880</v>
      </c>
      <c r="R243" s="32" t="s">
        <v>791</v>
      </c>
      <c r="S243" s="33">
        <f>30556.25</f>
        <v>30556.25</v>
      </c>
      <c r="T243" s="30">
        <f>44</f>
        <v>44</v>
      </c>
      <c r="U243" s="30" t="str">
        <f>"－"</f>
        <v>－</v>
      </c>
      <c r="V243" s="30">
        <f>1350330</f>
        <v>1350330</v>
      </c>
      <c r="W243" s="30" t="str">
        <f>"－"</f>
        <v>－</v>
      </c>
      <c r="X243" s="34">
        <f>8</f>
        <v>8</v>
      </c>
    </row>
    <row r="244" spans="1:24" ht="13.5" customHeight="1" x14ac:dyDescent="0.15">
      <c r="A244" s="25" t="s">
        <v>1139</v>
      </c>
      <c r="B244" s="25" t="s">
        <v>731</v>
      </c>
      <c r="C244" s="25" t="s">
        <v>732</v>
      </c>
      <c r="D244" s="25" t="s">
        <v>733</v>
      </c>
      <c r="E244" s="26" t="s">
        <v>45</v>
      </c>
      <c r="F244" s="27" t="s">
        <v>45</v>
      </c>
      <c r="G244" s="28" t="s">
        <v>45</v>
      </c>
      <c r="H244" s="29"/>
      <c r="I244" s="29" t="s">
        <v>46</v>
      </c>
      <c r="J244" s="30">
        <v>1</v>
      </c>
      <c r="K244" s="31">
        <f>2500</f>
        <v>2500</v>
      </c>
      <c r="L244" s="32" t="s">
        <v>995</v>
      </c>
      <c r="M244" s="31">
        <f>2502</f>
        <v>2502</v>
      </c>
      <c r="N244" s="32" t="s">
        <v>999</v>
      </c>
      <c r="O244" s="31">
        <f>2463</f>
        <v>2463</v>
      </c>
      <c r="P244" s="32" t="s">
        <v>997</v>
      </c>
      <c r="Q244" s="31">
        <f>2473</f>
        <v>2473</v>
      </c>
      <c r="R244" s="32" t="s">
        <v>791</v>
      </c>
      <c r="S244" s="33">
        <f>2479.73</f>
        <v>2479.73</v>
      </c>
      <c r="T244" s="30">
        <f>4700160</f>
        <v>4700160</v>
      </c>
      <c r="U244" s="30">
        <f>4461436</f>
        <v>4461436</v>
      </c>
      <c r="V244" s="30">
        <f>11681384238</f>
        <v>11681384238</v>
      </c>
      <c r="W244" s="30">
        <f>11088516244</f>
        <v>11088516244</v>
      </c>
      <c r="X244" s="34">
        <f>22</f>
        <v>22</v>
      </c>
    </row>
    <row r="245" spans="1:24" ht="13.5" customHeight="1" x14ac:dyDescent="0.15">
      <c r="A245" s="25" t="s">
        <v>1139</v>
      </c>
      <c r="B245" s="25" t="s">
        <v>734</v>
      </c>
      <c r="C245" s="25" t="s">
        <v>735</v>
      </c>
      <c r="D245" s="25" t="s">
        <v>736</v>
      </c>
      <c r="E245" s="26" t="s">
        <v>45</v>
      </c>
      <c r="F245" s="27" t="s">
        <v>45</v>
      </c>
      <c r="G245" s="28" t="s">
        <v>45</v>
      </c>
      <c r="H245" s="29"/>
      <c r="I245" s="29" t="s">
        <v>46</v>
      </c>
      <c r="J245" s="30">
        <v>10</v>
      </c>
      <c r="K245" s="31">
        <f>2875.5</f>
        <v>2875.5</v>
      </c>
      <c r="L245" s="32" t="s">
        <v>995</v>
      </c>
      <c r="M245" s="31">
        <f>2881</f>
        <v>2881</v>
      </c>
      <c r="N245" s="32" t="s">
        <v>995</v>
      </c>
      <c r="O245" s="31">
        <f>2751</f>
        <v>2751</v>
      </c>
      <c r="P245" s="32" t="s">
        <v>789</v>
      </c>
      <c r="Q245" s="31">
        <f>2825</f>
        <v>2825</v>
      </c>
      <c r="R245" s="32" t="s">
        <v>791</v>
      </c>
      <c r="S245" s="33">
        <f>2823.7</f>
        <v>2823.7</v>
      </c>
      <c r="T245" s="30">
        <f>739010</f>
        <v>739010</v>
      </c>
      <c r="U245" s="30">
        <f>396110</f>
        <v>396110</v>
      </c>
      <c r="V245" s="30">
        <f>2105992215</f>
        <v>2105992215</v>
      </c>
      <c r="W245" s="30">
        <f>1135460420</f>
        <v>1135460420</v>
      </c>
      <c r="X245" s="34">
        <f>22</f>
        <v>22</v>
      </c>
    </row>
    <row r="246" spans="1:24" ht="13.5" customHeight="1" x14ac:dyDescent="0.15">
      <c r="A246" s="25" t="s">
        <v>1139</v>
      </c>
      <c r="B246" s="25" t="s">
        <v>737</v>
      </c>
      <c r="C246" s="25" t="s">
        <v>738</v>
      </c>
      <c r="D246" s="25" t="s">
        <v>739</v>
      </c>
      <c r="E246" s="26" t="s">
        <v>45</v>
      </c>
      <c r="F246" s="27" t="s">
        <v>45</v>
      </c>
      <c r="G246" s="28" t="s">
        <v>45</v>
      </c>
      <c r="H246" s="29"/>
      <c r="I246" s="29" t="s">
        <v>46</v>
      </c>
      <c r="J246" s="30">
        <v>10</v>
      </c>
      <c r="K246" s="31">
        <f>281.4</f>
        <v>281.39999999999998</v>
      </c>
      <c r="L246" s="32" t="s">
        <v>995</v>
      </c>
      <c r="M246" s="31">
        <f>281.8</f>
        <v>281.8</v>
      </c>
      <c r="N246" s="32" t="s">
        <v>995</v>
      </c>
      <c r="O246" s="31">
        <f>264.7</f>
        <v>264.7</v>
      </c>
      <c r="P246" s="32" t="s">
        <v>788</v>
      </c>
      <c r="Q246" s="31">
        <f>274.1</f>
        <v>274.10000000000002</v>
      </c>
      <c r="R246" s="32" t="s">
        <v>791</v>
      </c>
      <c r="S246" s="33">
        <f>271.63</f>
        <v>271.63</v>
      </c>
      <c r="T246" s="30">
        <f>36480480</f>
        <v>36480480</v>
      </c>
      <c r="U246" s="30">
        <f>6972100</f>
        <v>6972100</v>
      </c>
      <c r="V246" s="30">
        <f>9862412735</f>
        <v>9862412735</v>
      </c>
      <c r="W246" s="30">
        <f>1893612730</f>
        <v>1893612730</v>
      </c>
      <c r="X246" s="34">
        <f>22</f>
        <v>22</v>
      </c>
    </row>
    <row r="247" spans="1:24" ht="13.5" customHeight="1" x14ac:dyDescent="0.15">
      <c r="A247" s="25" t="s">
        <v>1139</v>
      </c>
      <c r="B247" s="25" t="s">
        <v>740</v>
      </c>
      <c r="C247" s="25" t="s">
        <v>741</v>
      </c>
      <c r="D247" s="25" t="s">
        <v>742</v>
      </c>
      <c r="E247" s="26" t="s">
        <v>45</v>
      </c>
      <c r="F247" s="27" t="s">
        <v>45</v>
      </c>
      <c r="G247" s="28" t="s">
        <v>45</v>
      </c>
      <c r="H247" s="29"/>
      <c r="I247" s="29" t="s">
        <v>46</v>
      </c>
      <c r="J247" s="30">
        <v>1</v>
      </c>
      <c r="K247" s="31">
        <f>2405</f>
        <v>2405</v>
      </c>
      <c r="L247" s="32" t="s">
        <v>995</v>
      </c>
      <c r="M247" s="31">
        <f>2474</f>
        <v>2474</v>
      </c>
      <c r="N247" s="32" t="s">
        <v>791</v>
      </c>
      <c r="O247" s="31">
        <f>2349</f>
        <v>2349</v>
      </c>
      <c r="P247" s="32" t="s">
        <v>792</v>
      </c>
      <c r="Q247" s="31">
        <f>2473</f>
        <v>2473</v>
      </c>
      <c r="R247" s="32" t="s">
        <v>791</v>
      </c>
      <c r="S247" s="33">
        <f>2413.27</f>
        <v>2413.27</v>
      </c>
      <c r="T247" s="30">
        <f>710075</f>
        <v>710075</v>
      </c>
      <c r="U247" s="30">
        <f>47799</f>
        <v>47799</v>
      </c>
      <c r="V247" s="30">
        <f>1712010352</f>
        <v>1712010352</v>
      </c>
      <c r="W247" s="30">
        <f>114201151</f>
        <v>114201151</v>
      </c>
      <c r="X247" s="34">
        <f>22</f>
        <v>22</v>
      </c>
    </row>
    <row r="248" spans="1:24" ht="13.5" customHeight="1" x14ac:dyDescent="0.15">
      <c r="A248" s="25" t="s">
        <v>1139</v>
      </c>
      <c r="B248" s="25" t="s">
        <v>743</v>
      </c>
      <c r="C248" s="25" t="s">
        <v>744</v>
      </c>
      <c r="D248" s="25" t="s">
        <v>745</v>
      </c>
      <c r="E248" s="26" t="s">
        <v>45</v>
      </c>
      <c r="F248" s="27" t="s">
        <v>45</v>
      </c>
      <c r="G248" s="28" t="s">
        <v>45</v>
      </c>
      <c r="H248" s="29"/>
      <c r="I248" s="29" t="s">
        <v>46</v>
      </c>
      <c r="J248" s="30">
        <v>1</v>
      </c>
      <c r="K248" s="31">
        <f>981</f>
        <v>981</v>
      </c>
      <c r="L248" s="32" t="s">
        <v>995</v>
      </c>
      <c r="M248" s="31">
        <f>983</f>
        <v>983</v>
      </c>
      <c r="N248" s="32" t="s">
        <v>791</v>
      </c>
      <c r="O248" s="31">
        <f>949</f>
        <v>949</v>
      </c>
      <c r="P248" s="32" t="s">
        <v>785</v>
      </c>
      <c r="Q248" s="31">
        <f>974</f>
        <v>974</v>
      </c>
      <c r="R248" s="32" t="s">
        <v>791</v>
      </c>
      <c r="S248" s="33">
        <f>964</f>
        <v>964</v>
      </c>
      <c r="T248" s="30">
        <f>1358505</f>
        <v>1358505</v>
      </c>
      <c r="U248" s="30" t="str">
        <f>"－"</f>
        <v>－</v>
      </c>
      <c r="V248" s="30">
        <f>1300339433</f>
        <v>1300339433</v>
      </c>
      <c r="W248" s="30" t="str">
        <f>"－"</f>
        <v>－</v>
      </c>
      <c r="X248" s="34">
        <f>22</f>
        <v>22</v>
      </c>
    </row>
    <row r="249" spans="1:24" ht="13.5" customHeight="1" x14ac:dyDescent="0.15">
      <c r="A249" s="25" t="s">
        <v>1139</v>
      </c>
      <c r="B249" s="25" t="s">
        <v>746</v>
      </c>
      <c r="C249" s="25" t="s">
        <v>747</v>
      </c>
      <c r="D249" s="25" t="s">
        <v>748</v>
      </c>
      <c r="E249" s="26" t="s">
        <v>45</v>
      </c>
      <c r="F249" s="27" t="s">
        <v>45</v>
      </c>
      <c r="G249" s="28" t="s">
        <v>45</v>
      </c>
      <c r="H249" s="29"/>
      <c r="I249" s="29" t="s">
        <v>46</v>
      </c>
      <c r="J249" s="30">
        <v>10</v>
      </c>
      <c r="K249" s="31">
        <f>1059.5</f>
        <v>1059.5</v>
      </c>
      <c r="L249" s="32" t="s">
        <v>995</v>
      </c>
      <c r="M249" s="31">
        <f>1078</f>
        <v>1078</v>
      </c>
      <c r="N249" s="32" t="s">
        <v>791</v>
      </c>
      <c r="O249" s="31">
        <f>1041</f>
        <v>1041</v>
      </c>
      <c r="P249" s="32" t="s">
        <v>785</v>
      </c>
      <c r="Q249" s="31">
        <f>1071</f>
        <v>1071</v>
      </c>
      <c r="R249" s="32" t="s">
        <v>791</v>
      </c>
      <c r="S249" s="33">
        <f>1054.39</f>
        <v>1054.3900000000001</v>
      </c>
      <c r="T249" s="30">
        <f>120710</f>
        <v>120710</v>
      </c>
      <c r="U249" s="30">
        <f>100000</f>
        <v>100000</v>
      </c>
      <c r="V249" s="30">
        <f>129212940</f>
        <v>129212940</v>
      </c>
      <c r="W249" s="30">
        <f>107360000</f>
        <v>107360000</v>
      </c>
      <c r="X249" s="34">
        <f>22</f>
        <v>22</v>
      </c>
    </row>
    <row r="250" spans="1:24" ht="13.5" customHeight="1" x14ac:dyDescent="0.15">
      <c r="A250" s="25" t="s">
        <v>1139</v>
      </c>
      <c r="B250" s="25" t="s">
        <v>749</v>
      </c>
      <c r="C250" s="25" t="s">
        <v>750</v>
      </c>
      <c r="D250" s="25" t="s">
        <v>751</v>
      </c>
      <c r="E250" s="26" t="s">
        <v>45</v>
      </c>
      <c r="F250" s="27" t="s">
        <v>45</v>
      </c>
      <c r="G250" s="28" t="s">
        <v>45</v>
      </c>
      <c r="H250" s="29"/>
      <c r="I250" s="29" t="s">
        <v>46</v>
      </c>
      <c r="J250" s="30">
        <v>10</v>
      </c>
      <c r="K250" s="31">
        <f>312.2</f>
        <v>312.2</v>
      </c>
      <c r="L250" s="32" t="s">
        <v>995</v>
      </c>
      <c r="M250" s="31">
        <f>338.7</f>
        <v>338.7</v>
      </c>
      <c r="N250" s="32" t="s">
        <v>1017</v>
      </c>
      <c r="O250" s="31">
        <f>280.3</f>
        <v>280.3</v>
      </c>
      <c r="P250" s="32" t="s">
        <v>875</v>
      </c>
      <c r="Q250" s="31">
        <f>309</f>
        <v>309</v>
      </c>
      <c r="R250" s="32" t="s">
        <v>791</v>
      </c>
      <c r="S250" s="33">
        <f>305.77</f>
        <v>305.77</v>
      </c>
      <c r="T250" s="30">
        <f>14840</f>
        <v>14840</v>
      </c>
      <c r="U250" s="30" t="str">
        <f>"－"</f>
        <v>－</v>
      </c>
      <c r="V250" s="30">
        <f>4586373</f>
        <v>4586373</v>
      </c>
      <c r="W250" s="30" t="str">
        <f>"－"</f>
        <v>－</v>
      </c>
      <c r="X250" s="34">
        <f>19</f>
        <v>19</v>
      </c>
    </row>
    <row r="251" spans="1:24" ht="13.5" customHeight="1" x14ac:dyDescent="0.15">
      <c r="A251" s="25" t="s">
        <v>1139</v>
      </c>
      <c r="B251" s="25" t="s">
        <v>752</v>
      </c>
      <c r="C251" s="25" t="s">
        <v>753</v>
      </c>
      <c r="D251" s="25" t="s">
        <v>754</v>
      </c>
      <c r="E251" s="26" t="s">
        <v>45</v>
      </c>
      <c r="F251" s="27" t="s">
        <v>45</v>
      </c>
      <c r="G251" s="28" t="s">
        <v>45</v>
      </c>
      <c r="H251" s="29"/>
      <c r="I251" s="29" t="s">
        <v>46</v>
      </c>
      <c r="J251" s="30">
        <v>10</v>
      </c>
      <c r="K251" s="31">
        <f>3852</f>
        <v>3852</v>
      </c>
      <c r="L251" s="32" t="s">
        <v>995</v>
      </c>
      <c r="M251" s="31">
        <f>3890</f>
        <v>3890</v>
      </c>
      <c r="N251" s="32" t="s">
        <v>791</v>
      </c>
      <c r="O251" s="31">
        <f>3664</f>
        <v>3664</v>
      </c>
      <c r="P251" s="32" t="s">
        <v>998</v>
      </c>
      <c r="Q251" s="31">
        <f>3882</f>
        <v>3882</v>
      </c>
      <c r="R251" s="32" t="s">
        <v>791</v>
      </c>
      <c r="S251" s="33">
        <f>3775.73</f>
        <v>3775.73</v>
      </c>
      <c r="T251" s="30">
        <f>2158770</f>
        <v>2158770</v>
      </c>
      <c r="U251" s="30" t="str">
        <f>"－"</f>
        <v>－</v>
      </c>
      <c r="V251" s="30">
        <f>8196959940</f>
        <v>8196959940</v>
      </c>
      <c r="W251" s="30" t="str">
        <f>"－"</f>
        <v>－</v>
      </c>
      <c r="X251" s="34">
        <f>22</f>
        <v>22</v>
      </c>
    </row>
    <row r="252" spans="1:24" ht="13.5" customHeight="1" x14ac:dyDescent="0.15">
      <c r="A252" s="25" t="s">
        <v>1139</v>
      </c>
      <c r="B252" s="25" t="s">
        <v>755</v>
      </c>
      <c r="C252" s="25" t="s">
        <v>756</v>
      </c>
      <c r="D252" s="25" t="s">
        <v>757</v>
      </c>
      <c r="E252" s="26" t="s">
        <v>45</v>
      </c>
      <c r="F252" s="27" t="s">
        <v>45</v>
      </c>
      <c r="G252" s="28" t="s">
        <v>45</v>
      </c>
      <c r="H252" s="29"/>
      <c r="I252" s="29" t="s">
        <v>46</v>
      </c>
      <c r="J252" s="30">
        <v>10</v>
      </c>
      <c r="K252" s="31">
        <f>2639</f>
        <v>2639</v>
      </c>
      <c r="L252" s="32" t="s">
        <v>995</v>
      </c>
      <c r="M252" s="31">
        <f>2644</f>
        <v>2644</v>
      </c>
      <c r="N252" s="32" t="s">
        <v>995</v>
      </c>
      <c r="O252" s="31">
        <f>2449</f>
        <v>2449</v>
      </c>
      <c r="P252" s="32" t="s">
        <v>998</v>
      </c>
      <c r="Q252" s="31">
        <f>2581.5</f>
        <v>2581.5</v>
      </c>
      <c r="R252" s="32" t="s">
        <v>791</v>
      </c>
      <c r="S252" s="33">
        <f>2536.52</f>
        <v>2536.52</v>
      </c>
      <c r="T252" s="30">
        <f>4393510</f>
        <v>4393510</v>
      </c>
      <c r="U252" s="30">
        <f>2831290</f>
        <v>2831290</v>
      </c>
      <c r="V252" s="30">
        <f>11283338695</f>
        <v>11283338695</v>
      </c>
      <c r="W252" s="30">
        <f>7300538600</f>
        <v>7300538600</v>
      </c>
      <c r="X252" s="34">
        <f>22</f>
        <v>22</v>
      </c>
    </row>
    <row r="253" spans="1:24" ht="13.5" customHeight="1" x14ac:dyDescent="0.15">
      <c r="A253" s="25" t="s">
        <v>1139</v>
      </c>
      <c r="B253" s="25" t="s">
        <v>758</v>
      </c>
      <c r="C253" s="25" t="s">
        <v>759</v>
      </c>
      <c r="D253" s="25" t="s">
        <v>760</v>
      </c>
      <c r="E253" s="26" t="s">
        <v>45</v>
      </c>
      <c r="F253" s="27" t="s">
        <v>45</v>
      </c>
      <c r="G253" s="28" t="s">
        <v>45</v>
      </c>
      <c r="H253" s="29"/>
      <c r="I253" s="29" t="s">
        <v>46</v>
      </c>
      <c r="J253" s="30">
        <v>10</v>
      </c>
      <c r="K253" s="31">
        <f>317</f>
        <v>317</v>
      </c>
      <c r="L253" s="32" t="s">
        <v>995</v>
      </c>
      <c r="M253" s="31">
        <f>325.8</f>
        <v>325.8</v>
      </c>
      <c r="N253" s="32" t="s">
        <v>1017</v>
      </c>
      <c r="O253" s="31">
        <f>315</f>
        <v>315</v>
      </c>
      <c r="P253" s="32" t="s">
        <v>1003</v>
      </c>
      <c r="Q253" s="31">
        <f>324.9</f>
        <v>324.89999999999998</v>
      </c>
      <c r="R253" s="32" t="s">
        <v>791</v>
      </c>
      <c r="S253" s="33">
        <f>321.79</f>
        <v>321.79000000000002</v>
      </c>
      <c r="T253" s="30">
        <f>58767740</f>
        <v>58767740</v>
      </c>
      <c r="U253" s="30">
        <f>53928910</f>
        <v>53928910</v>
      </c>
      <c r="V253" s="30">
        <f>19009769382</f>
        <v>19009769382</v>
      </c>
      <c r="W253" s="30">
        <f>17459129345</f>
        <v>17459129345</v>
      </c>
      <c r="X253" s="34">
        <f>22</f>
        <v>22</v>
      </c>
    </row>
    <row r="254" spans="1:24" ht="13.5" customHeight="1" x14ac:dyDescent="0.15">
      <c r="A254" s="25" t="s">
        <v>1139</v>
      </c>
      <c r="B254" s="25" t="s">
        <v>761</v>
      </c>
      <c r="C254" s="25" t="s">
        <v>762</v>
      </c>
      <c r="D254" s="25" t="s">
        <v>763</v>
      </c>
      <c r="E254" s="26" t="s">
        <v>45</v>
      </c>
      <c r="F254" s="27" t="s">
        <v>45</v>
      </c>
      <c r="G254" s="28" t="s">
        <v>45</v>
      </c>
      <c r="H254" s="29"/>
      <c r="I254" s="29" t="s">
        <v>46</v>
      </c>
      <c r="J254" s="30">
        <v>1</v>
      </c>
      <c r="K254" s="31">
        <f>1402</f>
        <v>1402</v>
      </c>
      <c r="L254" s="32" t="s">
        <v>995</v>
      </c>
      <c r="M254" s="31">
        <f>1405</f>
        <v>1405</v>
      </c>
      <c r="N254" s="32" t="s">
        <v>995</v>
      </c>
      <c r="O254" s="31">
        <f>1290</f>
        <v>1290</v>
      </c>
      <c r="P254" s="32" t="s">
        <v>1001</v>
      </c>
      <c r="Q254" s="31">
        <f>1350</f>
        <v>1350</v>
      </c>
      <c r="R254" s="32" t="s">
        <v>791</v>
      </c>
      <c r="S254" s="33">
        <f>1341.27</f>
        <v>1341.27</v>
      </c>
      <c r="T254" s="30">
        <f>18830138</f>
        <v>18830138</v>
      </c>
      <c r="U254" s="30">
        <f>235322</f>
        <v>235322</v>
      </c>
      <c r="V254" s="30">
        <f>25292757509</f>
        <v>25292757509</v>
      </c>
      <c r="W254" s="30">
        <f>311120326</f>
        <v>311120326</v>
      </c>
      <c r="X254" s="34">
        <f>22</f>
        <v>22</v>
      </c>
    </row>
    <row r="255" spans="1:24" ht="13.5" customHeight="1" x14ac:dyDescent="0.15">
      <c r="A255" s="25" t="s">
        <v>1139</v>
      </c>
      <c r="B255" s="25" t="s">
        <v>764</v>
      </c>
      <c r="C255" s="25" t="s">
        <v>765</v>
      </c>
      <c r="D255" s="25" t="s">
        <v>766</v>
      </c>
      <c r="E255" s="26" t="s">
        <v>45</v>
      </c>
      <c r="F255" s="27" t="s">
        <v>45</v>
      </c>
      <c r="G255" s="28" t="s">
        <v>45</v>
      </c>
      <c r="H255" s="29"/>
      <c r="I255" s="29" t="s">
        <v>46</v>
      </c>
      <c r="J255" s="30">
        <v>1</v>
      </c>
      <c r="K255" s="31">
        <f>1829</f>
        <v>1829</v>
      </c>
      <c r="L255" s="32" t="s">
        <v>995</v>
      </c>
      <c r="M255" s="31">
        <f>1829</f>
        <v>1829</v>
      </c>
      <c r="N255" s="32" t="s">
        <v>995</v>
      </c>
      <c r="O255" s="31">
        <f>1739</f>
        <v>1739</v>
      </c>
      <c r="P255" s="32" t="s">
        <v>1001</v>
      </c>
      <c r="Q255" s="31">
        <f>1782</f>
        <v>1782</v>
      </c>
      <c r="R255" s="32" t="s">
        <v>791</v>
      </c>
      <c r="S255" s="33">
        <f>1781.45</f>
        <v>1781.45</v>
      </c>
      <c r="T255" s="30">
        <f>55899</f>
        <v>55899</v>
      </c>
      <c r="U255" s="30" t="str">
        <f>"－"</f>
        <v>－</v>
      </c>
      <c r="V255" s="30">
        <f>99597016</f>
        <v>99597016</v>
      </c>
      <c r="W255" s="30" t="str">
        <f>"－"</f>
        <v>－</v>
      </c>
      <c r="X255" s="34">
        <f>22</f>
        <v>22</v>
      </c>
    </row>
    <row r="256" spans="1:24" ht="13.5" customHeight="1" x14ac:dyDescent="0.15">
      <c r="A256" s="25" t="s">
        <v>1139</v>
      </c>
      <c r="B256" s="25" t="s">
        <v>767</v>
      </c>
      <c r="C256" s="25" t="s">
        <v>768</v>
      </c>
      <c r="D256" s="25" t="s">
        <v>769</v>
      </c>
      <c r="E256" s="26" t="s">
        <v>45</v>
      </c>
      <c r="F256" s="27" t="s">
        <v>45</v>
      </c>
      <c r="G256" s="28" t="s">
        <v>45</v>
      </c>
      <c r="H256" s="29"/>
      <c r="I256" s="29" t="s">
        <v>46</v>
      </c>
      <c r="J256" s="30">
        <v>1</v>
      </c>
      <c r="K256" s="31">
        <f>2094</f>
        <v>2094</v>
      </c>
      <c r="L256" s="32" t="s">
        <v>995</v>
      </c>
      <c r="M256" s="31">
        <f>2103</f>
        <v>2103</v>
      </c>
      <c r="N256" s="32" t="s">
        <v>1004</v>
      </c>
      <c r="O256" s="31">
        <f>2068</f>
        <v>2068</v>
      </c>
      <c r="P256" s="32" t="s">
        <v>788</v>
      </c>
      <c r="Q256" s="31">
        <f>2085</f>
        <v>2085</v>
      </c>
      <c r="R256" s="32" t="s">
        <v>791</v>
      </c>
      <c r="S256" s="33">
        <f>2086.73</f>
        <v>2086.73</v>
      </c>
      <c r="T256" s="30">
        <f>1007742</f>
        <v>1007742</v>
      </c>
      <c r="U256" s="30">
        <f>1006000</f>
        <v>1006000</v>
      </c>
      <c r="V256" s="30">
        <f>2110730299</f>
        <v>2110730299</v>
      </c>
      <c r="W256" s="30">
        <f>2107099000</f>
        <v>2107099000</v>
      </c>
      <c r="X256" s="34">
        <f>22</f>
        <v>22</v>
      </c>
    </row>
    <row r="257" spans="1:24" ht="13.5" customHeight="1" x14ac:dyDescent="0.15">
      <c r="A257" s="25" t="s">
        <v>1139</v>
      </c>
      <c r="B257" s="25" t="s">
        <v>770</v>
      </c>
      <c r="C257" s="25" t="s">
        <v>771</v>
      </c>
      <c r="D257" s="25" t="s">
        <v>1087</v>
      </c>
      <c r="E257" s="26" t="s">
        <v>45</v>
      </c>
      <c r="F257" s="27" t="s">
        <v>45</v>
      </c>
      <c r="G257" s="28" t="s">
        <v>45</v>
      </c>
      <c r="H257" s="29"/>
      <c r="I257" s="29" t="s">
        <v>46</v>
      </c>
      <c r="J257" s="30">
        <v>1</v>
      </c>
      <c r="K257" s="31">
        <f>3335</f>
        <v>3335</v>
      </c>
      <c r="L257" s="32" t="s">
        <v>995</v>
      </c>
      <c r="M257" s="31">
        <f>3360</f>
        <v>3360</v>
      </c>
      <c r="N257" s="32" t="s">
        <v>995</v>
      </c>
      <c r="O257" s="31">
        <f>3135</f>
        <v>3135</v>
      </c>
      <c r="P257" s="32" t="s">
        <v>788</v>
      </c>
      <c r="Q257" s="31">
        <f>3270</f>
        <v>3270</v>
      </c>
      <c r="R257" s="32" t="s">
        <v>791</v>
      </c>
      <c r="S257" s="33">
        <f>3226.59</f>
        <v>3226.59</v>
      </c>
      <c r="T257" s="30">
        <f>1240784</f>
        <v>1240784</v>
      </c>
      <c r="U257" s="30">
        <f>1016308</f>
        <v>1016308</v>
      </c>
      <c r="V257" s="30">
        <f>4032786209</f>
        <v>4032786209</v>
      </c>
      <c r="W257" s="30">
        <f>3309528024</f>
        <v>3309528024</v>
      </c>
      <c r="X257" s="34">
        <f>22</f>
        <v>22</v>
      </c>
    </row>
    <row r="258" spans="1:24" ht="13.5" customHeight="1" x14ac:dyDescent="0.15">
      <c r="A258" s="25" t="s">
        <v>1139</v>
      </c>
      <c r="B258" s="25" t="s">
        <v>773</v>
      </c>
      <c r="C258" s="25" t="s">
        <v>774</v>
      </c>
      <c r="D258" s="25" t="s">
        <v>1088</v>
      </c>
      <c r="E258" s="26" t="s">
        <v>45</v>
      </c>
      <c r="F258" s="27" t="s">
        <v>45</v>
      </c>
      <c r="G258" s="28" t="s">
        <v>45</v>
      </c>
      <c r="H258" s="29"/>
      <c r="I258" s="29" t="s">
        <v>46</v>
      </c>
      <c r="J258" s="30">
        <v>1</v>
      </c>
      <c r="K258" s="31">
        <f>2324</f>
        <v>2324</v>
      </c>
      <c r="L258" s="32" t="s">
        <v>995</v>
      </c>
      <c r="M258" s="31">
        <f>2340</f>
        <v>2340</v>
      </c>
      <c r="N258" s="32" t="s">
        <v>995</v>
      </c>
      <c r="O258" s="31">
        <f>2229</f>
        <v>2229</v>
      </c>
      <c r="P258" s="32" t="s">
        <v>792</v>
      </c>
      <c r="Q258" s="31">
        <f>2334</f>
        <v>2334</v>
      </c>
      <c r="R258" s="32" t="s">
        <v>791</v>
      </c>
      <c r="S258" s="33">
        <f>2285.36</f>
        <v>2285.36</v>
      </c>
      <c r="T258" s="30">
        <f>1576789</f>
        <v>1576789</v>
      </c>
      <c r="U258" s="30">
        <f>534000</f>
        <v>534000</v>
      </c>
      <c r="V258" s="30">
        <f>3619839791</f>
        <v>3619839791</v>
      </c>
      <c r="W258" s="30">
        <f>1229803200</f>
        <v>1229803200</v>
      </c>
      <c r="X258" s="34">
        <f>22</f>
        <v>22</v>
      </c>
    </row>
    <row r="259" spans="1:24" ht="13.5" customHeight="1" x14ac:dyDescent="0.15">
      <c r="A259" s="25" t="s">
        <v>1139</v>
      </c>
      <c r="B259" s="25" t="s">
        <v>776</v>
      </c>
      <c r="C259" s="25" t="s">
        <v>777</v>
      </c>
      <c r="D259" s="25" t="s">
        <v>778</v>
      </c>
      <c r="E259" s="26" t="s">
        <v>45</v>
      </c>
      <c r="F259" s="27" t="s">
        <v>45</v>
      </c>
      <c r="G259" s="28" t="s">
        <v>45</v>
      </c>
      <c r="H259" s="29"/>
      <c r="I259" s="29" t="s">
        <v>46</v>
      </c>
      <c r="J259" s="30">
        <v>1</v>
      </c>
      <c r="K259" s="31">
        <f>2043</f>
        <v>2043</v>
      </c>
      <c r="L259" s="32" t="s">
        <v>995</v>
      </c>
      <c r="M259" s="31">
        <f>2043</f>
        <v>2043</v>
      </c>
      <c r="N259" s="32" t="s">
        <v>995</v>
      </c>
      <c r="O259" s="31">
        <f>1951</f>
        <v>1951</v>
      </c>
      <c r="P259" s="32" t="s">
        <v>788</v>
      </c>
      <c r="Q259" s="31">
        <f>2034</f>
        <v>2034</v>
      </c>
      <c r="R259" s="32" t="s">
        <v>791</v>
      </c>
      <c r="S259" s="33">
        <f>1999.05</f>
        <v>1999.05</v>
      </c>
      <c r="T259" s="30">
        <f>15137</f>
        <v>15137</v>
      </c>
      <c r="U259" s="30" t="str">
        <f t="shared" ref="U259:U264" si="4">"－"</f>
        <v>－</v>
      </c>
      <c r="V259" s="30">
        <f>30245661</f>
        <v>30245661</v>
      </c>
      <c r="W259" s="30" t="str">
        <f t="shared" ref="W259:W264" si="5">"－"</f>
        <v>－</v>
      </c>
      <c r="X259" s="34">
        <f>22</f>
        <v>22</v>
      </c>
    </row>
    <row r="260" spans="1:24" ht="13.5" customHeight="1" x14ac:dyDescent="0.15">
      <c r="A260" s="25" t="s">
        <v>1139</v>
      </c>
      <c r="B260" s="25" t="s">
        <v>779</v>
      </c>
      <c r="C260" s="25" t="s">
        <v>780</v>
      </c>
      <c r="D260" s="25" t="s">
        <v>781</v>
      </c>
      <c r="E260" s="26" t="s">
        <v>45</v>
      </c>
      <c r="F260" s="27" t="s">
        <v>45</v>
      </c>
      <c r="G260" s="28" t="s">
        <v>45</v>
      </c>
      <c r="H260" s="29"/>
      <c r="I260" s="29" t="s">
        <v>46</v>
      </c>
      <c r="J260" s="30">
        <v>1</v>
      </c>
      <c r="K260" s="31">
        <f>1393</f>
        <v>1393</v>
      </c>
      <c r="L260" s="32" t="s">
        <v>995</v>
      </c>
      <c r="M260" s="31">
        <f>1393</f>
        <v>1393</v>
      </c>
      <c r="N260" s="32" t="s">
        <v>995</v>
      </c>
      <c r="O260" s="31">
        <f>1277</f>
        <v>1277</v>
      </c>
      <c r="P260" s="32" t="s">
        <v>788</v>
      </c>
      <c r="Q260" s="31">
        <f>1330</f>
        <v>1330</v>
      </c>
      <c r="R260" s="32" t="s">
        <v>791</v>
      </c>
      <c r="S260" s="33">
        <f>1326.91</f>
        <v>1326.91</v>
      </c>
      <c r="T260" s="30">
        <f>19496</f>
        <v>19496</v>
      </c>
      <c r="U260" s="30" t="str">
        <f t="shared" si="4"/>
        <v>－</v>
      </c>
      <c r="V260" s="30">
        <f>26443613</f>
        <v>26443613</v>
      </c>
      <c r="W260" s="30" t="str">
        <f t="shared" si="5"/>
        <v>－</v>
      </c>
      <c r="X260" s="34">
        <f>22</f>
        <v>22</v>
      </c>
    </row>
    <row r="261" spans="1:24" ht="13.5" customHeight="1" x14ac:dyDescent="0.15">
      <c r="A261" s="25" t="s">
        <v>1139</v>
      </c>
      <c r="B261" s="25" t="s">
        <v>797</v>
      </c>
      <c r="C261" s="25" t="s">
        <v>798</v>
      </c>
      <c r="D261" s="25" t="s">
        <v>799</v>
      </c>
      <c r="E261" s="26" t="s">
        <v>45</v>
      </c>
      <c r="F261" s="27" t="s">
        <v>45</v>
      </c>
      <c r="G261" s="28" t="s">
        <v>45</v>
      </c>
      <c r="H261" s="29"/>
      <c r="I261" s="29" t="s">
        <v>46</v>
      </c>
      <c r="J261" s="30">
        <v>1</v>
      </c>
      <c r="K261" s="31">
        <f>1990</f>
        <v>1990</v>
      </c>
      <c r="L261" s="32" t="s">
        <v>995</v>
      </c>
      <c r="M261" s="31">
        <f>2000</f>
        <v>2000</v>
      </c>
      <c r="N261" s="32" t="s">
        <v>785</v>
      </c>
      <c r="O261" s="31">
        <f>1787</f>
        <v>1787</v>
      </c>
      <c r="P261" s="32" t="s">
        <v>789</v>
      </c>
      <c r="Q261" s="31">
        <f>1935</f>
        <v>1935</v>
      </c>
      <c r="R261" s="32" t="s">
        <v>791</v>
      </c>
      <c r="S261" s="33">
        <f>1895.27</f>
        <v>1895.27</v>
      </c>
      <c r="T261" s="30">
        <f>35715</f>
        <v>35715</v>
      </c>
      <c r="U261" s="30" t="str">
        <f t="shared" si="4"/>
        <v>－</v>
      </c>
      <c r="V261" s="30">
        <f>66799292</f>
        <v>66799292</v>
      </c>
      <c r="W261" s="30" t="str">
        <f t="shared" si="5"/>
        <v>－</v>
      </c>
      <c r="X261" s="34">
        <f>22</f>
        <v>22</v>
      </c>
    </row>
    <row r="262" spans="1:24" ht="13.5" customHeight="1" x14ac:dyDescent="0.15">
      <c r="A262" s="25" t="s">
        <v>1139</v>
      </c>
      <c r="B262" s="25" t="s">
        <v>800</v>
      </c>
      <c r="C262" s="25" t="s">
        <v>801</v>
      </c>
      <c r="D262" s="25" t="s">
        <v>802</v>
      </c>
      <c r="E262" s="26" t="s">
        <v>45</v>
      </c>
      <c r="F262" s="27" t="s">
        <v>45</v>
      </c>
      <c r="G262" s="28" t="s">
        <v>45</v>
      </c>
      <c r="H262" s="29"/>
      <c r="I262" s="29" t="s">
        <v>46</v>
      </c>
      <c r="J262" s="30">
        <v>1</v>
      </c>
      <c r="K262" s="31">
        <f>2605</f>
        <v>2605</v>
      </c>
      <c r="L262" s="32" t="s">
        <v>995</v>
      </c>
      <c r="M262" s="31">
        <f>2615</f>
        <v>2615</v>
      </c>
      <c r="N262" s="32" t="s">
        <v>785</v>
      </c>
      <c r="O262" s="31">
        <f>2350</f>
        <v>2350</v>
      </c>
      <c r="P262" s="32" t="s">
        <v>793</v>
      </c>
      <c r="Q262" s="31">
        <f>2424</f>
        <v>2424</v>
      </c>
      <c r="R262" s="32" t="s">
        <v>791</v>
      </c>
      <c r="S262" s="33">
        <f>2467.35</f>
        <v>2467.35</v>
      </c>
      <c r="T262" s="30">
        <f>9900</f>
        <v>9900</v>
      </c>
      <c r="U262" s="30" t="str">
        <f t="shared" si="4"/>
        <v>－</v>
      </c>
      <c r="V262" s="30">
        <f>24406459</f>
        <v>24406459</v>
      </c>
      <c r="W262" s="30" t="str">
        <f t="shared" si="5"/>
        <v>－</v>
      </c>
      <c r="X262" s="34">
        <f>20</f>
        <v>20</v>
      </c>
    </row>
    <row r="263" spans="1:24" ht="13.5" customHeight="1" x14ac:dyDescent="0.15">
      <c r="A263" s="25" t="s">
        <v>1139</v>
      </c>
      <c r="B263" s="25" t="s">
        <v>803</v>
      </c>
      <c r="C263" s="25" t="s">
        <v>804</v>
      </c>
      <c r="D263" s="25" t="s">
        <v>805</v>
      </c>
      <c r="E263" s="26" t="s">
        <v>45</v>
      </c>
      <c r="F263" s="27" t="s">
        <v>45</v>
      </c>
      <c r="G263" s="28" t="s">
        <v>45</v>
      </c>
      <c r="H263" s="29"/>
      <c r="I263" s="29" t="s">
        <v>46</v>
      </c>
      <c r="J263" s="30">
        <v>1</v>
      </c>
      <c r="K263" s="31">
        <f>11100</f>
        <v>11100</v>
      </c>
      <c r="L263" s="32" t="s">
        <v>995</v>
      </c>
      <c r="M263" s="31">
        <f>11115</f>
        <v>11115</v>
      </c>
      <c r="N263" s="32" t="s">
        <v>995</v>
      </c>
      <c r="O263" s="31">
        <f>10515</f>
        <v>10515</v>
      </c>
      <c r="P263" s="32" t="s">
        <v>998</v>
      </c>
      <c r="Q263" s="31">
        <f>10890</f>
        <v>10890</v>
      </c>
      <c r="R263" s="32" t="s">
        <v>791</v>
      </c>
      <c r="S263" s="33">
        <f>10773.18</f>
        <v>10773.18</v>
      </c>
      <c r="T263" s="30">
        <f>310159</f>
        <v>310159</v>
      </c>
      <c r="U263" s="30" t="str">
        <f t="shared" si="4"/>
        <v>－</v>
      </c>
      <c r="V263" s="30">
        <f>3340020190</f>
        <v>3340020190</v>
      </c>
      <c r="W263" s="30" t="str">
        <f t="shared" si="5"/>
        <v>－</v>
      </c>
      <c r="X263" s="34">
        <f>22</f>
        <v>22</v>
      </c>
    </row>
    <row r="264" spans="1:24" ht="13.5" customHeight="1" x14ac:dyDescent="0.15">
      <c r="A264" s="25" t="s">
        <v>1139</v>
      </c>
      <c r="B264" s="25" t="s">
        <v>806</v>
      </c>
      <c r="C264" s="25" t="s">
        <v>807</v>
      </c>
      <c r="D264" s="25" t="s">
        <v>808</v>
      </c>
      <c r="E264" s="26" t="s">
        <v>45</v>
      </c>
      <c r="F264" s="27" t="s">
        <v>45</v>
      </c>
      <c r="G264" s="28" t="s">
        <v>45</v>
      </c>
      <c r="H264" s="29"/>
      <c r="I264" s="29" t="s">
        <v>46</v>
      </c>
      <c r="J264" s="30">
        <v>1</v>
      </c>
      <c r="K264" s="31">
        <f>16115</f>
        <v>16115</v>
      </c>
      <c r="L264" s="32" t="s">
        <v>995</v>
      </c>
      <c r="M264" s="31">
        <f>16265</f>
        <v>16265</v>
      </c>
      <c r="N264" s="32" t="s">
        <v>791</v>
      </c>
      <c r="O264" s="31">
        <f>15320</f>
        <v>15320</v>
      </c>
      <c r="P264" s="32" t="s">
        <v>998</v>
      </c>
      <c r="Q264" s="31">
        <f>16230</f>
        <v>16230</v>
      </c>
      <c r="R264" s="32" t="s">
        <v>791</v>
      </c>
      <c r="S264" s="33">
        <f>15785.91</f>
        <v>15785.91</v>
      </c>
      <c r="T264" s="30">
        <f>923660</f>
        <v>923660</v>
      </c>
      <c r="U264" s="30" t="str">
        <f t="shared" si="4"/>
        <v>－</v>
      </c>
      <c r="V264" s="30">
        <f>14639680605</f>
        <v>14639680605</v>
      </c>
      <c r="W264" s="30" t="str">
        <f t="shared" si="5"/>
        <v>－</v>
      </c>
      <c r="X264" s="34">
        <f>22</f>
        <v>22</v>
      </c>
    </row>
    <row r="265" spans="1:24" ht="13.5" customHeight="1" x14ac:dyDescent="0.15">
      <c r="A265" s="25" t="s">
        <v>1139</v>
      </c>
      <c r="B265" s="25" t="s">
        <v>809</v>
      </c>
      <c r="C265" s="25" t="s">
        <v>810</v>
      </c>
      <c r="D265" s="25" t="s">
        <v>811</v>
      </c>
      <c r="E265" s="26" t="s">
        <v>45</v>
      </c>
      <c r="F265" s="27" t="s">
        <v>45</v>
      </c>
      <c r="G265" s="28" t="s">
        <v>45</v>
      </c>
      <c r="H265" s="29"/>
      <c r="I265" s="29" t="s">
        <v>46</v>
      </c>
      <c r="J265" s="30">
        <v>1</v>
      </c>
      <c r="K265" s="31">
        <f>11085</f>
        <v>11085</v>
      </c>
      <c r="L265" s="32" t="s">
        <v>995</v>
      </c>
      <c r="M265" s="31">
        <f>11105</f>
        <v>11105</v>
      </c>
      <c r="N265" s="32" t="s">
        <v>995</v>
      </c>
      <c r="O265" s="31">
        <f>10265</f>
        <v>10265</v>
      </c>
      <c r="P265" s="32" t="s">
        <v>998</v>
      </c>
      <c r="Q265" s="31">
        <f>10835</f>
        <v>10835</v>
      </c>
      <c r="R265" s="32" t="s">
        <v>791</v>
      </c>
      <c r="S265" s="33">
        <f>10640</f>
        <v>10640</v>
      </c>
      <c r="T265" s="30">
        <f>577474</f>
        <v>577474</v>
      </c>
      <c r="U265" s="30">
        <f>236540</f>
        <v>236540</v>
      </c>
      <c r="V265" s="30">
        <f>6168248853</f>
        <v>6168248853</v>
      </c>
      <c r="W265" s="30">
        <f>2519630973</f>
        <v>2519630973</v>
      </c>
      <c r="X265" s="34">
        <f>22</f>
        <v>22</v>
      </c>
    </row>
    <row r="266" spans="1:24" ht="13.5" customHeight="1" x14ac:dyDescent="0.15">
      <c r="A266" s="25" t="s">
        <v>1139</v>
      </c>
      <c r="B266" s="25" t="s">
        <v>812</v>
      </c>
      <c r="C266" s="25" t="s">
        <v>813</v>
      </c>
      <c r="D266" s="25" t="s">
        <v>814</v>
      </c>
      <c r="E266" s="26" t="s">
        <v>45</v>
      </c>
      <c r="F266" s="27" t="s">
        <v>45</v>
      </c>
      <c r="G266" s="28" t="s">
        <v>45</v>
      </c>
      <c r="H266" s="29"/>
      <c r="I266" s="29" t="s">
        <v>46</v>
      </c>
      <c r="J266" s="30">
        <v>10</v>
      </c>
      <c r="K266" s="31">
        <f>3019</f>
        <v>3019</v>
      </c>
      <c r="L266" s="32" t="s">
        <v>995</v>
      </c>
      <c r="M266" s="31">
        <f>3059</f>
        <v>3059</v>
      </c>
      <c r="N266" s="32" t="s">
        <v>791</v>
      </c>
      <c r="O266" s="31">
        <f>2936.5</f>
        <v>2936.5</v>
      </c>
      <c r="P266" s="32" t="s">
        <v>998</v>
      </c>
      <c r="Q266" s="31">
        <f>3056</f>
        <v>3056</v>
      </c>
      <c r="R266" s="32" t="s">
        <v>791</v>
      </c>
      <c r="S266" s="33">
        <f>2991.68</f>
        <v>2991.68</v>
      </c>
      <c r="T266" s="30">
        <f>841900</f>
        <v>841900</v>
      </c>
      <c r="U266" s="30">
        <f>100000</f>
        <v>100000</v>
      </c>
      <c r="V266" s="30">
        <f>2520599790</f>
        <v>2520599790</v>
      </c>
      <c r="W266" s="30">
        <f>298898000</f>
        <v>298898000</v>
      </c>
      <c r="X266" s="34">
        <f>22</f>
        <v>22</v>
      </c>
    </row>
    <row r="267" spans="1:24" ht="13.5" customHeight="1" x14ac:dyDescent="0.15">
      <c r="A267" s="25" t="s">
        <v>1139</v>
      </c>
      <c r="B267" s="25" t="s">
        <v>815</v>
      </c>
      <c r="C267" s="25" t="s">
        <v>816</v>
      </c>
      <c r="D267" s="25" t="s">
        <v>817</v>
      </c>
      <c r="E267" s="26" t="s">
        <v>45</v>
      </c>
      <c r="F267" s="27" t="s">
        <v>45</v>
      </c>
      <c r="G267" s="28" t="s">
        <v>45</v>
      </c>
      <c r="H267" s="29"/>
      <c r="I267" s="29" t="s">
        <v>46</v>
      </c>
      <c r="J267" s="30">
        <v>10</v>
      </c>
      <c r="K267" s="31">
        <f>2187</f>
        <v>2187</v>
      </c>
      <c r="L267" s="32" t="s">
        <v>995</v>
      </c>
      <c r="M267" s="31">
        <f>2191</f>
        <v>2191</v>
      </c>
      <c r="N267" s="32" t="s">
        <v>995</v>
      </c>
      <c r="O267" s="31">
        <f>2072.5</f>
        <v>2072.5</v>
      </c>
      <c r="P267" s="32" t="s">
        <v>998</v>
      </c>
      <c r="Q267" s="31">
        <f>2146</f>
        <v>2146</v>
      </c>
      <c r="R267" s="32" t="s">
        <v>791</v>
      </c>
      <c r="S267" s="33">
        <f>2123.2</f>
        <v>2123.1999999999998</v>
      </c>
      <c r="T267" s="30">
        <f>1364070</f>
        <v>1364070</v>
      </c>
      <c r="U267" s="30">
        <f>340000</f>
        <v>340000</v>
      </c>
      <c r="V267" s="30">
        <f>2890116520</f>
        <v>2890116520</v>
      </c>
      <c r="W267" s="30">
        <f>717192000</f>
        <v>717192000</v>
      </c>
      <c r="X267" s="34">
        <f>22</f>
        <v>22</v>
      </c>
    </row>
    <row r="268" spans="1:24" ht="13.5" customHeight="1" x14ac:dyDescent="0.15">
      <c r="A268" s="25" t="s">
        <v>1139</v>
      </c>
      <c r="B268" s="25" t="s">
        <v>818</v>
      </c>
      <c r="C268" s="25" t="s">
        <v>819</v>
      </c>
      <c r="D268" s="25" t="s">
        <v>820</v>
      </c>
      <c r="E268" s="26" t="s">
        <v>45</v>
      </c>
      <c r="F268" s="27" t="s">
        <v>45</v>
      </c>
      <c r="G268" s="28" t="s">
        <v>45</v>
      </c>
      <c r="H268" s="29"/>
      <c r="I268" s="29" t="s">
        <v>46</v>
      </c>
      <c r="J268" s="30">
        <v>10</v>
      </c>
      <c r="K268" s="31">
        <f>3130</f>
        <v>3130</v>
      </c>
      <c r="L268" s="32" t="s">
        <v>995</v>
      </c>
      <c r="M268" s="31">
        <f>3200</f>
        <v>3200</v>
      </c>
      <c r="N268" s="32" t="s">
        <v>791</v>
      </c>
      <c r="O268" s="31">
        <f>3056</f>
        <v>3056</v>
      </c>
      <c r="P268" s="32" t="s">
        <v>998</v>
      </c>
      <c r="Q268" s="31">
        <f>3186</f>
        <v>3186</v>
      </c>
      <c r="R268" s="32" t="s">
        <v>791</v>
      </c>
      <c r="S268" s="33">
        <f>3116.24</f>
        <v>3116.24</v>
      </c>
      <c r="T268" s="30">
        <f>9660</f>
        <v>9660</v>
      </c>
      <c r="U268" s="30">
        <f>20</f>
        <v>20</v>
      </c>
      <c r="V268" s="30">
        <f>30188530</f>
        <v>30188530</v>
      </c>
      <c r="W268" s="30">
        <f>63020</f>
        <v>63020</v>
      </c>
      <c r="X268" s="34">
        <f>21</f>
        <v>21</v>
      </c>
    </row>
    <row r="269" spans="1:24" ht="13.5" customHeight="1" x14ac:dyDescent="0.15">
      <c r="A269" s="25" t="s">
        <v>1139</v>
      </c>
      <c r="B269" s="25" t="s">
        <v>821</v>
      </c>
      <c r="C269" s="25" t="s">
        <v>822</v>
      </c>
      <c r="D269" s="25" t="s">
        <v>823</v>
      </c>
      <c r="E269" s="26" t="s">
        <v>45</v>
      </c>
      <c r="F269" s="27" t="s">
        <v>45</v>
      </c>
      <c r="G269" s="28" t="s">
        <v>45</v>
      </c>
      <c r="H269" s="29"/>
      <c r="I269" s="29" t="s">
        <v>46</v>
      </c>
      <c r="J269" s="30">
        <v>1</v>
      </c>
      <c r="K269" s="31">
        <f>2858</f>
        <v>2858</v>
      </c>
      <c r="L269" s="32" t="s">
        <v>995</v>
      </c>
      <c r="M269" s="31">
        <f>2860</f>
        <v>2860</v>
      </c>
      <c r="N269" s="32" t="s">
        <v>995</v>
      </c>
      <c r="O269" s="31">
        <f>2691</f>
        <v>2691</v>
      </c>
      <c r="P269" s="32" t="s">
        <v>788</v>
      </c>
      <c r="Q269" s="31">
        <f>2804</f>
        <v>2804</v>
      </c>
      <c r="R269" s="32" t="s">
        <v>791</v>
      </c>
      <c r="S269" s="33">
        <f>2762.91</f>
        <v>2762.91</v>
      </c>
      <c r="T269" s="30">
        <f>21178</f>
        <v>21178</v>
      </c>
      <c r="U269" s="30" t="str">
        <f>"－"</f>
        <v>－</v>
      </c>
      <c r="V269" s="30">
        <f>58566926</f>
        <v>58566926</v>
      </c>
      <c r="W269" s="30" t="str">
        <f>"－"</f>
        <v>－</v>
      </c>
      <c r="X269" s="34">
        <f>22</f>
        <v>22</v>
      </c>
    </row>
    <row r="270" spans="1:24" ht="13.5" customHeight="1" x14ac:dyDescent="0.15">
      <c r="A270" s="25" t="s">
        <v>1139</v>
      </c>
      <c r="B270" s="25" t="s">
        <v>824</v>
      </c>
      <c r="C270" s="25" t="s">
        <v>825</v>
      </c>
      <c r="D270" s="25" t="s">
        <v>826</v>
      </c>
      <c r="E270" s="26" t="s">
        <v>45</v>
      </c>
      <c r="F270" s="27" t="s">
        <v>45</v>
      </c>
      <c r="G270" s="28" t="s">
        <v>45</v>
      </c>
      <c r="H270" s="29"/>
      <c r="I270" s="29" t="s">
        <v>46</v>
      </c>
      <c r="J270" s="30">
        <v>1</v>
      </c>
      <c r="K270" s="31">
        <f>1616</f>
        <v>1616</v>
      </c>
      <c r="L270" s="32" t="s">
        <v>995</v>
      </c>
      <c r="M270" s="31">
        <f>1621</f>
        <v>1621</v>
      </c>
      <c r="N270" s="32" t="s">
        <v>995</v>
      </c>
      <c r="O270" s="31">
        <f>1474</f>
        <v>1474</v>
      </c>
      <c r="P270" s="32" t="s">
        <v>792</v>
      </c>
      <c r="Q270" s="31">
        <f>1555</f>
        <v>1555</v>
      </c>
      <c r="R270" s="32" t="s">
        <v>791</v>
      </c>
      <c r="S270" s="33">
        <f>1540.36</f>
        <v>1540.36</v>
      </c>
      <c r="T270" s="30">
        <f>44848</f>
        <v>44848</v>
      </c>
      <c r="U270" s="30">
        <f>2</f>
        <v>2</v>
      </c>
      <c r="V270" s="30">
        <f>68658912</f>
        <v>68658912</v>
      </c>
      <c r="W270" s="30">
        <f>3097</f>
        <v>3097</v>
      </c>
      <c r="X270" s="34">
        <f>22</f>
        <v>22</v>
      </c>
    </row>
    <row r="271" spans="1:24" ht="13.5" customHeight="1" x14ac:dyDescent="0.15">
      <c r="A271" s="25" t="s">
        <v>1139</v>
      </c>
      <c r="B271" s="25" t="s">
        <v>827</v>
      </c>
      <c r="C271" s="25" t="s">
        <v>828</v>
      </c>
      <c r="D271" s="25" t="s">
        <v>829</v>
      </c>
      <c r="E271" s="26" t="s">
        <v>45</v>
      </c>
      <c r="F271" s="27" t="s">
        <v>45</v>
      </c>
      <c r="G271" s="28" t="s">
        <v>45</v>
      </c>
      <c r="H271" s="29"/>
      <c r="I271" s="29" t="s">
        <v>46</v>
      </c>
      <c r="J271" s="30">
        <v>1</v>
      </c>
      <c r="K271" s="31">
        <f>2083</f>
        <v>2083</v>
      </c>
      <c r="L271" s="32" t="s">
        <v>995</v>
      </c>
      <c r="M271" s="31">
        <f>2083</f>
        <v>2083</v>
      </c>
      <c r="N271" s="32" t="s">
        <v>995</v>
      </c>
      <c r="O271" s="31">
        <f>1890</f>
        <v>1890</v>
      </c>
      <c r="P271" s="32" t="s">
        <v>788</v>
      </c>
      <c r="Q271" s="31">
        <f>2003</f>
        <v>2003</v>
      </c>
      <c r="R271" s="32" t="s">
        <v>791</v>
      </c>
      <c r="S271" s="33">
        <f>1972.95</f>
        <v>1972.95</v>
      </c>
      <c r="T271" s="30">
        <f>127822</f>
        <v>127822</v>
      </c>
      <c r="U271" s="30" t="str">
        <f>"－"</f>
        <v>－</v>
      </c>
      <c r="V271" s="30">
        <f>255126388</f>
        <v>255126388</v>
      </c>
      <c r="W271" s="30" t="str">
        <f>"－"</f>
        <v>－</v>
      </c>
      <c r="X271" s="34">
        <f>22</f>
        <v>22</v>
      </c>
    </row>
    <row r="272" spans="1:24" ht="13.5" customHeight="1" x14ac:dyDescent="0.15">
      <c r="A272" s="25" t="s">
        <v>1139</v>
      </c>
      <c r="B272" s="25" t="s">
        <v>830</v>
      </c>
      <c r="C272" s="25" t="s">
        <v>831</v>
      </c>
      <c r="D272" s="25" t="s">
        <v>832</v>
      </c>
      <c r="E272" s="26" t="s">
        <v>45</v>
      </c>
      <c r="F272" s="27" t="s">
        <v>45</v>
      </c>
      <c r="G272" s="28" t="s">
        <v>45</v>
      </c>
      <c r="H272" s="29"/>
      <c r="I272" s="29" t="s">
        <v>46</v>
      </c>
      <c r="J272" s="30">
        <v>1</v>
      </c>
      <c r="K272" s="31">
        <f>1670</f>
        <v>1670</v>
      </c>
      <c r="L272" s="32" t="s">
        <v>995</v>
      </c>
      <c r="M272" s="31">
        <f>1670</f>
        <v>1670</v>
      </c>
      <c r="N272" s="32" t="s">
        <v>995</v>
      </c>
      <c r="O272" s="31">
        <f>1529</f>
        <v>1529</v>
      </c>
      <c r="P272" s="32" t="s">
        <v>788</v>
      </c>
      <c r="Q272" s="31">
        <f>1614</f>
        <v>1614</v>
      </c>
      <c r="R272" s="32" t="s">
        <v>791</v>
      </c>
      <c r="S272" s="33">
        <f>1592.73</f>
        <v>1592.73</v>
      </c>
      <c r="T272" s="30">
        <f>13472</f>
        <v>13472</v>
      </c>
      <c r="U272" s="30" t="str">
        <f>"－"</f>
        <v>－</v>
      </c>
      <c r="V272" s="30">
        <f>21885371</f>
        <v>21885371</v>
      </c>
      <c r="W272" s="30" t="str">
        <f>"－"</f>
        <v>－</v>
      </c>
      <c r="X272" s="34">
        <f>22</f>
        <v>22</v>
      </c>
    </row>
    <row r="273" spans="1:24" ht="13.5" customHeight="1" x14ac:dyDescent="0.15">
      <c r="A273" s="25" t="s">
        <v>1139</v>
      </c>
      <c r="B273" s="25" t="s">
        <v>833</v>
      </c>
      <c r="C273" s="25" t="s">
        <v>834</v>
      </c>
      <c r="D273" s="25" t="s">
        <v>835</v>
      </c>
      <c r="E273" s="26" t="s">
        <v>45</v>
      </c>
      <c r="F273" s="27" t="s">
        <v>45</v>
      </c>
      <c r="G273" s="28" t="s">
        <v>45</v>
      </c>
      <c r="H273" s="29"/>
      <c r="I273" s="29" t="s">
        <v>46</v>
      </c>
      <c r="J273" s="30">
        <v>1</v>
      </c>
      <c r="K273" s="31">
        <f>2934</f>
        <v>2934</v>
      </c>
      <c r="L273" s="32" t="s">
        <v>995</v>
      </c>
      <c r="M273" s="31">
        <f>2934</f>
        <v>2934</v>
      </c>
      <c r="N273" s="32" t="s">
        <v>995</v>
      </c>
      <c r="O273" s="31">
        <f>2759</f>
        <v>2759</v>
      </c>
      <c r="P273" s="32" t="s">
        <v>788</v>
      </c>
      <c r="Q273" s="31">
        <f>2848</f>
        <v>2848</v>
      </c>
      <c r="R273" s="32" t="s">
        <v>791</v>
      </c>
      <c r="S273" s="33">
        <f>2825.41</f>
        <v>2825.41</v>
      </c>
      <c r="T273" s="30">
        <f>59103</f>
        <v>59103</v>
      </c>
      <c r="U273" s="30" t="str">
        <f>"－"</f>
        <v>－</v>
      </c>
      <c r="V273" s="30">
        <f>167630779</f>
        <v>167630779</v>
      </c>
      <c r="W273" s="30" t="str">
        <f>"－"</f>
        <v>－</v>
      </c>
      <c r="X273" s="34">
        <f>22</f>
        <v>22</v>
      </c>
    </row>
    <row r="274" spans="1:24" ht="13.5" customHeight="1" x14ac:dyDescent="0.15">
      <c r="A274" s="25" t="s">
        <v>1139</v>
      </c>
      <c r="B274" s="25" t="s">
        <v>836</v>
      </c>
      <c r="C274" s="25" t="s">
        <v>837</v>
      </c>
      <c r="D274" s="25" t="s">
        <v>838</v>
      </c>
      <c r="E274" s="26" t="s">
        <v>45</v>
      </c>
      <c r="F274" s="27" t="s">
        <v>45</v>
      </c>
      <c r="G274" s="28" t="s">
        <v>45</v>
      </c>
      <c r="H274" s="29"/>
      <c r="I274" s="29" t="s">
        <v>46</v>
      </c>
      <c r="J274" s="30">
        <v>1</v>
      </c>
      <c r="K274" s="31">
        <f>2569</f>
        <v>2569</v>
      </c>
      <c r="L274" s="32" t="s">
        <v>995</v>
      </c>
      <c r="M274" s="31">
        <f>2582</f>
        <v>2582</v>
      </c>
      <c r="N274" s="32" t="s">
        <v>995</v>
      </c>
      <c r="O274" s="31">
        <f>2429</f>
        <v>2429</v>
      </c>
      <c r="P274" s="32" t="s">
        <v>792</v>
      </c>
      <c r="Q274" s="31">
        <f>2548</f>
        <v>2548</v>
      </c>
      <c r="R274" s="32" t="s">
        <v>791</v>
      </c>
      <c r="S274" s="33">
        <f>2504.18</f>
        <v>2504.1799999999998</v>
      </c>
      <c r="T274" s="30">
        <f>127804</f>
        <v>127804</v>
      </c>
      <c r="U274" s="30">
        <f>5</f>
        <v>5</v>
      </c>
      <c r="V274" s="30">
        <f>318928108</f>
        <v>318928108</v>
      </c>
      <c r="W274" s="30">
        <f>12551</f>
        <v>12551</v>
      </c>
      <c r="X274" s="34">
        <f>22</f>
        <v>22</v>
      </c>
    </row>
    <row r="275" spans="1:24" ht="13.5" customHeight="1" x14ac:dyDescent="0.15">
      <c r="A275" s="25" t="s">
        <v>1139</v>
      </c>
      <c r="B275" s="25" t="s">
        <v>839</v>
      </c>
      <c r="C275" s="25" t="s">
        <v>840</v>
      </c>
      <c r="D275" s="25" t="s">
        <v>841</v>
      </c>
      <c r="E275" s="26" t="s">
        <v>45</v>
      </c>
      <c r="F275" s="27" t="s">
        <v>45</v>
      </c>
      <c r="G275" s="28" t="s">
        <v>45</v>
      </c>
      <c r="H275" s="29"/>
      <c r="I275" s="29" t="s">
        <v>46</v>
      </c>
      <c r="J275" s="30">
        <v>1</v>
      </c>
      <c r="K275" s="31">
        <f>30670</f>
        <v>30670</v>
      </c>
      <c r="L275" s="32" t="s">
        <v>995</v>
      </c>
      <c r="M275" s="31">
        <f>30670</f>
        <v>30670</v>
      </c>
      <c r="N275" s="32" t="s">
        <v>995</v>
      </c>
      <c r="O275" s="31">
        <f>29470</f>
        <v>29470</v>
      </c>
      <c r="P275" s="32" t="s">
        <v>788</v>
      </c>
      <c r="Q275" s="31">
        <f>30650</f>
        <v>30650</v>
      </c>
      <c r="R275" s="32" t="s">
        <v>791</v>
      </c>
      <c r="S275" s="33">
        <f>30137.67</f>
        <v>30137.67</v>
      </c>
      <c r="T275" s="30">
        <f>36</f>
        <v>36</v>
      </c>
      <c r="U275" s="30" t="str">
        <f>"－"</f>
        <v>－</v>
      </c>
      <c r="V275" s="30">
        <f>1082730</f>
        <v>1082730</v>
      </c>
      <c r="W275" s="30" t="str">
        <f>"－"</f>
        <v>－</v>
      </c>
      <c r="X275" s="34">
        <f>15</f>
        <v>15</v>
      </c>
    </row>
    <row r="276" spans="1:24" ht="13.5" customHeight="1" x14ac:dyDescent="0.15">
      <c r="A276" s="25" t="s">
        <v>1139</v>
      </c>
      <c r="B276" s="25" t="s">
        <v>842</v>
      </c>
      <c r="C276" s="25" t="s">
        <v>843</v>
      </c>
      <c r="D276" s="25" t="s">
        <v>844</v>
      </c>
      <c r="E276" s="26" t="s">
        <v>45</v>
      </c>
      <c r="F276" s="27" t="s">
        <v>45</v>
      </c>
      <c r="G276" s="28" t="s">
        <v>45</v>
      </c>
      <c r="H276" s="29"/>
      <c r="I276" s="29" t="s">
        <v>46</v>
      </c>
      <c r="J276" s="30">
        <v>1</v>
      </c>
      <c r="K276" s="31">
        <f>2379</f>
        <v>2379</v>
      </c>
      <c r="L276" s="32" t="s">
        <v>995</v>
      </c>
      <c r="M276" s="31">
        <f>2379</f>
        <v>2379</v>
      </c>
      <c r="N276" s="32" t="s">
        <v>995</v>
      </c>
      <c r="O276" s="31">
        <f>2266</f>
        <v>2266</v>
      </c>
      <c r="P276" s="32" t="s">
        <v>788</v>
      </c>
      <c r="Q276" s="31">
        <f>2365</f>
        <v>2365</v>
      </c>
      <c r="R276" s="32" t="s">
        <v>791</v>
      </c>
      <c r="S276" s="33">
        <f>2321.19</f>
        <v>2321.19</v>
      </c>
      <c r="T276" s="30">
        <f>927</f>
        <v>927</v>
      </c>
      <c r="U276" s="30" t="str">
        <f>"－"</f>
        <v>－</v>
      </c>
      <c r="V276" s="30">
        <f>2148749</f>
        <v>2148749</v>
      </c>
      <c r="W276" s="30" t="str">
        <f>"－"</f>
        <v>－</v>
      </c>
      <c r="X276" s="34">
        <f>21</f>
        <v>21</v>
      </c>
    </row>
    <row r="277" spans="1:24" ht="13.5" customHeight="1" x14ac:dyDescent="0.15">
      <c r="A277" s="25" t="s">
        <v>1139</v>
      </c>
      <c r="B277" s="25" t="s">
        <v>845</v>
      </c>
      <c r="C277" s="25" t="s">
        <v>846</v>
      </c>
      <c r="D277" s="25" t="s">
        <v>847</v>
      </c>
      <c r="E277" s="26" t="s">
        <v>45</v>
      </c>
      <c r="F277" s="27" t="s">
        <v>45</v>
      </c>
      <c r="G277" s="28" t="s">
        <v>45</v>
      </c>
      <c r="H277" s="29"/>
      <c r="I277" s="29" t="s">
        <v>46</v>
      </c>
      <c r="J277" s="30">
        <v>1</v>
      </c>
      <c r="K277" s="31">
        <f>3320</f>
        <v>3320</v>
      </c>
      <c r="L277" s="32" t="s">
        <v>995</v>
      </c>
      <c r="M277" s="31">
        <f>3370</f>
        <v>3370</v>
      </c>
      <c r="N277" s="32" t="s">
        <v>995</v>
      </c>
      <c r="O277" s="31">
        <f>3035</f>
        <v>3035</v>
      </c>
      <c r="P277" s="32" t="s">
        <v>788</v>
      </c>
      <c r="Q277" s="31">
        <f>3225</f>
        <v>3225</v>
      </c>
      <c r="R277" s="32" t="s">
        <v>791</v>
      </c>
      <c r="S277" s="33">
        <f>3159.77</f>
        <v>3159.77</v>
      </c>
      <c r="T277" s="30">
        <f>1686289</f>
        <v>1686289</v>
      </c>
      <c r="U277" s="30">
        <f>90500</f>
        <v>90500</v>
      </c>
      <c r="V277" s="30">
        <f>5375434237</f>
        <v>5375434237</v>
      </c>
      <c r="W277" s="30">
        <f>294789717</f>
        <v>294789717</v>
      </c>
      <c r="X277" s="34">
        <f>22</f>
        <v>22</v>
      </c>
    </row>
    <row r="278" spans="1:24" ht="13.5" customHeight="1" x14ac:dyDescent="0.15">
      <c r="A278" s="25" t="s">
        <v>1139</v>
      </c>
      <c r="B278" s="25" t="s">
        <v>848</v>
      </c>
      <c r="C278" s="25" t="s">
        <v>849</v>
      </c>
      <c r="D278" s="25" t="s">
        <v>850</v>
      </c>
      <c r="E278" s="26" t="s">
        <v>45</v>
      </c>
      <c r="F278" s="27" t="s">
        <v>45</v>
      </c>
      <c r="G278" s="28" t="s">
        <v>45</v>
      </c>
      <c r="H278" s="29"/>
      <c r="I278" s="29" t="s">
        <v>46</v>
      </c>
      <c r="J278" s="30">
        <v>1</v>
      </c>
      <c r="K278" s="31">
        <f>1943</f>
        <v>1943</v>
      </c>
      <c r="L278" s="32" t="s">
        <v>995</v>
      </c>
      <c r="M278" s="31">
        <f>1993</f>
        <v>1993</v>
      </c>
      <c r="N278" s="32" t="s">
        <v>1005</v>
      </c>
      <c r="O278" s="31">
        <f>1887</f>
        <v>1887</v>
      </c>
      <c r="P278" s="32" t="s">
        <v>788</v>
      </c>
      <c r="Q278" s="31">
        <f>1965</f>
        <v>1965</v>
      </c>
      <c r="R278" s="32" t="s">
        <v>791</v>
      </c>
      <c r="S278" s="33">
        <f>1939.86</f>
        <v>1939.86</v>
      </c>
      <c r="T278" s="30">
        <f>19709</f>
        <v>19709</v>
      </c>
      <c r="U278" s="30" t="str">
        <f>"－"</f>
        <v>－</v>
      </c>
      <c r="V278" s="30">
        <f>38563058</f>
        <v>38563058</v>
      </c>
      <c r="W278" s="30" t="str">
        <f>"－"</f>
        <v>－</v>
      </c>
      <c r="X278" s="34">
        <f>22</f>
        <v>22</v>
      </c>
    </row>
    <row r="279" spans="1:24" ht="13.5" customHeight="1" x14ac:dyDescent="0.15">
      <c r="A279" s="25" t="s">
        <v>1139</v>
      </c>
      <c r="B279" s="25" t="s">
        <v>851</v>
      </c>
      <c r="C279" s="25" t="s">
        <v>852</v>
      </c>
      <c r="D279" s="25" t="s">
        <v>853</v>
      </c>
      <c r="E279" s="26" t="s">
        <v>45</v>
      </c>
      <c r="F279" s="27" t="s">
        <v>45</v>
      </c>
      <c r="G279" s="28" t="s">
        <v>45</v>
      </c>
      <c r="H279" s="29"/>
      <c r="I279" s="29" t="s">
        <v>46</v>
      </c>
      <c r="J279" s="30">
        <v>1</v>
      </c>
      <c r="K279" s="31">
        <f>1713</f>
        <v>1713</v>
      </c>
      <c r="L279" s="32" t="s">
        <v>995</v>
      </c>
      <c r="M279" s="31">
        <f>1730</f>
        <v>1730</v>
      </c>
      <c r="N279" s="32" t="s">
        <v>995</v>
      </c>
      <c r="O279" s="31">
        <f>1610</f>
        <v>1610</v>
      </c>
      <c r="P279" s="32" t="s">
        <v>792</v>
      </c>
      <c r="Q279" s="31">
        <f>1717</f>
        <v>1717</v>
      </c>
      <c r="R279" s="32" t="s">
        <v>791</v>
      </c>
      <c r="S279" s="33">
        <f>1673.27</f>
        <v>1673.27</v>
      </c>
      <c r="T279" s="30">
        <f>12491</f>
        <v>12491</v>
      </c>
      <c r="U279" s="30" t="str">
        <f>"－"</f>
        <v>－</v>
      </c>
      <c r="V279" s="30">
        <f>21103756</f>
        <v>21103756</v>
      </c>
      <c r="W279" s="30" t="str">
        <f>"－"</f>
        <v>－</v>
      </c>
      <c r="X279" s="34">
        <f>22</f>
        <v>22</v>
      </c>
    </row>
    <row r="280" spans="1:24" ht="13.5" customHeight="1" x14ac:dyDescent="0.15">
      <c r="A280" s="25" t="s">
        <v>1139</v>
      </c>
      <c r="B280" s="25" t="s">
        <v>854</v>
      </c>
      <c r="C280" s="25" t="s">
        <v>855</v>
      </c>
      <c r="D280" s="25" t="s">
        <v>856</v>
      </c>
      <c r="E280" s="26" t="s">
        <v>45</v>
      </c>
      <c r="F280" s="27" t="s">
        <v>45</v>
      </c>
      <c r="G280" s="28" t="s">
        <v>45</v>
      </c>
      <c r="H280" s="29"/>
      <c r="I280" s="29" t="s">
        <v>46</v>
      </c>
      <c r="J280" s="30">
        <v>10</v>
      </c>
      <c r="K280" s="31">
        <f>5306</f>
        <v>5306</v>
      </c>
      <c r="L280" s="32" t="s">
        <v>995</v>
      </c>
      <c r="M280" s="31">
        <f>5400</f>
        <v>5400</v>
      </c>
      <c r="N280" s="32" t="s">
        <v>791</v>
      </c>
      <c r="O280" s="31">
        <f>5238</f>
        <v>5238</v>
      </c>
      <c r="P280" s="32" t="s">
        <v>785</v>
      </c>
      <c r="Q280" s="31">
        <f>5400</f>
        <v>5400</v>
      </c>
      <c r="R280" s="32" t="s">
        <v>791</v>
      </c>
      <c r="S280" s="33">
        <f>5326.6</f>
        <v>5326.6</v>
      </c>
      <c r="T280" s="30">
        <f>406150</f>
        <v>406150</v>
      </c>
      <c r="U280" s="30">
        <f>251900</f>
        <v>251900</v>
      </c>
      <c r="V280" s="30">
        <f>2159033849</f>
        <v>2159033849</v>
      </c>
      <c r="W280" s="30">
        <f>1336620299</f>
        <v>1336620299</v>
      </c>
      <c r="X280" s="34">
        <f>20</f>
        <v>20</v>
      </c>
    </row>
    <row r="281" spans="1:24" ht="13.5" customHeight="1" x14ac:dyDescent="0.15">
      <c r="A281" s="25" t="s">
        <v>1139</v>
      </c>
      <c r="B281" s="25" t="s">
        <v>857</v>
      </c>
      <c r="C281" s="25" t="s">
        <v>858</v>
      </c>
      <c r="D281" s="25" t="s">
        <v>859</v>
      </c>
      <c r="E281" s="26" t="s">
        <v>45</v>
      </c>
      <c r="F281" s="27" t="s">
        <v>45</v>
      </c>
      <c r="G281" s="28" t="s">
        <v>45</v>
      </c>
      <c r="H281" s="29"/>
      <c r="I281" s="29" t="s">
        <v>46</v>
      </c>
      <c r="J281" s="30">
        <v>10</v>
      </c>
      <c r="K281" s="31">
        <f>3973</f>
        <v>3973</v>
      </c>
      <c r="L281" s="32" t="s">
        <v>995</v>
      </c>
      <c r="M281" s="31">
        <f>3973</f>
        <v>3973</v>
      </c>
      <c r="N281" s="32" t="s">
        <v>995</v>
      </c>
      <c r="O281" s="31">
        <f>3845</f>
        <v>3845</v>
      </c>
      <c r="P281" s="32" t="s">
        <v>1001</v>
      </c>
      <c r="Q281" s="31">
        <f>3906</f>
        <v>3906</v>
      </c>
      <c r="R281" s="32" t="s">
        <v>791</v>
      </c>
      <c r="S281" s="33">
        <f>3896.05</f>
        <v>3896.05</v>
      </c>
      <c r="T281" s="30">
        <f>2264510</f>
        <v>2264510</v>
      </c>
      <c r="U281" s="30">
        <f>1992300</f>
        <v>1992300</v>
      </c>
      <c r="V281" s="30">
        <f>8741044230</f>
        <v>8741044230</v>
      </c>
      <c r="W281" s="30">
        <f>7673268720</f>
        <v>7673268720</v>
      </c>
      <c r="X281" s="34">
        <f>20</f>
        <v>20</v>
      </c>
    </row>
    <row r="282" spans="1:24" ht="13.5" customHeight="1" x14ac:dyDescent="0.15">
      <c r="A282" s="25" t="s">
        <v>1139</v>
      </c>
      <c r="B282" s="25" t="s">
        <v>860</v>
      </c>
      <c r="C282" s="25" t="s">
        <v>861</v>
      </c>
      <c r="D282" s="25" t="s">
        <v>862</v>
      </c>
      <c r="E282" s="26" t="s">
        <v>45</v>
      </c>
      <c r="F282" s="27" t="s">
        <v>45</v>
      </c>
      <c r="G282" s="28" t="s">
        <v>45</v>
      </c>
      <c r="H282" s="29"/>
      <c r="I282" s="29" t="s">
        <v>46</v>
      </c>
      <c r="J282" s="30">
        <v>10</v>
      </c>
      <c r="K282" s="31">
        <f>661.1</f>
        <v>661.1</v>
      </c>
      <c r="L282" s="32" t="s">
        <v>999</v>
      </c>
      <c r="M282" s="31">
        <f>665</f>
        <v>665</v>
      </c>
      <c r="N282" s="32" t="s">
        <v>875</v>
      </c>
      <c r="O282" s="31">
        <f>646</f>
        <v>646</v>
      </c>
      <c r="P282" s="32" t="s">
        <v>894</v>
      </c>
      <c r="Q282" s="31">
        <f>658</f>
        <v>658</v>
      </c>
      <c r="R282" s="32" t="s">
        <v>791</v>
      </c>
      <c r="S282" s="33">
        <f>655.25</f>
        <v>655.25</v>
      </c>
      <c r="T282" s="30">
        <f>13300</f>
        <v>13300</v>
      </c>
      <c r="U282" s="30" t="str">
        <f>"－"</f>
        <v>－</v>
      </c>
      <c r="V282" s="30">
        <f>8680811</f>
        <v>8680811</v>
      </c>
      <c r="W282" s="30" t="str">
        <f>"－"</f>
        <v>－</v>
      </c>
      <c r="X282" s="34">
        <f>19</f>
        <v>19</v>
      </c>
    </row>
    <row r="283" spans="1:24" ht="13.5" customHeight="1" x14ac:dyDescent="0.15">
      <c r="A283" s="25" t="s">
        <v>1139</v>
      </c>
      <c r="B283" s="25" t="s">
        <v>863</v>
      </c>
      <c r="C283" s="25" t="s">
        <v>864</v>
      </c>
      <c r="D283" s="25" t="s">
        <v>865</v>
      </c>
      <c r="E283" s="26" t="s">
        <v>45</v>
      </c>
      <c r="F283" s="27" t="s">
        <v>45</v>
      </c>
      <c r="G283" s="28" t="s">
        <v>45</v>
      </c>
      <c r="H283" s="29"/>
      <c r="I283" s="29" t="s">
        <v>46</v>
      </c>
      <c r="J283" s="30">
        <v>1</v>
      </c>
      <c r="K283" s="31">
        <f>2245</f>
        <v>2245</v>
      </c>
      <c r="L283" s="32" t="s">
        <v>995</v>
      </c>
      <c r="M283" s="31">
        <f>2245</f>
        <v>2245</v>
      </c>
      <c r="N283" s="32" t="s">
        <v>995</v>
      </c>
      <c r="O283" s="31">
        <f>2088</f>
        <v>2088</v>
      </c>
      <c r="P283" s="32" t="s">
        <v>788</v>
      </c>
      <c r="Q283" s="31">
        <f>2183</f>
        <v>2183</v>
      </c>
      <c r="R283" s="32" t="s">
        <v>791</v>
      </c>
      <c r="S283" s="33">
        <f>2160.64</f>
        <v>2160.64</v>
      </c>
      <c r="T283" s="30">
        <f>5435</f>
        <v>5435</v>
      </c>
      <c r="U283" s="30" t="str">
        <f>"－"</f>
        <v>－</v>
      </c>
      <c r="V283" s="30">
        <f>11743217</f>
        <v>11743217</v>
      </c>
      <c r="W283" s="30" t="str">
        <f>"－"</f>
        <v>－</v>
      </c>
      <c r="X283" s="34">
        <f>22</f>
        <v>22</v>
      </c>
    </row>
    <row r="284" spans="1:24" ht="13.5" customHeight="1" x14ac:dyDescent="0.15">
      <c r="A284" s="25" t="s">
        <v>1139</v>
      </c>
      <c r="B284" s="25" t="s">
        <v>866</v>
      </c>
      <c r="C284" s="25" t="s">
        <v>867</v>
      </c>
      <c r="D284" s="25" t="s">
        <v>868</v>
      </c>
      <c r="E284" s="26" t="s">
        <v>45</v>
      </c>
      <c r="F284" s="27" t="s">
        <v>45</v>
      </c>
      <c r="G284" s="28" t="s">
        <v>45</v>
      </c>
      <c r="H284" s="29"/>
      <c r="I284" s="29" t="s">
        <v>46</v>
      </c>
      <c r="J284" s="30">
        <v>1</v>
      </c>
      <c r="K284" s="31">
        <f>2138</f>
        <v>2138</v>
      </c>
      <c r="L284" s="32" t="s">
        <v>995</v>
      </c>
      <c r="M284" s="31">
        <f>2138</f>
        <v>2138</v>
      </c>
      <c r="N284" s="32" t="s">
        <v>995</v>
      </c>
      <c r="O284" s="31">
        <f>2021</f>
        <v>2021</v>
      </c>
      <c r="P284" s="32" t="s">
        <v>788</v>
      </c>
      <c r="Q284" s="31">
        <f>2128</f>
        <v>2128</v>
      </c>
      <c r="R284" s="32" t="s">
        <v>791</v>
      </c>
      <c r="S284" s="33">
        <f>2086.36</f>
        <v>2086.36</v>
      </c>
      <c r="T284" s="30">
        <f>1871</f>
        <v>1871</v>
      </c>
      <c r="U284" s="30" t="str">
        <f>"－"</f>
        <v>－</v>
      </c>
      <c r="V284" s="30">
        <f>3919442</f>
        <v>3919442</v>
      </c>
      <c r="W284" s="30" t="str">
        <f>"－"</f>
        <v>－</v>
      </c>
      <c r="X284" s="34">
        <f>22</f>
        <v>22</v>
      </c>
    </row>
    <row r="285" spans="1:24" ht="13.5" customHeight="1" x14ac:dyDescent="0.15">
      <c r="A285" s="25" t="s">
        <v>1139</v>
      </c>
      <c r="B285" s="25" t="s">
        <v>869</v>
      </c>
      <c r="C285" s="25" t="s">
        <v>870</v>
      </c>
      <c r="D285" s="25" t="s">
        <v>871</v>
      </c>
      <c r="E285" s="26" t="s">
        <v>45</v>
      </c>
      <c r="F285" s="27" t="s">
        <v>45</v>
      </c>
      <c r="G285" s="28" t="s">
        <v>45</v>
      </c>
      <c r="H285" s="29"/>
      <c r="I285" s="29" t="s">
        <v>46</v>
      </c>
      <c r="J285" s="30">
        <v>1</v>
      </c>
      <c r="K285" s="31">
        <f>7939</f>
        <v>7939</v>
      </c>
      <c r="L285" s="32" t="s">
        <v>995</v>
      </c>
      <c r="M285" s="31">
        <f>8046</f>
        <v>8046</v>
      </c>
      <c r="N285" s="32" t="s">
        <v>791</v>
      </c>
      <c r="O285" s="31">
        <f>7819</f>
        <v>7819</v>
      </c>
      <c r="P285" s="32" t="s">
        <v>785</v>
      </c>
      <c r="Q285" s="31">
        <f>8030</f>
        <v>8030</v>
      </c>
      <c r="R285" s="32" t="s">
        <v>791</v>
      </c>
      <c r="S285" s="33">
        <f>7933.05</f>
        <v>7933.05</v>
      </c>
      <c r="T285" s="30">
        <f>450839</f>
        <v>450839</v>
      </c>
      <c r="U285" s="30">
        <f>402586</f>
        <v>402586</v>
      </c>
      <c r="V285" s="30">
        <f>3579605047</f>
        <v>3579605047</v>
      </c>
      <c r="W285" s="30">
        <f>3195937813</f>
        <v>3195937813</v>
      </c>
      <c r="X285" s="34">
        <f>22</f>
        <v>22</v>
      </c>
    </row>
    <row r="286" spans="1:24" ht="13.5" customHeight="1" x14ac:dyDescent="0.15">
      <c r="A286" s="25" t="s">
        <v>1139</v>
      </c>
      <c r="B286" s="25" t="s">
        <v>872</v>
      </c>
      <c r="C286" s="25" t="s">
        <v>873</v>
      </c>
      <c r="D286" s="25" t="s">
        <v>874</v>
      </c>
      <c r="E286" s="26" t="s">
        <v>45</v>
      </c>
      <c r="F286" s="27" t="s">
        <v>45</v>
      </c>
      <c r="G286" s="28" t="s">
        <v>45</v>
      </c>
      <c r="H286" s="29"/>
      <c r="I286" s="29" t="s">
        <v>46</v>
      </c>
      <c r="J286" s="30">
        <v>1</v>
      </c>
      <c r="K286" s="31">
        <f>5885</f>
        <v>5885</v>
      </c>
      <c r="L286" s="32" t="s">
        <v>995</v>
      </c>
      <c r="M286" s="31">
        <f>5902</f>
        <v>5902</v>
      </c>
      <c r="N286" s="32" t="s">
        <v>995</v>
      </c>
      <c r="O286" s="31">
        <f>5690</f>
        <v>5690</v>
      </c>
      <c r="P286" s="32" t="s">
        <v>1001</v>
      </c>
      <c r="Q286" s="31">
        <f>5790</f>
        <v>5790</v>
      </c>
      <c r="R286" s="32" t="s">
        <v>791</v>
      </c>
      <c r="S286" s="33">
        <f>5797.05</f>
        <v>5797.05</v>
      </c>
      <c r="T286" s="30">
        <f>96343</f>
        <v>96343</v>
      </c>
      <c r="U286" s="30">
        <f>68710</f>
        <v>68710</v>
      </c>
      <c r="V286" s="30">
        <f>559239556</f>
        <v>559239556</v>
      </c>
      <c r="W286" s="30">
        <f>399126156</f>
        <v>399126156</v>
      </c>
      <c r="X286" s="34">
        <f>22</f>
        <v>22</v>
      </c>
    </row>
    <row r="287" spans="1:24" ht="13.5" customHeight="1" x14ac:dyDescent="0.15">
      <c r="A287" s="25" t="s">
        <v>1139</v>
      </c>
      <c r="B287" s="25" t="s">
        <v>878</v>
      </c>
      <c r="C287" s="25" t="s">
        <v>879</v>
      </c>
      <c r="D287" s="25" t="s">
        <v>880</v>
      </c>
      <c r="E287" s="26" t="s">
        <v>45</v>
      </c>
      <c r="F287" s="27" t="s">
        <v>45</v>
      </c>
      <c r="G287" s="28" t="s">
        <v>45</v>
      </c>
      <c r="H287" s="29"/>
      <c r="I287" s="29" t="s">
        <v>46</v>
      </c>
      <c r="J287" s="30">
        <v>1</v>
      </c>
      <c r="K287" s="31">
        <f>20930</f>
        <v>20930</v>
      </c>
      <c r="L287" s="32" t="s">
        <v>995</v>
      </c>
      <c r="M287" s="31">
        <f>21110</f>
        <v>21110</v>
      </c>
      <c r="N287" s="32" t="s">
        <v>791</v>
      </c>
      <c r="O287" s="31">
        <f>19895</f>
        <v>19895</v>
      </c>
      <c r="P287" s="32" t="s">
        <v>998</v>
      </c>
      <c r="Q287" s="31">
        <f>21065</f>
        <v>21065</v>
      </c>
      <c r="R287" s="32" t="s">
        <v>791</v>
      </c>
      <c r="S287" s="33">
        <f>20499.77</f>
        <v>20499.77</v>
      </c>
      <c r="T287" s="30">
        <f>426777</f>
        <v>426777</v>
      </c>
      <c r="U287" s="30">
        <f>70</f>
        <v>70</v>
      </c>
      <c r="V287" s="30">
        <f>8784264975</f>
        <v>8784264975</v>
      </c>
      <c r="W287" s="30">
        <f>1467175</f>
        <v>1467175</v>
      </c>
      <c r="X287" s="34">
        <f>22</f>
        <v>22</v>
      </c>
    </row>
    <row r="288" spans="1:24" ht="13.5" customHeight="1" x14ac:dyDescent="0.15">
      <c r="A288" s="25" t="s">
        <v>1139</v>
      </c>
      <c r="B288" s="25" t="s">
        <v>881</v>
      </c>
      <c r="C288" s="25" t="s">
        <v>882</v>
      </c>
      <c r="D288" s="25" t="s">
        <v>883</v>
      </c>
      <c r="E288" s="26" t="s">
        <v>45</v>
      </c>
      <c r="F288" s="27" t="s">
        <v>45</v>
      </c>
      <c r="G288" s="28" t="s">
        <v>45</v>
      </c>
      <c r="H288" s="29"/>
      <c r="I288" s="29" t="s">
        <v>46</v>
      </c>
      <c r="J288" s="30">
        <v>1</v>
      </c>
      <c r="K288" s="31">
        <f>10440</f>
        <v>10440</v>
      </c>
      <c r="L288" s="32" t="s">
        <v>995</v>
      </c>
      <c r="M288" s="31">
        <f>10460</f>
        <v>10460</v>
      </c>
      <c r="N288" s="32" t="s">
        <v>995</v>
      </c>
      <c r="O288" s="31">
        <f>9689</f>
        <v>9689</v>
      </c>
      <c r="P288" s="32" t="s">
        <v>998</v>
      </c>
      <c r="Q288" s="31">
        <f>10205</f>
        <v>10205</v>
      </c>
      <c r="R288" s="32" t="s">
        <v>791</v>
      </c>
      <c r="S288" s="33">
        <f>10029.23</f>
        <v>10029.23</v>
      </c>
      <c r="T288" s="30">
        <f>560538</f>
        <v>560538</v>
      </c>
      <c r="U288" s="30">
        <f>97101</f>
        <v>97101</v>
      </c>
      <c r="V288" s="30">
        <f>5642258593</f>
        <v>5642258593</v>
      </c>
      <c r="W288" s="30">
        <f>987399675</f>
        <v>987399675</v>
      </c>
      <c r="X288" s="34">
        <f>22</f>
        <v>22</v>
      </c>
    </row>
    <row r="289" spans="1:24" ht="13.5" customHeight="1" x14ac:dyDescent="0.15">
      <c r="A289" s="25" t="s">
        <v>1139</v>
      </c>
      <c r="B289" s="25" t="s">
        <v>884</v>
      </c>
      <c r="C289" s="25" t="s">
        <v>885</v>
      </c>
      <c r="D289" s="25" t="s">
        <v>886</v>
      </c>
      <c r="E289" s="26" t="s">
        <v>45</v>
      </c>
      <c r="F289" s="27" t="s">
        <v>45</v>
      </c>
      <c r="G289" s="28" t="s">
        <v>45</v>
      </c>
      <c r="H289" s="29"/>
      <c r="I289" s="29" t="s">
        <v>46</v>
      </c>
      <c r="J289" s="30">
        <v>1</v>
      </c>
      <c r="K289" s="31">
        <f>23090</f>
        <v>23090</v>
      </c>
      <c r="L289" s="32" t="s">
        <v>995</v>
      </c>
      <c r="M289" s="31">
        <f>24835</f>
        <v>24835</v>
      </c>
      <c r="N289" s="32" t="s">
        <v>998</v>
      </c>
      <c r="O289" s="31">
        <f>23060</f>
        <v>23060</v>
      </c>
      <c r="P289" s="32" t="s">
        <v>995</v>
      </c>
      <c r="Q289" s="31">
        <f>23535</f>
        <v>23535</v>
      </c>
      <c r="R289" s="32" t="s">
        <v>791</v>
      </c>
      <c r="S289" s="33">
        <f>24015.68</f>
        <v>24015.68</v>
      </c>
      <c r="T289" s="30">
        <f>391179</f>
        <v>391179</v>
      </c>
      <c r="U289" s="30">
        <f>115400</f>
        <v>115400</v>
      </c>
      <c r="V289" s="30">
        <f>9416908780</f>
        <v>9416908780</v>
      </c>
      <c r="W289" s="30">
        <f>2774782200</f>
        <v>2774782200</v>
      </c>
      <c r="X289" s="34">
        <f>22</f>
        <v>22</v>
      </c>
    </row>
    <row r="290" spans="1:24" ht="13.5" customHeight="1" x14ac:dyDescent="0.15">
      <c r="A290" s="25" t="s">
        <v>1139</v>
      </c>
      <c r="B290" s="25" t="s">
        <v>887</v>
      </c>
      <c r="C290" s="25" t="s">
        <v>888</v>
      </c>
      <c r="D290" s="25" t="s">
        <v>889</v>
      </c>
      <c r="E290" s="26" t="s">
        <v>45</v>
      </c>
      <c r="F290" s="27" t="s">
        <v>45</v>
      </c>
      <c r="G290" s="28" t="s">
        <v>45</v>
      </c>
      <c r="H290" s="29"/>
      <c r="I290" s="29" t="s">
        <v>46</v>
      </c>
      <c r="J290" s="30">
        <v>10</v>
      </c>
      <c r="K290" s="31">
        <f>4277</f>
        <v>4277</v>
      </c>
      <c r="L290" s="32" t="s">
        <v>995</v>
      </c>
      <c r="M290" s="31">
        <f>4373</f>
        <v>4373</v>
      </c>
      <c r="N290" s="32" t="s">
        <v>788</v>
      </c>
      <c r="O290" s="31">
        <f>4140</f>
        <v>4140</v>
      </c>
      <c r="P290" s="32" t="s">
        <v>1001</v>
      </c>
      <c r="Q290" s="31">
        <f>4238</f>
        <v>4238</v>
      </c>
      <c r="R290" s="32" t="s">
        <v>791</v>
      </c>
      <c r="S290" s="33">
        <f>4210.06</f>
        <v>4210.0600000000004</v>
      </c>
      <c r="T290" s="30">
        <f>381540</f>
        <v>381540</v>
      </c>
      <c r="U290" s="30">
        <f>370000</f>
        <v>370000</v>
      </c>
      <c r="V290" s="30">
        <f>1607157846</f>
        <v>1607157846</v>
      </c>
      <c r="W290" s="30">
        <f>1558920716</f>
        <v>1558920716</v>
      </c>
      <c r="X290" s="34">
        <f>17</f>
        <v>17</v>
      </c>
    </row>
    <row r="291" spans="1:24" ht="13.5" customHeight="1" x14ac:dyDescent="0.15">
      <c r="A291" s="25" t="s">
        <v>1139</v>
      </c>
      <c r="B291" s="25" t="s">
        <v>890</v>
      </c>
      <c r="C291" s="25" t="s">
        <v>891</v>
      </c>
      <c r="D291" s="25" t="s">
        <v>892</v>
      </c>
      <c r="E291" s="26" t="s">
        <v>45</v>
      </c>
      <c r="F291" s="27" t="s">
        <v>45</v>
      </c>
      <c r="G291" s="28" t="s">
        <v>45</v>
      </c>
      <c r="H291" s="29"/>
      <c r="I291" s="29" t="s">
        <v>46</v>
      </c>
      <c r="J291" s="30">
        <v>10</v>
      </c>
      <c r="K291" s="31">
        <f>5082</f>
        <v>5082</v>
      </c>
      <c r="L291" s="32" t="s">
        <v>995</v>
      </c>
      <c r="M291" s="31">
        <f>5136</f>
        <v>5136</v>
      </c>
      <c r="N291" s="32" t="s">
        <v>1005</v>
      </c>
      <c r="O291" s="31">
        <f>4826</f>
        <v>4826</v>
      </c>
      <c r="P291" s="32" t="s">
        <v>792</v>
      </c>
      <c r="Q291" s="31">
        <f>5011</f>
        <v>5011</v>
      </c>
      <c r="R291" s="32" t="s">
        <v>791</v>
      </c>
      <c r="S291" s="33">
        <f>4931.9</f>
        <v>4931.8999999999996</v>
      </c>
      <c r="T291" s="30">
        <f>65400</f>
        <v>65400</v>
      </c>
      <c r="U291" s="30">
        <f>4010</f>
        <v>4010</v>
      </c>
      <c r="V291" s="30">
        <f>321086650</f>
        <v>321086650</v>
      </c>
      <c r="W291" s="30">
        <f>20075760</f>
        <v>20075760</v>
      </c>
      <c r="X291" s="34">
        <f>20</f>
        <v>20</v>
      </c>
    </row>
    <row r="292" spans="1:24" ht="13.5" customHeight="1" x14ac:dyDescent="0.15">
      <c r="A292" s="25" t="s">
        <v>1139</v>
      </c>
      <c r="B292" s="25" t="s">
        <v>902</v>
      </c>
      <c r="C292" s="25" t="s">
        <v>903</v>
      </c>
      <c r="D292" s="25" t="s">
        <v>904</v>
      </c>
      <c r="E292" s="26" t="s">
        <v>45</v>
      </c>
      <c r="F292" s="27" t="s">
        <v>45</v>
      </c>
      <c r="G292" s="28" t="s">
        <v>45</v>
      </c>
      <c r="H292" s="29"/>
      <c r="I292" s="29" t="s">
        <v>46</v>
      </c>
      <c r="J292" s="30">
        <v>10</v>
      </c>
      <c r="K292" s="31">
        <f>2183</f>
        <v>2183</v>
      </c>
      <c r="L292" s="32" t="s">
        <v>995</v>
      </c>
      <c r="M292" s="31">
        <f>2186.5</f>
        <v>2186.5</v>
      </c>
      <c r="N292" s="32" t="s">
        <v>995</v>
      </c>
      <c r="O292" s="31">
        <f>2017</f>
        <v>2017</v>
      </c>
      <c r="P292" s="32" t="s">
        <v>998</v>
      </c>
      <c r="Q292" s="31">
        <f>2127.5</f>
        <v>2127.5</v>
      </c>
      <c r="R292" s="32" t="s">
        <v>791</v>
      </c>
      <c r="S292" s="33">
        <f>2091.82</f>
        <v>2091.8200000000002</v>
      </c>
      <c r="T292" s="30">
        <f>1526150</f>
        <v>1526150</v>
      </c>
      <c r="U292" s="30">
        <f>21260</f>
        <v>21260</v>
      </c>
      <c r="V292" s="30">
        <f>3211365785</f>
        <v>3211365785</v>
      </c>
      <c r="W292" s="30">
        <f>45302995</f>
        <v>45302995</v>
      </c>
      <c r="X292" s="34">
        <f>22</f>
        <v>22</v>
      </c>
    </row>
    <row r="293" spans="1:24" ht="13.5" customHeight="1" x14ac:dyDescent="0.15">
      <c r="A293" s="25" t="s">
        <v>1139</v>
      </c>
      <c r="B293" s="25" t="s">
        <v>905</v>
      </c>
      <c r="C293" s="25" t="s">
        <v>906</v>
      </c>
      <c r="D293" s="25" t="s">
        <v>907</v>
      </c>
      <c r="E293" s="26" t="s">
        <v>45</v>
      </c>
      <c r="F293" s="27" t="s">
        <v>45</v>
      </c>
      <c r="G293" s="28" t="s">
        <v>45</v>
      </c>
      <c r="H293" s="29"/>
      <c r="I293" s="29" t="s">
        <v>46</v>
      </c>
      <c r="J293" s="30">
        <v>10</v>
      </c>
      <c r="K293" s="31">
        <f>1993</f>
        <v>1993</v>
      </c>
      <c r="L293" s="32" t="s">
        <v>995</v>
      </c>
      <c r="M293" s="31">
        <f>1994</f>
        <v>1994</v>
      </c>
      <c r="N293" s="32" t="s">
        <v>995</v>
      </c>
      <c r="O293" s="31">
        <f>1892.5</f>
        <v>1892.5</v>
      </c>
      <c r="P293" s="32" t="s">
        <v>789</v>
      </c>
      <c r="Q293" s="31">
        <f>1942</f>
        <v>1942</v>
      </c>
      <c r="R293" s="32" t="s">
        <v>791</v>
      </c>
      <c r="S293" s="33">
        <f>1944.05</f>
        <v>1944.05</v>
      </c>
      <c r="T293" s="30">
        <f>1148490</f>
        <v>1148490</v>
      </c>
      <c r="U293" s="30" t="str">
        <f>"－"</f>
        <v>－</v>
      </c>
      <c r="V293" s="30">
        <f>2194692775</f>
        <v>2194692775</v>
      </c>
      <c r="W293" s="30" t="str">
        <f>"－"</f>
        <v>－</v>
      </c>
      <c r="X293" s="34">
        <f>22</f>
        <v>22</v>
      </c>
    </row>
    <row r="294" spans="1:24" ht="13.5" customHeight="1" x14ac:dyDescent="0.15">
      <c r="A294" s="25" t="s">
        <v>1139</v>
      </c>
      <c r="B294" s="25" t="s">
        <v>908</v>
      </c>
      <c r="C294" s="25" t="s">
        <v>909</v>
      </c>
      <c r="D294" s="25" t="s">
        <v>910</v>
      </c>
      <c r="E294" s="26" t="s">
        <v>45</v>
      </c>
      <c r="F294" s="27" t="s">
        <v>45</v>
      </c>
      <c r="G294" s="28" t="s">
        <v>45</v>
      </c>
      <c r="H294" s="29"/>
      <c r="I294" s="29" t="s">
        <v>46</v>
      </c>
      <c r="J294" s="30">
        <v>1</v>
      </c>
      <c r="K294" s="31">
        <f>1729</f>
        <v>1729</v>
      </c>
      <c r="L294" s="32" t="s">
        <v>995</v>
      </c>
      <c r="M294" s="31">
        <f>1730</f>
        <v>1730</v>
      </c>
      <c r="N294" s="32" t="s">
        <v>893</v>
      </c>
      <c r="O294" s="31">
        <f>1659</f>
        <v>1659</v>
      </c>
      <c r="P294" s="32" t="s">
        <v>785</v>
      </c>
      <c r="Q294" s="31">
        <f>1727</f>
        <v>1727</v>
      </c>
      <c r="R294" s="32" t="s">
        <v>893</v>
      </c>
      <c r="S294" s="33">
        <f>1693.9</f>
        <v>1693.9</v>
      </c>
      <c r="T294" s="30">
        <f>4189</f>
        <v>4189</v>
      </c>
      <c r="U294" s="30" t="str">
        <f>"－"</f>
        <v>－</v>
      </c>
      <c r="V294" s="30">
        <f>7073710</f>
        <v>7073710</v>
      </c>
      <c r="W294" s="30" t="str">
        <f>"－"</f>
        <v>－</v>
      </c>
      <c r="X294" s="34">
        <f>20</f>
        <v>20</v>
      </c>
    </row>
    <row r="295" spans="1:24" ht="13.5" customHeight="1" x14ac:dyDescent="0.15">
      <c r="A295" s="25" t="s">
        <v>1139</v>
      </c>
      <c r="B295" s="25" t="s">
        <v>911</v>
      </c>
      <c r="C295" s="25" t="s">
        <v>912</v>
      </c>
      <c r="D295" s="25" t="s">
        <v>913</v>
      </c>
      <c r="E295" s="26" t="s">
        <v>45</v>
      </c>
      <c r="F295" s="27" t="s">
        <v>45</v>
      </c>
      <c r="G295" s="28" t="s">
        <v>45</v>
      </c>
      <c r="H295" s="29"/>
      <c r="I295" s="29" t="s">
        <v>46</v>
      </c>
      <c r="J295" s="30">
        <v>1</v>
      </c>
      <c r="K295" s="31">
        <f>1824</f>
        <v>1824</v>
      </c>
      <c r="L295" s="32" t="s">
        <v>995</v>
      </c>
      <c r="M295" s="31">
        <f>1825</f>
        <v>1825</v>
      </c>
      <c r="N295" s="32" t="s">
        <v>995</v>
      </c>
      <c r="O295" s="31">
        <f>1733</f>
        <v>1733</v>
      </c>
      <c r="P295" s="32" t="s">
        <v>792</v>
      </c>
      <c r="Q295" s="31">
        <f>1797</f>
        <v>1797</v>
      </c>
      <c r="R295" s="32" t="s">
        <v>791</v>
      </c>
      <c r="S295" s="33">
        <f>1773.64</f>
        <v>1773.64</v>
      </c>
      <c r="T295" s="30">
        <f>1480</f>
        <v>1480</v>
      </c>
      <c r="U295" s="30" t="str">
        <f>"－"</f>
        <v>－</v>
      </c>
      <c r="V295" s="30">
        <f>2627570</f>
        <v>2627570</v>
      </c>
      <c r="W295" s="30" t="str">
        <f>"－"</f>
        <v>－</v>
      </c>
      <c r="X295" s="34">
        <f>22</f>
        <v>22</v>
      </c>
    </row>
    <row r="296" spans="1:24" ht="13.5" customHeight="1" x14ac:dyDescent="0.15">
      <c r="A296" s="25" t="s">
        <v>1139</v>
      </c>
      <c r="B296" s="25" t="s">
        <v>914</v>
      </c>
      <c r="C296" s="25" t="s">
        <v>915</v>
      </c>
      <c r="D296" s="25" t="s">
        <v>916</v>
      </c>
      <c r="E296" s="26" t="s">
        <v>45</v>
      </c>
      <c r="F296" s="27" t="s">
        <v>45</v>
      </c>
      <c r="G296" s="28" t="s">
        <v>45</v>
      </c>
      <c r="H296" s="29"/>
      <c r="I296" s="29" t="s">
        <v>46</v>
      </c>
      <c r="J296" s="30">
        <v>1</v>
      </c>
      <c r="K296" s="31">
        <f>3830</f>
        <v>3830</v>
      </c>
      <c r="L296" s="32" t="s">
        <v>995</v>
      </c>
      <c r="M296" s="31">
        <f>3870</f>
        <v>3870</v>
      </c>
      <c r="N296" s="32" t="s">
        <v>791</v>
      </c>
      <c r="O296" s="31">
        <f>3725</f>
        <v>3725</v>
      </c>
      <c r="P296" s="32" t="s">
        <v>788</v>
      </c>
      <c r="Q296" s="31">
        <f>3870</f>
        <v>3870</v>
      </c>
      <c r="R296" s="32" t="s">
        <v>791</v>
      </c>
      <c r="S296" s="33">
        <f>3799.55</f>
        <v>3799.55</v>
      </c>
      <c r="T296" s="30">
        <f>32293</f>
        <v>32293</v>
      </c>
      <c r="U296" s="30">
        <f>20000</f>
        <v>20000</v>
      </c>
      <c r="V296" s="30">
        <f>122041115</f>
        <v>122041115</v>
      </c>
      <c r="W296" s="30">
        <f>75675000</f>
        <v>75675000</v>
      </c>
      <c r="X296" s="34">
        <f>22</f>
        <v>22</v>
      </c>
    </row>
    <row r="297" spans="1:24" ht="13.5" customHeight="1" x14ac:dyDescent="0.15">
      <c r="A297" s="25" t="s">
        <v>1139</v>
      </c>
      <c r="B297" s="25" t="s">
        <v>917</v>
      </c>
      <c r="C297" s="25" t="s">
        <v>918</v>
      </c>
      <c r="D297" s="25" t="s">
        <v>919</v>
      </c>
      <c r="E297" s="26" t="s">
        <v>45</v>
      </c>
      <c r="F297" s="27" t="s">
        <v>45</v>
      </c>
      <c r="G297" s="28" t="s">
        <v>45</v>
      </c>
      <c r="H297" s="29"/>
      <c r="I297" s="29" t="s">
        <v>46</v>
      </c>
      <c r="J297" s="30">
        <v>10</v>
      </c>
      <c r="K297" s="31">
        <f>2293</f>
        <v>2293</v>
      </c>
      <c r="L297" s="32" t="s">
        <v>996</v>
      </c>
      <c r="M297" s="31">
        <f>2293</f>
        <v>2293</v>
      </c>
      <c r="N297" s="32" t="s">
        <v>996</v>
      </c>
      <c r="O297" s="31">
        <f>2243</f>
        <v>2243</v>
      </c>
      <c r="P297" s="32" t="s">
        <v>1001</v>
      </c>
      <c r="Q297" s="31">
        <f>2243</f>
        <v>2243</v>
      </c>
      <c r="R297" s="32" t="s">
        <v>1001</v>
      </c>
      <c r="S297" s="33">
        <f>2268</f>
        <v>2268</v>
      </c>
      <c r="T297" s="30">
        <f>180</f>
        <v>180</v>
      </c>
      <c r="U297" s="30" t="str">
        <f>"－"</f>
        <v>－</v>
      </c>
      <c r="V297" s="30">
        <f>407740</f>
        <v>407740</v>
      </c>
      <c r="W297" s="30" t="str">
        <f>"－"</f>
        <v>－</v>
      </c>
      <c r="X297" s="34">
        <f>2</f>
        <v>2</v>
      </c>
    </row>
    <row r="298" spans="1:24" ht="13.5" customHeight="1" x14ac:dyDescent="0.15">
      <c r="A298" s="25" t="s">
        <v>1139</v>
      </c>
      <c r="B298" s="25" t="s">
        <v>928</v>
      </c>
      <c r="C298" s="25" t="s">
        <v>929</v>
      </c>
      <c r="D298" s="25" t="s">
        <v>930</v>
      </c>
      <c r="E298" s="26" t="s">
        <v>45</v>
      </c>
      <c r="F298" s="27" t="s">
        <v>45</v>
      </c>
      <c r="G298" s="28" t="s">
        <v>45</v>
      </c>
      <c r="H298" s="29"/>
      <c r="I298" s="29" t="s">
        <v>46</v>
      </c>
      <c r="J298" s="30">
        <v>10</v>
      </c>
      <c r="K298" s="31">
        <f>235</f>
        <v>235</v>
      </c>
      <c r="L298" s="32" t="s">
        <v>995</v>
      </c>
      <c r="M298" s="31">
        <f>235</f>
        <v>235</v>
      </c>
      <c r="N298" s="32" t="s">
        <v>995</v>
      </c>
      <c r="O298" s="31">
        <f>217.3</f>
        <v>217.3</v>
      </c>
      <c r="P298" s="32" t="s">
        <v>788</v>
      </c>
      <c r="Q298" s="31">
        <f>228.3</f>
        <v>228.3</v>
      </c>
      <c r="R298" s="32" t="s">
        <v>791</v>
      </c>
      <c r="S298" s="33">
        <f>226.96</f>
        <v>226.96</v>
      </c>
      <c r="T298" s="30">
        <f>9580</f>
        <v>9580</v>
      </c>
      <c r="U298" s="30" t="str">
        <f>"－"</f>
        <v>－</v>
      </c>
      <c r="V298" s="30">
        <f>2143834</f>
        <v>2143834</v>
      </c>
      <c r="W298" s="30" t="str">
        <f>"－"</f>
        <v>－</v>
      </c>
      <c r="X298" s="34">
        <f>22</f>
        <v>22</v>
      </c>
    </row>
    <row r="299" spans="1:24" ht="13.5" customHeight="1" x14ac:dyDescent="0.15">
      <c r="A299" s="25" t="s">
        <v>1139</v>
      </c>
      <c r="B299" s="25" t="s">
        <v>920</v>
      </c>
      <c r="C299" s="25" t="s">
        <v>921</v>
      </c>
      <c r="D299" s="25" t="s">
        <v>922</v>
      </c>
      <c r="E299" s="26" t="s">
        <v>45</v>
      </c>
      <c r="F299" s="27" t="s">
        <v>45</v>
      </c>
      <c r="G299" s="28" t="s">
        <v>45</v>
      </c>
      <c r="H299" s="29"/>
      <c r="I299" s="29" t="s">
        <v>46</v>
      </c>
      <c r="J299" s="30">
        <v>10</v>
      </c>
      <c r="K299" s="31">
        <f>191.5</f>
        <v>191.5</v>
      </c>
      <c r="L299" s="32" t="s">
        <v>995</v>
      </c>
      <c r="M299" s="31">
        <f>191.5</f>
        <v>191.5</v>
      </c>
      <c r="N299" s="32" t="s">
        <v>995</v>
      </c>
      <c r="O299" s="31">
        <f>184.5</f>
        <v>184.5</v>
      </c>
      <c r="P299" s="32" t="s">
        <v>1001</v>
      </c>
      <c r="Q299" s="31">
        <f>190</f>
        <v>190</v>
      </c>
      <c r="R299" s="32" t="s">
        <v>791</v>
      </c>
      <c r="S299" s="33">
        <f>186.85</f>
        <v>186.85</v>
      </c>
      <c r="T299" s="30">
        <f>4379850</f>
        <v>4379850</v>
      </c>
      <c r="U299" s="30">
        <f>4371320</f>
        <v>4371320</v>
      </c>
      <c r="V299" s="30">
        <f>810833258</f>
        <v>810833258</v>
      </c>
      <c r="W299" s="30">
        <f>809243992</f>
        <v>809243992</v>
      </c>
      <c r="X299" s="34">
        <f>22</f>
        <v>22</v>
      </c>
    </row>
    <row r="300" spans="1:24" ht="13.5" customHeight="1" x14ac:dyDescent="0.15">
      <c r="A300" s="25" t="s">
        <v>1139</v>
      </c>
      <c r="B300" s="25" t="s">
        <v>923</v>
      </c>
      <c r="C300" s="25" t="s">
        <v>924</v>
      </c>
      <c r="D300" s="25" t="s">
        <v>925</v>
      </c>
      <c r="E300" s="26" t="s">
        <v>45</v>
      </c>
      <c r="F300" s="27" t="s">
        <v>45</v>
      </c>
      <c r="G300" s="28" t="s">
        <v>45</v>
      </c>
      <c r="H300" s="29"/>
      <c r="I300" s="29" t="s">
        <v>46</v>
      </c>
      <c r="J300" s="30">
        <v>10</v>
      </c>
      <c r="K300" s="31">
        <f>690</f>
        <v>690</v>
      </c>
      <c r="L300" s="32" t="s">
        <v>995</v>
      </c>
      <c r="M300" s="31">
        <f>696.2</f>
        <v>696.2</v>
      </c>
      <c r="N300" s="32" t="s">
        <v>1004</v>
      </c>
      <c r="O300" s="31">
        <f>676.9</f>
        <v>676.9</v>
      </c>
      <c r="P300" s="32" t="s">
        <v>788</v>
      </c>
      <c r="Q300" s="31">
        <f>682.3</f>
        <v>682.3</v>
      </c>
      <c r="R300" s="32" t="s">
        <v>791</v>
      </c>
      <c r="S300" s="33">
        <f>687.91</f>
        <v>687.91</v>
      </c>
      <c r="T300" s="30">
        <f>11070</f>
        <v>11070</v>
      </c>
      <c r="U300" s="30">
        <f>9990</f>
        <v>9990</v>
      </c>
      <c r="V300" s="30">
        <f>7537995</f>
        <v>7537995</v>
      </c>
      <c r="W300" s="30">
        <f>6795497</f>
        <v>6795497</v>
      </c>
      <c r="X300" s="34">
        <f>14</f>
        <v>14</v>
      </c>
    </row>
    <row r="301" spans="1:24" ht="13.5" customHeight="1" x14ac:dyDescent="0.15">
      <c r="A301" s="25" t="s">
        <v>1139</v>
      </c>
      <c r="B301" s="25" t="s">
        <v>931</v>
      </c>
      <c r="C301" s="25" t="s">
        <v>932</v>
      </c>
      <c r="D301" s="25" t="s">
        <v>933</v>
      </c>
      <c r="E301" s="26" t="s">
        <v>45</v>
      </c>
      <c r="F301" s="27" t="s">
        <v>45</v>
      </c>
      <c r="G301" s="28" t="s">
        <v>45</v>
      </c>
      <c r="H301" s="29"/>
      <c r="I301" s="29" t="s">
        <v>46</v>
      </c>
      <c r="J301" s="30">
        <v>1</v>
      </c>
      <c r="K301" s="31">
        <f>1218</f>
        <v>1218</v>
      </c>
      <c r="L301" s="32" t="s">
        <v>995</v>
      </c>
      <c r="M301" s="31">
        <f>1218</f>
        <v>1218</v>
      </c>
      <c r="N301" s="32" t="s">
        <v>995</v>
      </c>
      <c r="O301" s="31">
        <f>1146</f>
        <v>1146</v>
      </c>
      <c r="P301" s="32" t="s">
        <v>788</v>
      </c>
      <c r="Q301" s="31">
        <f>1196</f>
        <v>1196</v>
      </c>
      <c r="R301" s="32" t="s">
        <v>791</v>
      </c>
      <c r="S301" s="33">
        <f>1177.41</f>
        <v>1177.4100000000001</v>
      </c>
      <c r="T301" s="30">
        <f>85682</f>
        <v>85682</v>
      </c>
      <c r="U301" s="30">
        <f>4</f>
        <v>4</v>
      </c>
      <c r="V301" s="30">
        <f>101287555</f>
        <v>101287555</v>
      </c>
      <c r="W301" s="30">
        <f>4699</f>
        <v>4699</v>
      </c>
      <c r="X301" s="34">
        <f>22</f>
        <v>22</v>
      </c>
    </row>
    <row r="302" spans="1:24" ht="13.5" customHeight="1" x14ac:dyDescent="0.15">
      <c r="A302" s="25" t="s">
        <v>1139</v>
      </c>
      <c r="B302" s="25" t="s">
        <v>934</v>
      </c>
      <c r="C302" s="25" t="s">
        <v>935</v>
      </c>
      <c r="D302" s="25" t="s">
        <v>936</v>
      </c>
      <c r="E302" s="26" t="s">
        <v>45</v>
      </c>
      <c r="F302" s="27" t="s">
        <v>45</v>
      </c>
      <c r="G302" s="28" t="s">
        <v>45</v>
      </c>
      <c r="H302" s="29"/>
      <c r="I302" s="29" t="s">
        <v>46</v>
      </c>
      <c r="J302" s="30">
        <v>1</v>
      </c>
      <c r="K302" s="31">
        <f>974</f>
        <v>974</v>
      </c>
      <c r="L302" s="32" t="s">
        <v>995</v>
      </c>
      <c r="M302" s="31">
        <f>988</f>
        <v>988</v>
      </c>
      <c r="N302" s="32" t="s">
        <v>791</v>
      </c>
      <c r="O302" s="31">
        <f>953</f>
        <v>953</v>
      </c>
      <c r="P302" s="32" t="s">
        <v>894</v>
      </c>
      <c r="Q302" s="31">
        <f>983</f>
        <v>983</v>
      </c>
      <c r="R302" s="32" t="s">
        <v>791</v>
      </c>
      <c r="S302" s="33">
        <f>966.41</f>
        <v>966.41</v>
      </c>
      <c r="T302" s="30">
        <f>403607</f>
        <v>403607</v>
      </c>
      <c r="U302" s="30" t="str">
        <f>"－"</f>
        <v>－</v>
      </c>
      <c r="V302" s="30">
        <f>386237082</f>
        <v>386237082</v>
      </c>
      <c r="W302" s="30" t="str">
        <f>"－"</f>
        <v>－</v>
      </c>
      <c r="X302" s="34">
        <f>22</f>
        <v>22</v>
      </c>
    </row>
    <row r="303" spans="1:24" ht="13.5" customHeight="1" x14ac:dyDescent="0.15">
      <c r="A303" s="25" t="s">
        <v>1139</v>
      </c>
      <c r="B303" s="25" t="s">
        <v>937</v>
      </c>
      <c r="C303" s="25" t="s">
        <v>938</v>
      </c>
      <c r="D303" s="25" t="s">
        <v>939</v>
      </c>
      <c r="E303" s="26" t="s">
        <v>45</v>
      </c>
      <c r="F303" s="27" t="s">
        <v>45</v>
      </c>
      <c r="G303" s="28" t="s">
        <v>45</v>
      </c>
      <c r="H303" s="29"/>
      <c r="I303" s="29" t="s">
        <v>46</v>
      </c>
      <c r="J303" s="30">
        <v>10</v>
      </c>
      <c r="K303" s="31">
        <f>730</f>
        <v>730</v>
      </c>
      <c r="L303" s="32" t="s">
        <v>995</v>
      </c>
      <c r="M303" s="31">
        <f>732.2</f>
        <v>732.2</v>
      </c>
      <c r="N303" s="32" t="s">
        <v>875</v>
      </c>
      <c r="O303" s="31">
        <f>718.5</f>
        <v>718.5</v>
      </c>
      <c r="P303" s="32" t="s">
        <v>788</v>
      </c>
      <c r="Q303" s="31">
        <f>724.7</f>
        <v>724.7</v>
      </c>
      <c r="R303" s="32" t="s">
        <v>791</v>
      </c>
      <c r="S303" s="33">
        <f>724.68</f>
        <v>724.68</v>
      </c>
      <c r="T303" s="30">
        <f>3482500</f>
        <v>3482500</v>
      </c>
      <c r="U303" s="30">
        <f>2945740</f>
        <v>2945740</v>
      </c>
      <c r="V303" s="30">
        <f>2531624393</f>
        <v>2531624393</v>
      </c>
      <c r="W303" s="30">
        <f>2142442374</f>
        <v>2142442374</v>
      </c>
      <c r="X303" s="34">
        <f>22</f>
        <v>22</v>
      </c>
    </row>
    <row r="304" spans="1:24" ht="13.5" customHeight="1" x14ac:dyDescent="0.15">
      <c r="A304" s="25" t="s">
        <v>1139</v>
      </c>
      <c r="B304" s="25" t="s">
        <v>940</v>
      </c>
      <c r="C304" s="25" t="s">
        <v>941</v>
      </c>
      <c r="D304" s="25" t="s">
        <v>942</v>
      </c>
      <c r="E304" s="26" t="s">
        <v>45</v>
      </c>
      <c r="F304" s="27" t="s">
        <v>45</v>
      </c>
      <c r="G304" s="28" t="s">
        <v>45</v>
      </c>
      <c r="H304" s="29"/>
      <c r="I304" s="29" t="s">
        <v>46</v>
      </c>
      <c r="J304" s="30">
        <v>10</v>
      </c>
      <c r="K304" s="31">
        <f>702.3</f>
        <v>702.3</v>
      </c>
      <c r="L304" s="32" t="s">
        <v>995</v>
      </c>
      <c r="M304" s="31">
        <f>721.9</f>
        <v>721.9</v>
      </c>
      <c r="N304" s="32" t="s">
        <v>998</v>
      </c>
      <c r="O304" s="31">
        <f>687</f>
        <v>687</v>
      </c>
      <c r="P304" s="32" t="s">
        <v>792</v>
      </c>
      <c r="Q304" s="31">
        <f>698.3</f>
        <v>698.3</v>
      </c>
      <c r="R304" s="32" t="s">
        <v>791</v>
      </c>
      <c r="S304" s="33">
        <f>699.58</f>
        <v>699.58</v>
      </c>
      <c r="T304" s="30">
        <f>2259390</f>
        <v>2259390</v>
      </c>
      <c r="U304" s="30">
        <f>2133010</f>
        <v>2133010</v>
      </c>
      <c r="V304" s="30">
        <f>1583276881</f>
        <v>1583276881</v>
      </c>
      <c r="W304" s="30">
        <f>1495183890</f>
        <v>1495183890</v>
      </c>
      <c r="X304" s="34">
        <f>22</f>
        <v>22</v>
      </c>
    </row>
    <row r="305" spans="1:24" ht="13.5" customHeight="1" x14ac:dyDescent="0.15">
      <c r="A305" s="25" t="s">
        <v>1139</v>
      </c>
      <c r="B305" s="25" t="s">
        <v>943</v>
      </c>
      <c r="C305" s="25" t="s">
        <v>944</v>
      </c>
      <c r="D305" s="25" t="s">
        <v>945</v>
      </c>
      <c r="E305" s="26" t="s">
        <v>45</v>
      </c>
      <c r="F305" s="27" t="s">
        <v>45</v>
      </c>
      <c r="G305" s="28" t="s">
        <v>45</v>
      </c>
      <c r="H305" s="29"/>
      <c r="I305" s="29" t="s">
        <v>46</v>
      </c>
      <c r="J305" s="30">
        <v>1</v>
      </c>
      <c r="K305" s="31">
        <f>1132</f>
        <v>1132</v>
      </c>
      <c r="L305" s="32" t="s">
        <v>995</v>
      </c>
      <c r="M305" s="31">
        <f>1147</f>
        <v>1147</v>
      </c>
      <c r="N305" s="32" t="s">
        <v>791</v>
      </c>
      <c r="O305" s="31">
        <f>1108</f>
        <v>1108</v>
      </c>
      <c r="P305" s="32" t="s">
        <v>996</v>
      </c>
      <c r="Q305" s="31">
        <f>1147</f>
        <v>1147</v>
      </c>
      <c r="R305" s="32" t="s">
        <v>791</v>
      </c>
      <c r="S305" s="33">
        <f>1128.68</f>
        <v>1128.68</v>
      </c>
      <c r="T305" s="30">
        <f>14819</f>
        <v>14819</v>
      </c>
      <c r="U305" s="30">
        <f>603</f>
        <v>603</v>
      </c>
      <c r="V305" s="30">
        <f>16709495</f>
        <v>16709495</v>
      </c>
      <c r="W305" s="30">
        <f>646215</f>
        <v>646215</v>
      </c>
      <c r="X305" s="34">
        <f>22</f>
        <v>22</v>
      </c>
    </row>
    <row r="306" spans="1:24" ht="13.5" customHeight="1" x14ac:dyDescent="0.15">
      <c r="A306" s="25" t="s">
        <v>1139</v>
      </c>
      <c r="B306" s="25" t="s">
        <v>952</v>
      </c>
      <c r="C306" s="25" t="s">
        <v>953</v>
      </c>
      <c r="D306" s="25" t="s">
        <v>954</v>
      </c>
      <c r="E306" s="26" t="s">
        <v>45</v>
      </c>
      <c r="F306" s="27" t="s">
        <v>45</v>
      </c>
      <c r="G306" s="28" t="s">
        <v>45</v>
      </c>
      <c r="H306" s="29"/>
      <c r="I306" s="29" t="s">
        <v>46</v>
      </c>
      <c r="J306" s="30">
        <v>10</v>
      </c>
      <c r="K306" s="31">
        <f>2457</f>
        <v>2457</v>
      </c>
      <c r="L306" s="32" t="s">
        <v>995</v>
      </c>
      <c r="M306" s="31">
        <f>2457</f>
        <v>2457</v>
      </c>
      <c r="N306" s="32" t="s">
        <v>995</v>
      </c>
      <c r="O306" s="31">
        <f>2295</f>
        <v>2295</v>
      </c>
      <c r="P306" s="32" t="s">
        <v>788</v>
      </c>
      <c r="Q306" s="31">
        <f>2350</f>
        <v>2350</v>
      </c>
      <c r="R306" s="32" t="s">
        <v>791</v>
      </c>
      <c r="S306" s="33">
        <f>2350.45</f>
        <v>2350.4499999999998</v>
      </c>
      <c r="T306" s="30">
        <f>576540</f>
        <v>576540</v>
      </c>
      <c r="U306" s="30" t="str">
        <f>"－"</f>
        <v>－</v>
      </c>
      <c r="V306" s="30">
        <f>1357265135</f>
        <v>1357265135</v>
      </c>
      <c r="W306" s="30" t="str">
        <f>"－"</f>
        <v>－</v>
      </c>
      <c r="X306" s="34">
        <f>22</f>
        <v>22</v>
      </c>
    </row>
    <row r="307" spans="1:24" ht="13.5" customHeight="1" x14ac:dyDescent="0.15">
      <c r="A307" s="25" t="s">
        <v>1139</v>
      </c>
      <c r="B307" s="25" t="s">
        <v>955</v>
      </c>
      <c r="C307" s="25" t="s">
        <v>956</v>
      </c>
      <c r="D307" s="25" t="s">
        <v>957</v>
      </c>
      <c r="E307" s="26" t="s">
        <v>45</v>
      </c>
      <c r="F307" s="27" t="s">
        <v>45</v>
      </c>
      <c r="G307" s="28" t="s">
        <v>45</v>
      </c>
      <c r="H307" s="29"/>
      <c r="I307" s="29" t="s">
        <v>46</v>
      </c>
      <c r="J307" s="30">
        <v>10</v>
      </c>
      <c r="K307" s="31">
        <f>2412</f>
        <v>2412</v>
      </c>
      <c r="L307" s="32" t="s">
        <v>995</v>
      </c>
      <c r="M307" s="31">
        <f>2421</f>
        <v>2421</v>
      </c>
      <c r="N307" s="32" t="s">
        <v>995</v>
      </c>
      <c r="O307" s="31">
        <f>2275</f>
        <v>2275</v>
      </c>
      <c r="P307" s="32" t="s">
        <v>789</v>
      </c>
      <c r="Q307" s="31">
        <f>2327.5</f>
        <v>2327.5</v>
      </c>
      <c r="R307" s="32" t="s">
        <v>791</v>
      </c>
      <c r="S307" s="33">
        <f>2322.65</f>
        <v>2322.65</v>
      </c>
      <c r="T307" s="30">
        <f>234700</f>
        <v>234700</v>
      </c>
      <c r="U307" s="30">
        <f>120990</f>
        <v>120990</v>
      </c>
      <c r="V307" s="30">
        <f>551072666</f>
        <v>551072666</v>
      </c>
      <c r="W307" s="30">
        <f>283465046</f>
        <v>283465046</v>
      </c>
      <c r="X307" s="34">
        <f>20</f>
        <v>20</v>
      </c>
    </row>
    <row r="308" spans="1:24" ht="13.5" customHeight="1" x14ac:dyDescent="0.15">
      <c r="A308" s="25" t="s">
        <v>1139</v>
      </c>
      <c r="B308" s="25" t="s">
        <v>946</v>
      </c>
      <c r="C308" s="25" t="s">
        <v>947</v>
      </c>
      <c r="D308" s="25" t="s">
        <v>948</v>
      </c>
      <c r="E308" s="26" t="s">
        <v>45</v>
      </c>
      <c r="F308" s="27" t="s">
        <v>45</v>
      </c>
      <c r="G308" s="28" t="s">
        <v>45</v>
      </c>
      <c r="H308" s="29"/>
      <c r="I308" s="29" t="s">
        <v>46</v>
      </c>
      <c r="J308" s="30">
        <v>10</v>
      </c>
      <c r="K308" s="31">
        <f>5153</f>
        <v>5153</v>
      </c>
      <c r="L308" s="32" t="s">
        <v>999</v>
      </c>
      <c r="M308" s="31">
        <f>5164</f>
        <v>5164</v>
      </c>
      <c r="N308" s="32" t="s">
        <v>1000</v>
      </c>
      <c r="O308" s="31">
        <f>5091</f>
        <v>5091</v>
      </c>
      <c r="P308" s="32" t="s">
        <v>998</v>
      </c>
      <c r="Q308" s="31">
        <f>5091</f>
        <v>5091</v>
      </c>
      <c r="R308" s="32" t="s">
        <v>998</v>
      </c>
      <c r="S308" s="33">
        <f>5131</f>
        <v>5131</v>
      </c>
      <c r="T308" s="30">
        <f>310</f>
        <v>310</v>
      </c>
      <c r="U308" s="30" t="str">
        <f>"－"</f>
        <v>－</v>
      </c>
      <c r="V308" s="30">
        <f>1589550</f>
        <v>1589550</v>
      </c>
      <c r="W308" s="30" t="str">
        <f>"－"</f>
        <v>－</v>
      </c>
      <c r="X308" s="34">
        <f>7</f>
        <v>7</v>
      </c>
    </row>
    <row r="309" spans="1:24" ht="13.5" customHeight="1" x14ac:dyDescent="0.15">
      <c r="A309" s="25" t="s">
        <v>1139</v>
      </c>
      <c r="B309" s="25" t="s">
        <v>949</v>
      </c>
      <c r="C309" s="25" t="s">
        <v>950</v>
      </c>
      <c r="D309" s="25" t="s">
        <v>951</v>
      </c>
      <c r="E309" s="26" t="s">
        <v>45</v>
      </c>
      <c r="F309" s="27" t="s">
        <v>45</v>
      </c>
      <c r="G309" s="28" t="s">
        <v>45</v>
      </c>
      <c r="H309" s="29"/>
      <c r="I309" s="29" t="s">
        <v>46</v>
      </c>
      <c r="J309" s="30">
        <v>10</v>
      </c>
      <c r="K309" s="31">
        <f>4352</f>
        <v>4352</v>
      </c>
      <c r="L309" s="32" t="s">
        <v>999</v>
      </c>
      <c r="M309" s="31">
        <f>4359</f>
        <v>4359</v>
      </c>
      <c r="N309" s="32" t="s">
        <v>1003</v>
      </c>
      <c r="O309" s="31">
        <f>4253</f>
        <v>4253</v>
      </c>
      <c r="P309" s="32" t="s">
        <v>1001</v>
      </c>
      <c r="Q309" s="31">
        <f>4330</f>
        <v>4330</v>
      </c>
      <c r="R309" s="32" t="s">
        <v>791</v>
      </c>
      <c r="S309" s="33">
        <f>4319.29</f>
        <v>4319.29</v>
      </c>
      <c r="T309" s="30">
        <f>302370</f>
        <v>302370</v>
      </c>
      <c r="U309" s="30">
        <f>301570</f>
        <v>301570</v>
      </c>
      <c r="V309" s="30">
        <f>1306571969</f>
        <v>1306571969</v>
      </c>
      <c r="W309" s="30">
        <f>1303131299</f>
        <v>1303131299</v>
      </c>
      <c r="X309" s="34">
        <f>14</f>
        <v>14</v>
      </c>
    </row>
    <row r="310" spans="1:24" ht="13.5" customHeight="1" x14ac:dyDescent="0.15">
      <c r="A310" s="25" t="s">
        <v>1139</v>
      </c>
      <c r="B310" s="25" t="s">
        <v>958</v>
      </c>
      <c r="C310" s="25" t="s">
        <v>959</v>
      </c>
      <c r="D310" s="25" t="s">
        <v>960</v>
      </c>
      <c r="E310" s="26" t="s">
        <v>45</v>
      </c>
      <c r="F310" s="27" t="s">
        <v>45</v>
      </c>
      <c r="G310" s="28" t="s">
        <v>45</v>
      </c>
      <c r="H310" s="29"/>
      <c r="I310" s="29" t="s">
        <v>46</v>
      </c>
      <c r="J310" s="30">
        <v>10</v>
      </c>
      <c r="K310" s="31">
        <f>1957.5</f>
        <v>1957.5</v>
      </c>
      <c r="L310" s="32" t="s">
        <v>995</v>
      </c>
      <c r="M310" s="31">
        <f>1957.5</f>
        <v>1957.5</v>
      </c>
      <c r="N310" s="32" t="s">
        <v>995</v>
      </c>
      <c r="O310" s="31">
        <f>1885</f>
        <v>1885</v>
      </c>
      <c r="P310" s="32" t="s">
        <v>894</v>
      </c>
      <c r="Q310" s="31">
        <f>1892.5</f>
        <v>1892.5</v>
      </c>
      <c r="R310" s="32" t="s">
        <v>1017</v>
      </c>
      <c r="S310" s="33">
        <f>1913.78</f>
        <v>1913.78</v>
      </c>
      <c r="T310" s="30">
        <f>3290</f>
        <v>3290</v>
      </c>
      <c r="U310" s="30" t="str">
        <f>"－"</f>
        <v>－</v>
      </c>
      <c r="V310" s="30">
        <f>6304610</f>
        <v>6304610</v>
      </c>
      <c r="W310" s="30" t="str">
        <f>"－"</f>
        <v>－</v>
      </c>
      <c r="X310" s="34">
        <f>9</f>
        <v>9</v>
      </c>
    </row>
    <row r="311" spans="1:24" ht="13.5" customHeight="1" x14ac:dyDescent="0.15">
      <c r="A311" s="25" t="s">
        <v>1139</v>
      </c>
      <c r="B311" s="25" t="s">
        <v>961</v>
      </c>
      <c r="C311" s="25" t="s">
        <v>962</v>
      </c>
      <c r="D311" s="25" t="s">
        <v>963</v>
      </c>
      <c r="E311" s="26" t="s">
        <v>45</v>
      </c>
      <c r="F311" s="27" t="s">
        <v>45</v>
      </c>
      <c r="G311" s="28" t="s">
        <v>45</v>
      </c>
      <c r="H311" s="29"/>
      <c r="I311" s="29" t="s">
        <v>46</v>
      </c>
      <c r="J311" s="30">
        <v>1</v>
      </c>
      <c r="K311" s="31">
        <f>1178</f>
        <v>1178</v>
      </c>
      <c r="L311" s="32" t="s">
        <v>995</v>
      </c>
      <c r="M311" s="31">
        <f>1260</f>
        <v>1260</v>
      </c>
      <c r="N311" s="32" t="s">
        <v>791</v>
      </c>
      <c r="O311" s="31">
        <f>1160</f>
        <v>1160</v>
      </c>
      <c r="P311" s="32" t="s">
        <v>996</v>
      </c>
      <c r="Q311" s="31">
        <f>1244</f>
        <v>1244</v>
      </c>
      <c r="R311" s="32" t="s">
        <v>791</v>
      </c>
      <c r="S311" s="33">
        <f>1188.59</f>
        <v>1188.5899999999999</v>
      </c>
      <c r="T311" s="30">
        <f>3136</f>
        <v>3136</v>
      </c>
      <c r="U311" s="30" t="str">
        <f>"－"</f>
        <v>－</v>
      </c>
      <c r="V311" s="30">
        <f>3749802</f>
        <v>3749802</v>
      </c>
      <c r="W311" s="30" t="str">
        <f>"－"</f>
        <v>－</v>
      </c>
      <c r="X311" s="34">
        <f>22</f>
        <v>22</v>
      </c>
    </row>
    <row r="312" spans="1:24" ht="13.5" customHeight="1" x14ac:dyDescent="0.15">
      <c r="A312" s="25" t="s">
        <v>1139</v>
      </c>
      <c r="B312" s="25" t="s">
        <v>964</v>
      </c>
      <c r="C312" s="25" t="s">
        <v>965</v>
      </c>
      <c r="D312" s="25" t="s">
        <v>966</v>
      </c>
      <c r="E312" s="26" t="s">
        <v>45</v>
      </c>
      <c r="F312" s="27" t="s">
        <v>45</v>
      </c>
      <c r="G312" s="28" t="s">
        <v>45</v>
      </c>
      <c r="H312" s="29"/>
      <c r="I312" s="29" t="s">
        <v>46</v>
      </c>
      <c r="J312" s="30">
        <v>1</v>
      </c>
      <c r="K312" s="31">
        <f>1121</f>
        <v>1121</v>
      </c>
      <c r="L312" s="32" t="s">
        <v>995</v>
      </c>
      <c r="M312" s="31">
        <f>1131</f>
        <v>1131</v>
      </c>
      <c r="N312" s="32" t="s">
        <v>1002</v>
      </c>
      <c r="O312" s="31">
        <f>1084</f>
        <v>1084</v>
      </c>
      <c r="P312" s="32" t="s">
        <v>998</v>
      </c>
      <c r="Q312" s="31">
        <f>1113</f>
        <v>1113</v>
      </c>
      <c r="R312" s="32" t="s">
        <v>791</v>
      </c>
      <c r="S312" s="33">
        <f>1109.86</f>
        <v>1109.8599999999999</v>
      </c>
      <c r="T312" s="30">
        <f>1067549</f>
        <v>1067549</v>
      </c>
      <c r="U312" s="30">
        <f>642</f>
        <v>642</v>
      </c>
      <c r="V312" s="30">
        <f>1185009032</f>
        <v>1185009032</v>
      </c>
      <c r="W312" s="30">
        <f>659303</f>
        <v>659303</v>
      </c>
      <c r="X312" s="34">
        <f>22</f>
        <v>22</v>
      </c>
    </row>
    <row r="313" spans="1:24" ht="13.5" customHeight="1" x14ac:dyDescent="0.15">
      <c r="A313" s="25" t="s">
        <v>1139</v>
      </c>
      <c r="B313" s="25" t="s">
        <v>967</v>
      </c>
      <c r="C313" s="25" t="s">
        <v>968</v>
      </c>
      <c r="D313" s="25" t="s">
        <v>969</v>
      </c>
      <c r="E313" s="26" t="s">
        <v>45</v>
      </c>
      <c r="F313" s="27" t="s">
        <v>45</v>
      </c>
      <c r="G313" s="28" t="s">
        <v>45</v>
      </c>
      <c r="H313" s="29"/>
      <c r="I313" s="29" t="s">
        <v>46</v>
      </c>
      <c r="J313" s="30">
        <v>1</v>
      </c>
      <c r="K313" s="31">
        <f>925</f>
        <v>925</v>
      </c>
      <c r="L313" s="32" t="s">
        <v>995</v>
      </c>
      <c r="M313" s="31">
        <f>940</f>
        <v>940</v>
      </c>
      <c r="N313" s="32" t="s">
        <v>995</v>
      </c>
      <c r="O313" s="31">
        <f>916</f>
        <v>916</v>
      </c>
      <c r="P313" s="32" t="s">
        <v>785</v>
      </c>
      <c r="Q313" s="31">
        <f>932</f>
        <v>932</v>
      </c>
      <c r="R313" s="32" t="s">
        <v>791</v>
      </c>
      <c r="S313" s="33">
        <f>927.14</f>
        <v>927.14</v>
      </c>
      <c r="T313" s="30">
        <f>584104</f>
        <v>584104</v>
      </c>
      <c r="U313" s="30" t="str">
        <f>"－"</f>
        <v>－</v>
      </c>
      <c r="V313" s="30">
        <f>541462624</f>
        <v>541462624</v>
      </c>
      <c r="W313" s="30" t="str">
        <f>"－"</f>
        <v>－</v>
      </c>
      <c r="X313" s="34">
        <f>22</f>
        <v>22</v>
      </c>
    </row>
    <row r="314" spans="1:24" ht="13.5" customHeight="1" x14ac:dyDescent="0.15">
      <c r="A314" s="25" t="s">
        <v>1139</v>
      </c>
      <c r="B314" s="25" t="s">
        <v>974</v>
      </c>
      <c r="C314" s="25" t="s">
        <v>975</v>
      </c>
      <c r="D314" s="25" t="s">
        <v>976</v>
      </c>
      <c r="E314" s="26" t="s">
        <v>45</v>
      </c>
      <c r="F314" s="27" t="s">
        <v>45</v>
      </c>
      <c r="G314" s="28" t="s">
        <v>45</v>
      </c>
      <c r="H314" s="29"/>
      <c r="I314" s="29" t="s">
        <v>46</v>
      </c>
      <c r="J314" s="30">
        <v>1</v>
      </c>
      <c r="K314" s="31">
        <f>1245</f>
        <v>1245</v>
      </c>
      <c r="L314" s="32" t="s">
        <v>995</v>
      </c>
      <c r="M314" s="31">
        <f>1265</f>
        <v>1265</v>
      </c>
      <c r="N314" s="32" t="s">
        <v>995</v>
      </c>
      <c r="O314" s="31">
        <f>1100</f>
        <v>1100</v>
      </c>
      <c r="P314" s="32" t="s">
        <v>998</v>
      </c>
      <c r="Q314" s="31">
        <f>1157</f>
        <v>1157</v>
      </c>
      <c r="R314" s="32" t="s">
        <v>791</v>
      </c>
      <c r="S314" s="33">
        <f>1159.41</f>
        <v>1159.4100000000001</v>
      </c>
      <c r="T314" s="30">
        <f>59380</f>
        <v>59380</v>
      </c>
      <c r="U314" s="30" t="str">
        <f>"－"</f>
        <v>－</v>
      </c>
      <c r="V314" s="30">
        <f>69218804</f>
        <v>69218804</v>
      </c>
      <c r="W314" s="30" t="str">
        <f>"－"</f>
        <v>－</v>
      </c>
      <c r="X314" s="34">
        <f>22</f>
        <v>22</v>
      </c>
    </row>
    <row r="315" spans="1:24" ht="13.5" customHeight="1" x14ac:dyDescent="0.15">
      <c r="A315" s="25" t="s">
        <v>1139</v>
      </c>
      <c r="B315" s="25" t="s">
        <v>977</v>
      </c>
      <c r="C315" s="25" t="s">
        <v>978</v>
      </c>
      <c r="D315" s="25" t="s">
        <v>979</v>
      </c>
      <c r="E315" s="26" t="s">
        <v>45</v>
      </c>
      <c r="F315" s="27" t="s">
        <v>45</v>
      </c>
      <c r="G315" s="28" t="s">
        <v>45</v>
      </c>
      <c r="H315" s="29"/>
      <c r="I315" s="29" t="s">
        <v>46</v>
      </c>
      <c r="J315" s="30">
        <v>1</v>
      </c>
      <c r="K315" s="31">
        <f>1025</f>
        <v>1025</v>
      </c>
      <c r="L315" s="32" t="s">
        <v>995</v>
      </c>
      <c r="M315" s="31">
        <f>1033</f>
        <v>1033</v>
      </c>
      <c r="N315" s="32" t="s">
        <v>1002</v>
      </c>
      <c r="O315" s="31">
        <f>998</f>
        <v>998</v>
      </c>
      <c r="P315" s="32" t="s">
        <v>998</v>
      </c>
      <c r="Q315" s="31">
        <f>1014</f>
        <v>1014</v>
      </c>
      <c r="R315" s="32" t="s">
        <v>791</v>
      </c>
      <c r="S315" s="33">
        <f>1013.64</f>
        <v>1013.64</v>
      </c>
      <c r="T315" s="30">
        <f>481222</f>
        <v>481222</v>
      </c>
      <c r="U315" s="30">
        <f>903</f>
        <v>903</v>
      </c>
      <c r="V315" s="30">
        <f>485331022</f>
        <v>485331022</v>
      </c>
      <c r="W315" s="30">
        <f>848572</f>
        <v>848572</v>
      </c>
      <c r="X315" s="34">
        <f>22</f>
        <v>22</v>
      </c>
    </row>
    <row r="316" spans="1:24" ht="13.5" customHeight="1" x14ac:dyDescent="0.15">
      <c r="A316" s="25" t="s">
        <v>1139</v>
      </c>
      <c r="B316" s="25" t="s">
        <v>980</v>
      </c>
      <c r="C316" s="25" t="s">
        <v>981</v>
      </c>
      <c r="D316" s="25" t="s">
        <v>1089</v>
      </c>
      <c r="E316" s="26" t="s">
        <v>45</v>
      </c>
      <c r="F316" s="27" t="s">
        <v>45</v>
      </c>
      <c r="G316" s="28" t="s">
        <v>45</v>
      </c>
      <c r="H316" s="29"/>
      <c r="I316" s="29" t="s">
        <v>46</v>
      </c>
      <c r="J316" s="30">
        <v>1</v>
      </c>
      <c r="K316" s="31">
        <f>32400</f>
        <v>32400</v>
      </c>
      <c r="L316" s="32" t="s">
        <v>995</v>
      </c>
      <c r="M316" s="31">
        <f>32540</f>
        <v>32540</v>
      </c>
      <c r="N316" s="32" t="s">
        <v>995</v>
      </c>
      <c r="O316" s="31">
        <f>27920</f>
        <v>27920</v>
      </c>
      <c r="P316" s="32" t="s">
        <v>998</v>
      </c>
      <c r="Q316" s="31">
        <f>30880</f>
        <v>30880</v>
      </c>
      <c r="R316" s="32" t="s">
        <v>791</v>
      </c>
      <c r="S316" s="33">
        <f>29911.59</f>
        <v>29911.59</v>
      </c>
      <c r="T316" s="30">
        <f>437995</f>
        <v>437995</v>
      </c>
      <c r="U316" s="30">
        <f>2</f>
        <v>2</v>
      </c>
      <c r="V316" s="30">
        <f>13083420120</f>
        <v>13083420120</v>
      </c>
      <c r="W316" s="30">
        <f>63700</f>
        <v>63700</v>
      </c>
      <c r="X316" s="34">
        <f>22</f>
        <v>22</v>
      </c>
    </row>
    <row r="317" spans="1:24" ht="13.5" customHeight="1" x14ac:dyDescent="0.15">
      <c r="A317" s="25" t="s">
        <v>1139</v>
      </c>
      <c r="B317" s="25" t="s">
        <v>983</v>
      </c>
      <c r="C317" s="25" t="s">
        <v>984</v>
      </c>
      <c r="D317" s="25" t="s">
        <v>1090</v>
      </c>
      <c r="E317" s="26" t="s">
        <v>45</v>
      </c>
      <c r="F317" s="27" t="s">
        <v>45</v>
      </c>
      <c r="G317" s="28" t="s">
        <v>45</v>
      </c>
      <c r="H317" s="29"/>
      <c r="I317" s="29" t="s">
        <v>46</v>
      </c>
      <c r="J317" s="30">
        <v>1</v>
      </c>
      <c r="K317" s="31">
        <f>31540</f>
        <v>31540</v>
      </c>
      <c r="L317" s="32" t="s">
        <v>995</v>
      </c>
      <c r="M317" s="31">
        <f>36440</f>
        <v>36440</v>
      </c>
      <c r="N317" s="32" t="s">
        <v>998</v>
      </c>
      <c r="O317" s="31">
        <f>31460</f>
        <v>31460</v>
      </c>
      <c r="P317" s="32" t="s">
        <v>995</v>
      </c>
      <c r="Q317" s="31">
        <f>32700</f>
        <v>32700</v>
      </c>
      <c r="R317" s="32" t="s">
        <v>791</v>
      </c>
      <c r="S317" s="33">
        <f>34085</f>
        <v>34085</v>
      </c>
      <c r="T317" s="30">
        <f>302613</f>
        <v>302613</v>
      </c>
      <c r="U317" s="30">
        <f>15136</f>
        <v>15136</v>
      </c>
      <c r="V317" s="30">
        <f>10385131525</f>
        <v>10385131525</v>
      </c>
      <c r="W317" s="30">
        <f>517628555</f>
        <v>517628555</v>
      </c>
      <c r="X317" s="34">
        <f>22</f>
        <v>22</v>
      </c>
    </row>
  </sheetData>
  <mergeCells count="3">
    <mergeCell ref="N1:X3"/>
    <mergeCell ref="A2:M2"/>
    <mergeCell ref="A3:M3"/>
  </mergeCells>
  <phoneticPr fontId="3"/>
  <printOptions horizontalCentered="1"/>
  <pageMargins left="0.39370078740157483" right="0.39370078740157483" top="0.39370078740157483" bottom="0.59055118110236227" header="0.27559055118110237" footer="0.27559055118110237"/>
  <pageSetup paperSize="9" scale="34" fitToHeight="0" orientation="landscape" r:id="rId1"/>
  <headerFooter>
    <oddFooter>&amp;C&amp;P/&amp;N&amp;RCopyright (c) Tokyo Stock Exchange, Inc. All Rights Reserved.</oddFooter>
  </headerFooter>
  <customProperties>
    <customPr name="layoutContexts" r:id="rId2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D9F04C-D3EB-48E8-B71E-8D14EBFAE9D7}">
  <sheetPr>
    <pageSetUpPr fitToPage="1"/>
  </sheetPr>
  <dimension ref="A1:X327"/>
  <sheetViews>
    <sheetView showGridLines="0" view="pageBreakPreview" zoomScaleNormal="70" zoomScaleSheetLayoutView="100" workbookViewId="0">
      <pane ySplit="6" topLeftCell="A7" activePane="bottomLeft" state="frozen"/>
      <selection activeCell="A2" sqref="A2:M2"/>
      <selection pane="bottomLeft" activeCell="A2" sqref="A2:M2"/>
    </sheetView>
  </sheetViews>
  <sheetFormatPr defaultRowHeight="13.5" customHeight="1" x14ac:dyDescent="0.4"/>
  <cols>
    <col min="1" max="1" width="13.125" style="3" bestFit="1" customWidth="1"/>
    <col min="2" max="2" width="10.75" style="3" bestFit="1" customWidth="1"/>
    <col min="3" max="4" width="27.625" style="3" customWidth="1"/>
    <col min="5" max="5" width="13.75" style="3" bestFit="1" customWidth="1"/>
    <col min="6" max="6" width="20.75" style="3" bestFit="1" customWidth="1"/>
    <col min="7" max="7" width="11.25" style="3" customWidth="1"/>
    <col min="8" max="8" width="8.75" style="3" bestFit="1" customWidth="1"/>
    <col min="9" max="9" width="11.75" style="3" bestFit="1" customWidth="1"/>
    <col min="10" max="10" width="12.625" style="3" bestFit="1" customWidth="1"/>
    <col min="11" max="11" width="16.25" style="3" customWidth="1"/>
    <col min="12" max="12" width="5.625" style="3" bestFit="1" customWidth="1"/>
    <col min="13" max="13" width="16.25" style="3" customWidth="1"/>
    <col min="14" max="14" width="5.625" style="3" bestFit="1" customWidth="1"/>
    <col min="15" max="15" width="16.25" style="3" customWidth="1"/>
    <col min="16" max="16" width="5.625" style="3" bestFit="1" customWidth="1"/>
    <col min="17" max="17" width="16.25" style="3" customWidth="1"/>
    <col min="18" max="18" width="5.625" style="3" bestFit="1" customWidth="1"/>
    <col min="19" max="19" width="23.875" style="3" bestFit="1" customWidth="1"/>
    <col min="20" max="20" width="16.25" style="3" customWidth="1"/>
    <col min="21" max="21" width="24.125" style="3" customWidth="1"/>
    <col min="22" max="22" width="19.875" style="3" bestFit="1" customWidth="1"/>
    <col min="23" max="23" width="25" style="3" bestFit="1" customWidth="1"/>
    <col min="24" max="24" width="13.125" style="3" bestFit="1" customWidth="1"/>
    <col min="25" max="16384" width="9" style="3"/>
  </cols>
  <sheetData>
    <row r="1" spans="1:24" ht="13.5" customHeight="1" x14ac:dyDescent="0.4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6" t="s">
        <v>0</v>
      </c>
      <c r="O1" s="36"/>
      <c r="P1" s="36"/>
      <c r="Q1" s="36"/>
      <c r="R1" s="36"/>
      <c r="S1" s="36"/>
      <c r="T1" s="36"/>
      <c r="U1" s="36"/>
      <c r="V1" s="36"/>
      <c r="W1" s="36"/>
      <c r="X1" s="37"/>
    </row>
    <row r="2" spans="1:24" ht="99" customHeight="1" x14ac:dyDescent="0.4">
      <c r="A2" s="42" t="s">
        <v>1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38"/>
      <c r="O2" s="38"/>
      <c r="P2" s="38"/>
      <c r="Q2" s="38"/>
      <c r="R2" s="38"/>
      <c r="S2" s="38"/>
      <c r="T2" s="38"/>
      <c r="U2" s="38"/>
      <c r="V2" s="38"/>
      <c r="W2" s="38"/>
      <c r="X2" s="39"/>
    </row>
    <row r="3" spans="1:24" ht="39" customHeight="1" x14ac:dyDescent="0.4">
      <c r="A3" s="44" t="s">
        <v>2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0"/>
      <c r="O3" s="40"/>
      <c r="P3" s="40"/>
      <c r="Q3" s="40"/>
      <c r="R3" s="40"/>
      <c r="S3" s="40"/>
      <c r="T3" s="40"/>
      <c r="U3" s="40"/>
      <c r="V3" s="40"/>
      <c r="W3" s="40"/>
      <c r="X3" s="41"/>
    </row>
    <row r="4" spans="1:24" s="10" customFormat="1" ht="13.5" customHeight="1" x14ac:dyDescent="0.4">
      <c r="A4" s="4" t="s">
        <v>3</v>
      </c>
      <c r="B4" s="4" t="s">
        <v>4</v>
      </c>
      <c r="C4" s="4"/>
      <c r="D4" s="4"/>
      <c r="E4" s="5"/>
      <c r="F4" s="6"/>
      <c r="G4" s="7" t="s">
        <v>5</v>
      </c>
      <c r="H4" s="4" t="s">
        <v>6</v>
      </c>
      <c r="I4" s="4" t="s">
        <v>7</v>
      </c>
      <c r="J4" s="4" t="s">
        <v>8</v>
      </c>
      <c r="K4" s="8" t="s">
        <v>9</v>
      </c>
      <c r="L4" s="7" t="s">
        <v>5</v>
      </c>
      <c r="M4" s="8" t="s">
        <v>10</v>
      </c>
      <c r="N4" s="7" t="s">
        <v>5</v>
      </c>
      <c r="O4" s="8" t="s">
        <v>11</v>
      </c>
      <c r="P4" s="7" t="s">
        <v>5</v>
      </c>
      <c r="Q4" s="8" t="s">
        <v>12</v>
      </c>
      <c r="R4" s="7" t="s">
        <v>5</v>
      </c>
      <c r="S4" s="4" t="s">
        <v>13</v>
      </c>
      <c r="T4" s="4" t="s">
        <v>14</v>
      </c>
      <c r="U4" s="9" t="s">
        <v>15</v>
      </c>
      <c r="V4" s="4" t="s">
        <v>16</v>
      </c>
      <c r="W4" s="4" t="s">
        <v>17</v>
      </c>
      <c r="X4" s="4" t="s">
        <v>18</v>
      </c>
    </row>
    <row r="5" spans="1:24" ht="13.5" customHeight="1" x14ac:dyDescent="0.4">
      <c r="A5" s="11" t="s">
        <v>19</v>
      </c>
      <c r="B5" s="11" t="s">
        <v>20</v>
      </c>
      <c r="C5" s="11" t="s">
        <v>21</v>
      </c>
      <c r="D5" s="11" t="s">
        <v>22</v>
      </c>
      <c r="E5" s="12" t="s">
        <v>23</v>
      </c>
      <c r="F5" s="13" t="s">
        <v>24</v>
      </c>
      <c r="G5" s="14" t="s">
        <v>25</v>
      </c>
      <c r="H5" s="15" t="s">
        <v>26</v>
      </c>
      <c r="I5" s="15" t="s">
        <v>27</v>
      </c>
      <c r="J5" s="15" t="s">
        <v>28</v>
      </c>
      <c r="K5" s="16" t="s">
        <v>29</v>
      </c>
      <c r="L5" s="14" t="s">
        <v>25</v>
      </c>
      <c r="M5" s="16" t="s">
        <v>30</v>
      </c>
      <c r="N5" s="14" t="s">
        <v>25</v>
      </c>
      <c r="O5" s="16" t="s">
        <v>31</v>
      </c>
      <c r="P5" s="14" t="s">
        <v>25</v>
      </c>
      <c r="Q5" s="16" t="s">
        <v>32</v>
      </c>
      <c r="R5" s="14" t="s">
        <v>25</v>
      </c>
      <c r="S5" s="17" t="s">
        <v>33</v>
      </c>
      <c r="T5" s="17" t="s">
        <v>34</v>
      </c>
      <c r="U5" s="11" t="s">
        <v>35</v>
      </c>
      <c r="V5" s="17" t="s">
        <v>36</v>
      </c>
      <c r="W5" s="17" t="s">
        <v>37</v>
      </c>
      <c r="X5" s="17" t="s">
        <v>38</v>
      </c>
    </row>
    <row r="6" spans="1:24" ht="13.5" customHeight="1" x14ac:dyDescent="0.15">
      <c r="A6" s="18"/>
      <c r="B6" s="18"/>
      <c r="C6" s="18"/>
      <c r="D6" s="18"/>
      <c r="E6" s="19"/>
      <c r="F6" s="20"/>
      <c r="G6" s="21"/>
      <c r="H6" s="22"/>
      <c r="I6" s="22"/>
      <c r="J6" s="22" t="s">
        <v>39</v>
      </c>
      <c r="K6" s="23" t="s">
        <v>40</v>
      </c>
      <c r="L6" s="24"/>
      <c r="M6" s="23" t="s">
        <v>40</v>
      </c>
      <c r="N6" s="24"/>
      <c r="O6" s="23" t="s">
        <v>40</v>
      </c>
      <c r="P6" s="24"/>
      <c r="Q6" s="23" t="s">
        <v>40</v>
      </c>
      <c r="R6" s="24"/>
      <c r="S6" s="23" t="s">
        <v>40</v>
      </c>
      <c r="T6" s="22" t="s">
        <v>41</v>
      </c>
      <c r="U6" s="22" t="s">
        <v>41</v>
      </c>
      <c r="V6" s="23" t="s">
        <v>40</v>
      </c>
      <c r="W6" s="23" t="s">
        <v>40</v>
      </c>
      <c r="X6" s="22"/>
    </row>
    <row r="7" spans="1:24" s="35" customFormat="1" ht="13.5" customHeight="1" x14ac:dyDescent="0.15">
      <c r="A7" s="25" t="s">
        <v>1112</v>
      </c>
      <c r="B7" s="25" t="s">
        <v>42</v>
      </c>
      <c r="C7" s="25" t="s">
        <v>1033</v>
      </c>
      <c r="D7" s="25" t="s">
        <v>1034</v>
      </c>
      <c r="E7" s="26" t="s">
        <v>45</v>
      </c>
      <c r="F7" s="27" t="s">
        <v>45</v>
      </c>
      <c r="G7" s="28" t="s">
        <v>45</v>
      </c>
      <c r="H7" s="29"/>
      <c r="I7" s="29" t="s">
        <v>46</v>
      </c>
      <c r="J7" s="30">
        <v>10</v>
      </c>
      <c r="K7" s="31">
        <f>2467.5</f>
        <v>2467.5</v>
      </c>
      <c r="L7" s="32" t="s">
        <v>996</v>
      </c>
      <c r="M7" s="31">
        <f>2484.5</f>
        <v>2484.5</v>
      </c>
      <c r="N7" s="32" t="s">
        <v>996</v>
      </c>
      <c r="O7" s="31">
        <f>2318.5</f>
        <v>2318.5</v>
      </c>
      <c r="P7" s="32" t="s">
        <v>787</v>
      </c>
      <c r="Q7" s="31">
        <f>2428.5</f>
        <v>2428.5</v>
      </c>
      <c r="R7" s="32" t="s">
        <v>791</v>
      </c>
      <c r="S7" s="33">
        <f>2389.03</f>
        <v>2389.0300000000002</v>
      </c>
      <c r="T7" s="30">
        <f>6307140</f>
        <v>6307140</v>
      </c>
      <c r="U7" s="30">
        <f>744160</f>
        <v>744160</v>
      </c>
      <c r="V7" s="30">
        <f>15087515474</f>
        <v>15087515474</v>
      </c>
      <c r="W7" s="30">
        <f>1765598394</f>
        <v>1765598394</v>
      </c>
      <c r="X7" s="34">
        <f>20</f>
        <v>20</v>
      </c>
    </row>
    <row r="8" spans="1:24" ht="13.5" customHeight="1" x14ac:dyDescent="0.15">
      <c r="A8" s="25" t="s">
        <v>1112</v>
      </c>
      <c r="B8" s="25" t="s">
        <v>47</v>
      </c>
      <c r="C8" s="25" t="s">
        <v>48</v>
      </c>
      <c r="D8" s="25" t="s">
        <v>49</v>
      </c>
      <c r="E8" s="26" t="s">
        <v>45</v>
      </c>
      <c r="F8" s="27" t="s">
        <v>45</v>
      </c>
      <c r="G8" s="28" t="s">
        <v>45</v>
      </c>
      <c r="H8" s="29"/>
      <c r="I8" s="29" t="s">
        <v>46</v>
      </c>
      <c r="J8" s="30">
        <v>10</v>
      </c>
      <c r="K8" s="31">
        <f>2439</f>
        <v>2439</v>
      </c>
      <c r="L8" s="32" t="s">
        <v>996</v>
      </c>
      <c r="M8" s="31">
        <f>2457.5</f>
        <v>2457.5</v>
      </c>
      <c r="N8" s="32" t="s">
        <v>996</v>
      </c>
      <c r="O8" s="31">
        <f>2293.5</f>
        <v>2293.5</v>
      </c>
      <c r="P8" s="32" t="s">
        <v>787</v>
      </c>
      <c r="Q8" s="31">
        <f>2401</f>
        <v>2401</v>
      </c>
      <c r="R8" s="32" t="s">
        <v>791</v>
      </c>
      <c r="S8" s="33">
        <f>2362.95</f>
        <v>2362.9499999999998</v>
      </c>
      <c r="T8" s="30">
        <f>41301460</f>
        <v>41301460</v>
      </c>
      <c r="U8" s="30">
        <f>1716410</f>
        <v>1716410</v>
      </c>
      <c r="V8" s="30">
        <f>97805518521</f>
        <v>97805518521</v>
      </c>
      <c r="W8" s="30">
        <f>4093735561</f>
        <v>4093735561</v>
      </c>
      <c r="X8" s="34">
        <f>20</f>
        <v>20</v>
      </c>
    </row>
    <row r="9" spans="1:24" ht="13.5" customHeight="1" x14ac:dyDescent="0.15">
      <c r="A9" s="25" t="s">
        <v>1112</v>
      </c>
      <c r="B9" s="25" t="s">
        <v>50</v>
      </c>
      <c r="C9" s="25" t="s">
        <v>51</v>
      </c>
      <c r="D9" s="25" t="s">
        <v>52</v>
      </c>
      <c r="E9" s="26" t="s">
        <v>45</v>
      </c>
      <c r="F9" s="27" t="s">
        <v>45</v>
      </c>
      <c r="G9" s="28" t="s">
        <v>45</v>
      </c>
      <c r="H9" s="29"/>
      <c r="I9" s="29" t="s">
        <v>46</v>
      </c>
      <c r="J9" s="30">
        <v>1</v>
      </c>
      <c r="K9" s="31">
        <f>2412</f>
        <v>2412</v>
      </c>
      <c r="L9" s="32" t="s">
        <v>996</v>
      </c>
      <c r="M9" s="31">
        <f>2428.5</f>
        <v>2428.5</v>
      </c>
      <c r="N9" s="32" t="s">
        <v>996</v>
      </c>
      <c r="O9" s="31">
        <f>2267</f>
        <v>2267</v>
      </c>
      <c r="P9" s="32" t="s">
        <v>787</v>
      </c>
      <c r="Q9" s="31">
        <f>2373</f>
        <v>2373</v>
      </c>
      <c r="R9" s="32" t="s">
        <v>791</v>
      </c>
      <c r="S9" s="33">
        <f>2332.98</f>
        <v>2332.98</v>
      </c>
      <c r="T9" s="30">
        <f>14864378</f>
        <v>14864378</v>
      </c>
      <c r="U9" s="30">
        <f>2399305</f>
        <v>2399305</v>
      </c>
      <c r="V9" s="30">
        <f>34629245753</f>
        <v>34629245753</v>
      </c>
      <c r="W9" s="30">
        <f>5593567340</f>
        <v>5593567340</v>
      </c>
      <c r="X9" s="34">
        <f>20</f>
        <v>20</v>
      </c>
    </row>
    <row r="10" spans="1:24" ht="13.5" customHeight="1" x14ac:dyDescent="0.15">
      <c r="A10" s="25" t="s">
        <v>1112</v>
      </c>
      <c r="B10" s="25" t="s">
        <v>53</v>
      </c>
      <c r="C10" s="25" t="s">
        <v>54</v>
      </c>
      <c r="D10" s="25" t="s">
        <v>55</v>
      </c>
      <c r="E10" s="26" t="s">
        <v>45</v>
      </c>
      <c r="F10" s="27" t="s">
        <v>45</v>
      </c>
      <c r="G10" s="28" t="s">
        <v>45</v>
      </c>
      <c r="H10" s="29"/>
      <c r="I10" s="29" t="s">
        <v>46</v>
      </c>
      <c r="J10" s="30">
        <v>1</v>
      </c>
      <c r="K10" s="31">
        <f>39000</f>
        <v>39000</v>
      </c>
      <c r="L10" s="32" t="s">
        <v>996</v>
      </c>
      <c r="M10" s="31">
        <f>41700</f>
        <v>41700</v>
      </c>
      <c r="N10" s="32" t="s">
        <v>791</v>
      </c>
      <c r="O10" s="31">
        <f>37990</f>
        <v>37990</v>
      </c>
      <c r="P10" s="32" t="s">
        <v>790</v>
      </c>
      <c r="Q10" s="31">
        <f>40950</f>
        <v>40950</v>
      </c>
      <c r="R10" s="32" t="s">
        <v>791</v>
      </c>
      <c r="S10" s="33">
        <f>38966</f>
        <v>38966</v>
      </c>
      <c r="T10" s="30">
        <f>4983</f>
        <v>4983</v>
      </c>
      <c r="U10" s="30">
        <f>7</f>
        <v>7</v>
      </c>
      <c r="V10" s="30">
        <f>196537250</f>
        <v>196537250</v>
      </c>
      <c r="W10" s="30">
        <f>270410</f>
        <v>270410</v>
      </c>
      <c r="X10" s="34">
        <f>20</f>
        <v>20</v>
      </c>
    </row>
    <row r="11" spans="1:24" ht="13.5" customHeight="1" x14ac:dyDescent="0.15">
      <c r="A11" s="25" t="s">
        <v>1112</v>
      </c>
      <c r="B11" s="25" t="s">
        <v>57</v>
      </c>
      <c r="C11" s="25" t="s">
        <v>58</v>
      </c>
      <c r="D11" s="25" t="s">
        <v>59</v>
      </c>
      <c r="E11" s="26" t="s">
        <v>45</v>
      </c>
      <c r="F11" s="27" t="s">
        <v>45</v>
      </c>
      <c r="G11" s="28" t="s">
        <v>45</v>
      </c>
      <c r="H11" s="29"/>
      <c r="I11" s="29" t="s">
        <v>46</v>
      </c>
      <c r="J11" s="30">
        <v>10</v>
      </c>
      <c r="K11" s="31">
        <f>1173</f>
        <v>1173</v>
      </c>
      <c r="L11" s="32" t="s">
        <v>996</v>
      </c>
      <c r="M11" s="31">
        <f>1182.5</f>
        <v>1182.5</v>
      </c>
      <c r="N11" s="32" t="s">
        <v>996</v>
      </c>
      <c r="O11" s="31">
        <f>1097</f>
        <v>1097</v>
      </c>
      <c r="P11" s="32" t="s">
        <v>56</v>
      </c>
      <c r="Q11" s="31">
        <f>1154</f>
        <v>1154</v>
      </c>
      <c r="R11" s="32" t="s">
        <v>791</v>
      </c>
      <c r="S11" s="33">
        <f>1138.53</f>
        <v>1138.53</v>
      </c>
      <c r="T11" s="30">
        <f>214180</f>
        <v>214180</v>
      </c>
      <c r="U11" s="30">
        <f>50</f>
        <v>50</v>
      </c>
      <c r="V11" s="30">
        <f>243295730</f>
        <v>243295730</v>
      </c>
      <c r="W11" s="30">
        <f>56250</f>
        <v>56250</v>
      </c>
      <c r="X11" s="34">
        <f>20</f>
        <v>20</v>
      </c>
    </row>
    <row r="12" spans="1:24" ht="13.5" customHeight="1" x14ac:dyDescent="0.15">
      <c r="A12" s="25" t="s">
        <v>1112</v>
      </c>
      <c r="B12" s="25" t="s">
        <v>66</v>
      </c>
      <c r="C12" s="25" t="s">
        <v>67</v>
      </c>
      <c r="D12" s="25" t="s">
        <v>68</v>
      </c>
      <c r="E12" s="26" t="s">
        <v>45</v>
      </c>
      <c r="F12" s="27" t="s">
        <v>45</v>
      </c>
      <c r="G12" s="28" t="s">
        <v>45</v>
      </c>
      <c r="H12" s="29"/>
      <c r="I12" s="29" t="s">
        <v>46</v>
      </c>
      <c r="J12" s="30">
        <v>1000</v>
      </c>
      <c r="K12" s="31">
        <f>380</f>
        <v>380</v>
      </c>
      <c r="L12" s="32" t="s">
        <v>996</v>
      </c>
      <c r="M12" s="31">
        <f>398.7</f>
        <v>398.7</v>
      </c>
      <c r="N12" s="32" t="s">
        <v>793</v>
      </c>
      <c r="O12" s="31">
        <f>370.6</f>
        <v>370.6</v>
      </c>
      <c r="P12" s="32" t="s">
        <v>875</v>
      </c>
      <c r="Q12" s="31">
        <f>393.8</f>
        <v>393.8</v>
      </c>
      <c r="R12" s="32" t="s">
        <v>789</v>
      </c>
      <c r="S12" s="33">
        <f>385.26</f>
        <v>385.26</v>
      </c>
      <c r="T12" s="30">
        <f>107000</f>
        <v>107000</v>
      </c>
      <c r="U12" s="30" t="str">
        <f>"－"</f>
        <v>－</v>
      </c>
      <c r="V12" s="30">
        <f>41136600</f>
        <v>41136600</v>
      </c>
      <c r="W12" s="30" t="str">
        <f>"－"</f>
        <v>－</v>
      </c>
      <c r="X12" s="34">
        <f>15</f>
        <v>15</v>
      </c>
    </row>
    <row r="13" spans="1:24" ht="13.5" customHeight="1" x14ac:dyDescent="0.15">
      <c r="A13" s="25" t="s">
        <v>1112</v>
      </c>
      <c r="B13" s="25" t="s">
        <v>69</v>
      </c>
      <c r="C13" s="25" t="s">
        <v>1035</v>
      </c>
      <c r="D13" s="25" t="s">
        <v>1036</v>
      </c>
      <c r="E13" s="26" t="s">
        <v>45</v>
      </c>
      <c r="F13" s="27" t="s">
        <v>45</v>
      </c>
      <c r="G13" s="28" t="s">
        <v>45</v>
      </c>
      <c r="H13" s="29"/>
      <c r="I13" s="29" t="s">
        <v>46</v>
      </c>
      <c r="J13" s="30">
        <v>1</v>
      </c>
      <c r="K13" s="31">
        <f>34980</f>
        <v>34980</v>
      </c>
      <c r="L13" s="32" t="s">
        <v>996</v>
      </c>
      <c r="M13" s="31">
        <f>35210</f>
        <v>35210</v>
      </c>
      <c r="N13" s="32" t="s">
        <v>996</v>
      </c>
      <c r="O13" s="31">
        <f>32560</f>
        <v>32560</v>
      </c>
      <c r="P13" s="32" t="s">
        <v>787</v>
      </c>
      <c r="Q13" s="31">
        <f>33990</f>
        <v>33990</v>
      </c>
      <c r="R13" s="32" t="s">
        <v>791</v>
      </c>
      <c r="S13" s="33">
        <f>33613.5</f>
        <v>33613.5</v>
      </c>
      <c r="T13" s="30">
        <f>2313718</f>
        <v>2313718</v>
      </c>
      <c r="U13" s="30">
        <f>1047266</f>
        <v>1047266</v>
      </c>
      <c r="V13" s="30">
        <f>78396829285</f>
        <v>78396829285</v>
      </c>
      <c r="W13" s="30">
        <f>35588931875</f>
        <v>35588931875</v>
      </c>
      <c r="X13" s="34">
        <f>20</f>
        <v>20</v>
      </c>
    </row>
    <row r="14" spans="1:24" ht="13.5" customHeight="1" x14ac:dyDescent="0.15">
      <c r="A14" s="25" t="s">
        <v>1112</v>
      </c>
      <c r="B14" s="25" t="s">
        <v>72</v>
      </c>
      <c r="C14" s="25" t="s">
        <v>73</v>
      </c>
      <c r="D14" s="25" t="s">
        <v>74</v>
      </c>
      <c r="E14" s="26" t="s">
        <v>45</v>
      </c>
      <c r="F14" s="27" t="s">
        <v>45</v>
      </c>
      <c r="G14" s="28" t="s">
        <v>45</v>
      </c>
      <c r="H14" s="29"/>
      <c r="I14" s="29" t="s">
        <v>46</v>
      </c>
      <c r="J14" s="30">
        <v>1</v>
      </c>
      <c r="K14" s="31">
        <f>35060</f>
        <v>35060</v>
      </c>
      <c r="L14" s="32" t="s">
        <v>996</v>
      </c>
      <c r="M14" s="31">
        <f>35320</f>
        <v>35320</v>
      </c>
      <c r="N14" s="32" t="s">
        <v>996</v>
      </c>
      <c r="O14" s="31">
        <f>32680</f>
        <v>32680</v>
      </c>
      <c r="P14" s="32" t="s">
        <v>787</v>
      </c>
      <c r="Q14" s="31">
        <f>34110</f>
        <v>34110</v>
      </c>
      <c r="R14" s="32" t="s">
        <v>791</v>
      </c>
      <c r="S14" s="33">
        <f>33713.5</f>
        <v>33713.5</v>
      </c>
      <c r="T14" s="30">
        <f>7824378</f>
        <v>7824378</v>
      </c>
      <c r="U14" s="30">
        <f>793908</f>
        <v>793908</v>
      </c>
      <c r="V14" s="30">
        <f>263375469921</f>
        <v>263375469921</v>
      </c>
      <c r="W14" s="30">
        <f>26513751481</f>
        <v>26513751481</v>
      </c>
      <c r="X14" s="34">
        <f>20</f>
        <v>20</v>
      </c>
    </row>
    <row r="15" spans="1:24" ht="13.5" customHeight="1" x14ac:dyDescent="0.15">
      <c r="A15" s="25" t="s">
        <v>1112</v>
      </c>
      <c r="B15" s="25" t="s">
        <v>75</v>
      </c>
      <c r="C15" s="25" t="s">
        <v>76</v>
      </c>
      <c r="D15" s="25" t="s">
        <v>77</v>
      </c>
      <c r="E15" s="26" t="s">
        <v>45</v>
      </c>
      <c r="F15" s="27" t="s">
        <v>45</v>
      </c>
      <c r="G15" s="28" t="s">
        <v>45</v>
      </c>
      <c r="H15" s="29"/>
      <c r="I15" s="29" t="s">
        <v>46</v>
      </c>
      <c r="J15" s="30">
        <v>10</v>
      </c>
      <c r="K15" s="31">
        <f>7627</f>
        <v>7627</v>
      </c>
      <c r="L15" s="32" t="s">
        <v>996</v>
      </c>
      <c r="M15" s="31">
        <f>8130</f>
        <v>8130</v>
      </c>
      <c r="N15" s="32" t="s">
        <v>791</v>
      </c>
      <c r="O15" s="31">
        <f>7450</f>
        <v>7450</v>
      </c>
      <c r="P15" s="32" t="s">
        <v>790</v>
      </c>
      <c r="Q15" s="31">
        <f>8039</f>
        <v>8039</v>
      </c>
      <c r="R15" s="32" t="s">
        <v>791</v>
      </c>
      <c r="S15" s="33">
        <f>7654.8</f>
        <v>7654.8</v>
      </c>
      <c r="T15" s="30">
        <f>12680</f>
        <v>12680</v>
      </c>
      <c r="U15" s="30" t="str">
        <f>"－"</f>
        <v>－</v>
      </c>
      <c r="V15" s="30">
        <f>98063410</f>
        <v>98063410</v>
      </c>
      <c r="W15" s="30" t="str">
        <f>"－"</f>
        <v>－</v>
      </c>
      <c r="X15" s="34">
        <f>20</f>
        <v>20</v>
      </c>
    </row>
    <row r="16" spans="1:24" ht="13.5" customHeight="1" x14ac:dyDescent="0.15">
      <c r="A16" s="25" t="s">
        <v>1112</v>
      </c>
      <c r="B16" s="25" t="s">
        <v>79</v>
      </c>
      <c r="C16" s="25" t="s">
        <v>926</v>
      </c>
      <c r="D16" s="25" t="s">
        <v>927</v>
      </c>
      <c r="E16" s="26" t="s">
        <v>45</v>
      </c>
      <c r="F16" s="27" t="s">
        <v>45</v>
      </c>
      <c r="G16" s="28" t="s">
        <v>45</v>
      </c>
      <c r="H16" s="29"/>
      <c r="I16" s="29" t="s">
        <v>46</v>
      </c>
      <c r="J16" s="30">
        <v>100</v>
      </c>
      <c r="K16" s="31" t="str">
        <f>"－"</f>
        <v>－</v>
      </c>
      <c r="L16" s="32"/>
      <c r="M16" s="31" t="str">
        <f>"－"</f>
        <v>－</v>
      </c>
      <c r="N16" s="32"/>
      <c r="O16" s="31" t="str">
        <f>"－"</f>
        <v>－</v>
      </c>
      <c r="P16" s="32"/>
      <c r="Q16" s="31" t="str">
        <f>"－"</f>
        <v>－</v>
      </c>
      <c r="R16" s="32"/>
      <c r="S16" s="33" t="str">
        <f>"－"</f>
        <v>－</v>
      </c>
      <c r="T16" s="30" t="str">
        <f>"－"</f>
        <v>－</v>
      </c>
      <c r="U16" s="30" t="str">
        <f>"－"</f>
        <v>－</v>
      </c>
      <c r="V16" s="30" t="str">
        <f>"－"</f>
        <v>－</v>
      </c>
      <c r="W16" s="30" t="str">
        <f>"－"</f>
        <v>－</v>
      </c>
      <c r="X16" s="34" t="str">
        <f>"－"</f>
        <v>－</v>
      </c>
    </row>
    <row r="17" spans="1:24" ht="13.5" customHeight="1" x14ac:dyDescent="0.15">
      <c r="A17" s="25" t="s">
        <v>1112</v>
      </c>
      <c r="B17" s="25" t="s">
        <v>81</v>
      </c>
      <c r="C17" s="25" t="s">
        <v>82</v>
      </c>
      <c r="D17" s="25" t="s">
        <v>83</v>
      </c>
      <c r="E17" s="26" t="s">
        <v>45</v>
      </c>
      <c r="F17" s="27" t="s">
        <v>45</v>
      </c>
      <c r="G17" s="28" t="s">
        <v>45</v>
      </c>
      <c r="H17" s="29"/>
      <c r="I17" s="29" t="s">
        <v>46</v>
      </c>
      <c r="J17" s="30">
        <v>100</v>
      </c>
      <c r="K17" s="31">
        <f>242</f>
        <v>242</v>
      </c>
      <c r="L17" s="32" t="s">
        <v>996</v>
      </c>
      <c r="M17" s="31">
        <f>255</f>
        <v>255</v>
      </c>
      <c r="N17" s="32" t="s">
        <v>785</v>
      </c>
      <c r="O17" s="31">
        <f>214.3</f>
        <v>214.3</v>
      </c>
      <c r="P17" s="32" t="s">
        <v>56</v>
      </c>
      <c r="Q17" s="31">
        <f>236.9</f>
        <v>236.9</v>
      </c>
      <c r="R17" s="32" t="s">
        <v>791</v>
      </c>
      <c r="S17" s="33">
        <f>228.76</f>
        <v>228.76</v>
      </c>
      <c r="T17" s="30">
        <f>1718800</f>
        <v>1718800</v>
      </c>
      <c r="U17" s="30">
        <f>200</f>
        <v>200</v>
      </c>
      <c r="V17" s="30">
        <f>400946530</f>
        <v>400946530</v>
      </c>
      <c r="W17" s="30">
        <f>47730</f>
        <v>47730</v>
      </c>
      <c r="X17" s="34">
        <f>20</f>
        <v>20</v>
      </c>
    </row>
    <row r="18" spans="1:24" ht="13.5" customHeight="1" x14ac:dyDescent="0.15">
      <c r="A18" s="25" t="s">
        <v>1112</v>
      </c>
      <c r="B18" s="25" t="s">
        <v>84</v>
      </c>
      <c r="C18" s="25" t="s">
        <v>85</v>
      </c>
      <c r="D18" s="25" t="s">
        <v>86</v>
      </c>
      <c r="E18" s="26" t="s">
        <v>45</v>
      </c>
      <c r="F18" s="27" t="s">
        <v>45</v>
      </c>
      <c r="G18" s="28" t="s">
        <v>45</v>
      </c>
      <c r="H18" s="29"/>
      <c r="I18" s="29" t="s">
        <v>46</v>
      </c>
      <c r="J18" s="30">
        <v>1</v>
      </c>
      <c r="K18" s="31">
        <f>25710</f>
        <v>25710</v>
      </c>
      <c r="L18" s="32" t="s">
        <v>996</v>
      </c>
      <c r="M18" s="31">
        <f>25875</f>
        <v>25875</v>
      </c>
      <c r="N18" s="32" t="s">
        <v>784</v>
      </c>
      <c r="O18" s="31">
        <f>25020</f>
        <v>25020</v>
      </c>
      <c r="P18" s="32" t="s">
        <v>1005</v>
      </c>
      <c r="Q18" s="31">
        <f>25745</f>
        <v>25745</v>
      </c>
      <c r="R18" s="32" t="s">
        <v>791</v>
      </c>
      <c r="S18" s="33">
        <f>25540.75</f>
        <v>25540.75</v>
      </c>
      <c r="T18" s="30">
        <f>120315</f>
        <v>120315</v>
      </c>
      <c r="U18" s="30" t="str">
        <f>"－"</f>
        <v>－</v>
      </c>
      <c r="V18" s="30">
        <f>3066071505</f>
        <v>3066071505</v>
      </c>
      <c r="W18" s="30" t="str">
        <f>"－"</f>
        <v>－</v>
      </c>
      <c r="X18" s="34">
        <f>20</f>
        <v>20</v>
      </c>
    </row>
    <row r="19" spans="1:24" ht="13.5" customHeight="1" x14ac:dyDescent="0.15">
      <c r="A19" s="25" t="s">
        <v>1112</v>
      </c>
      <c r="B19" s="25" t="s">
        <v>87</v>
      </c>
      <c r="C19" s="25" t="s">
        <v>88</v>
      </c>
      <c r="D19" s="25" t="s">
        <v>89</v>
      </c>
      <c r="E19" s="26" t="s">
        <v>45</v>
      </c>
      <c r="F19" s="27" t="s">
        <v>45</v>
      </c>
      <c r="G19" s="28" t="s">
        <v>45</v>
      </c>
      <c r="H19" s="29"/>
      <c r="I19" s="29" t="s">
        <v>46</v>
      </c>
      <c r="J19" s="30">
        <v>10</v>
      </c>
      <c r="K19" s="31">
        <f>6858</f>
        <v>6858</v>
      </c>
      <c r="L19" s="32" t="s">
        <v>996</v>
      </c>
      <c r="M19" s="31">
        <f>6905</f>
        <v>6905</v>
      </c>
      <c r="N19" s="32" t="s">
        <v>784</v>
      </c>
      <c r="O19" s="31">
        <f>6684</f>
        <v>6684</v>
      </c>
      <c r="P19" s="32" t="s">
        <v>1005</v>
      </c>
      <c r="Q19" s="31">
        <f>6867</f>
        <v>6867</v>
      </c>
      <c r="R19" s="32" t="s">
        <v>791</v>
      </c>
      <c r="S19" s="33">
        <f>6820.4</f>
        <v>6820.4</v>
      </c>
      <c r="T19" s="30">
        <f>261500</f>
        <v>261500</v>
      </c>
      <c r="U19" s="30">
        <f>190</f>
        <v>190</v>
      </c>
      <c r="V19" s="30">
        <f>1777166950</f>
        <v>1777166950</v>
      </c>
      <c r="W19" s="30">
        <f>1294000</f>
        <v>1294000</v>
      </c>
      <c r="X19" s="34">
        <f>20</f>
        <v>20</v>
      </c>
    </row>
    <row r="20" spans="1:24" ht="13.5" customHeight="1" x14ac:dyDescent="0.15">
      <c r="A20" s="25" t="s">
        <v>1112</v>
      </c>
      <c r="B20" s="25" t="s">
        <v>90</v>
      </c>
      <c r="C20" s="25" t="s">
        <v>91</v>
      </c>
      <c r="D20" s="25" t="s">
        <v>92</v>
      </c>
      <c r="E20" s="26" t="s">
        <v>45</v>
      </c>
      <c r="F20" s="27" t="s">
        <v>45</v>
      </c>
      <c r="G20" s="28" t="s">
        <v>45</v>
      </c>
      <c r="H20" s="29"/>
      <c r="I20" s="29" t="s">
        <v>46</v>
      </c>
      <c r="J20" s="30">
        <v>1</v>
      </c>
      <c r="K20" s="31">
        <f>34970</f>
        <v>34970</v>
      </c>
      <c r="L20" s="32" t="s">
        <v>996</v>
      </c>
      <c r="M20" s="31">
        <f>35200</f>
        <v>35200</v>
      </c>
      <c r="N20" s="32" t="s">
        <v>996</v>
      </c>
      <c r="O20" s="31">
        <f>33140</f>
        <v>33140</v>
      </c>
      <c r="P20" s="32" t="s">
        <v>787</v>
      </c>
      <c r="Q20" s="31">
        <f>34590</f>
        <v>34590</v>
      </c>
      <c r="R20" s="32" t="s">
        <v>791</v>
      </c>
      <c r="S20" s="33">
        <f>34088.5</f>
        <v>34088.5</v>
      </c>
      <c r="T20" s="30">
        <f>1331100</f>
        <v>1331100</v>
      </c>
      <c r="U20" s="30">
        <f>404575</f>
        <v>404575</v>
      </c>
      <c r="V20" s="30">
        <f>45417296849</f>
        <v>45417296849</v>
      </c>
      <c r="W20" s="30">
        <f>13911768049</f>
        <v>13911768049</v>
      </c>
      <c r="X20" s="34">
        <f>20</f>
        <v>20</v>
      </c>
    </row>
    <row r="21" spans="1:24" ht="13.5" customHeight="1" x14ac:dyDescent="0.15">
      <c r="A21" s="25" t="s">
        <v>1112</v>
      </c>
      <c r="B21" s="25" t="s">
        <v>93</v>
      </c>
      <c r="C21" s="25" t="s">
        <v>94</v>
      </c>
      <c r="D21" s="25" t="s">
        <v>95</v>
      </c>
      <c r="E21" s="26" t="s">
        <v>45</v>
      </c>
      <c r="F21" s="27" t="s">
        <v>45</v>
      </c>
      <c r="G21" s="28" t="s">
        <v>45</v>
      </c>
      <c r="H21" s="29"/>
      <c r="I21" s="29" t="s">
        <v>46</v>
      </c>
      <c r="J21" s="30">
        <v>1</v>
      </c>
      <c r="K21" s="31">
        <f>35090</f>
        <v>35090</v>
      </c>
      <c r="L21" s="32" t="s">
        <v>996</v>
      </c>
      <c r="M21" s="31">
        <f>35330</f>
        <v>35330</v>
      </c>
      <c r="N21" s="32" t="s">
        <v>996</v>
      </c>
      <c r="O21" s="31">
        <f>32720</f>
        <v>32720</v>
      </c>
      <c r="P21" s="32" t="s">
        <v>787</v>
      </c>
      <c r="Q21" s="31">
        <f>34150</f>
        <v>34150</v>
      </c>
      <c r="R21" s="32" t="s">
        <v>791</v>
      </c>
      <c r="S21" s="33">
        <f>33743.5</f>
        <v>33743.5</v>
      </c>
      <c r="T21" s="30">
        <f>1494712</f>
        <v>1494712</v>
      </c>
      <c r="U21" s="30">
        <f>848740</f>
        <v>848740</v>
      </c>
      <c r="V21" s="30">
        <f>51596834615</f>
        <v>51596834615</v>
      </c>
      <c r="W21" s="30">
        <f>29697338955</f>
        <v>29697338955</v>
      </c>
      <c r="X21" s="34">
        <f>20</f>
        <v>20</v>
      </c>
    </row>
    <row r="22" spans="1:24" ht="13.5" customHeight="1" x14ac:dyDescent="0.15">
      <c r="A22" s="25" t="s">
        <v>1112</v>
      </c>
      <c r="B22" s="25" t="s">
        <v>96</v>
      </c>
      <c r="C22" s="25" t="s">
        <v>1113</v>
      </c>
      <c r="D22" s="25" t="s">
        <v>98</v>
      </c>
      <c r="E22" s="26" t="s">
        <v>45</v>
      </c>
      <c r="F22" s="27" t="s">
        <v>45</v>
      </c>
      <c r="G22" s="28" t="s">
        <v>45</v>
      </c>
      <c r="H22" s="29"/>
      <c r="I22" s="29" t="s">
        <v>46</v>
      </c>
      <c r="J22" s="30">
        <v>10</v>
      </c>
      <c r="K22" s="31">
        <f>2010.5</f>
        <v>2010.5</v>
      </c>
      <c r="L22" s="32" t="s">
        <v>996</v>
      </c>
      <c r="M22" s="31">
        <f>2059</f>
        <v>2059</v>
      </c>
      <c r="N22" s="32" t="s">
        <v>255</v>
      </c>
      <c r="O22" s="31">
        <f>1983</f>
        <v>1983</v>
      </c>
      <c r="P22" s="32" t="s">
        <v>875</v>
      </c>
      <c r="Q22" s="31">
        <f>2030.5</f>
        <v>2030.5</v>
      </c>
      <c r="R22" s="32" t="s">
        <v>791</v>
      </c>
      <c r="S22" s="33">
        <f>2019.3</f>
        <v>2019.3</v>
      </c>
      <c r="T22" s="30">
        <f>6362240</f>
        <v>6362240</v>
      </c>
      <c r="U22" s="30">
        <f>2203500</f>
        <v>2203500</v>
      </c>
      <c r="V22" s="30">
        <f>12857593273</f>
        <v>12857593273</v>
      </c>
      <c r="W22" s="30">
        <f>4451266963</f>
        <v>4451266963</v>
      </c>
      <c r="X22" s="34">
        <f>20</f>
        <v>20</v>
      </c>
    </row>
    <row r="23" spans="1:24" ht="13.5" customHeight="1" x14ac:dyDescent="0.15">
      <c r="A23" s="25" t="s">
        <v>1112</v>
      </c>
      <c r="B23" s="25" t="s">
        <v>99</v>
      </c>
      <c r="C23" s="25" t="s">
        <v>100</v>
      </c>
      <c r="D23" s="25" t="s">
        <v>1114</v>
      </c>
      <c r="E23" s="26" t="s">
        <v>45</v>
      </c>
      <c r="F23" s="27" t="s">
        <v>45</v>
      </c>
      <c r="G23" s="28" t="s">
        <v>45</v>
      </c>
      <c r="H23" s="29"/>
      <c r="I23" s="29" t="s">
        <v>46</v>
      </c>
      <c r="J23" s="30">
        <v>100</v>
      </c>
      <c r="K23" s="31">
        <f>1896.5</f>
        <v>1896.5</v>
      </c>
      <c r="L23" s="32" t="s">
        <v>996</v>
      </c>
      <c r="M23" s="31">
        <f>1926</f>
        <v>1926</v>
      </c>
      <c r="N23" s="32" t="s">
        <v>255</v>
      </c>
      <c r="O23" s="31">
        <f>1860</f>
        <v>1860</v>
      </c>
      <c r="P23" s="32" t="s">
        <v>875</v>
      </c>
      <c r="Q23" s="31">
        <f>1907.5</f>
        <v>1907.5</v>
      </c>
      <c r="R23" s="32" t="s">
        <v>791</v>
      </c>
      <c r="S23" s="33">
        <f>1895.08</f>
        <v>1895.08</v>
      </c>
      <c r="T23" s="30">
        <f>1239900</f>
        <v>1239900</v>
      </c>
      <c r="U23" s="30">
        <f>562200</f>
        <v>562200</v>
      </c>
      <c r="V23" s="30">
        <f>2348706496</f>
        <v>2348706496</v>
      </c>
      <c r="W23" s="30">
        <f>1066781796</f>
        <v>1066781796</v>
      </c>
      <c r="X23" s="34">
        <f>20</f>
        <v>20</v>
      </c>
    </row>
    <row r="24" spans="1:24" ht="13.5" customHeight="1" x14ac:dyDescent="0.15">
      <c r="A24" s="25" t="s">
        <v>1112</v>
      </c>
      <c r="B24" s="25" t="s">
        <v>102</v>
      </c>
      <c r="C24" s="25" t="s">
        <v>103</v>
      </c>
      <c r="D24" s="25" t="s">
        <v>1115</v>
      </c>
      <c r="E24" s="26" t="s">
        <v>45</v>
      </c>
      <c r="F24" s="27" t="s">
        <v>45</v>
      </c>
      <c r="G24" s="28" t="s">
        <v>45</v>
      </c>
      <c r="H24" s="29"/>
      <c r="I24" s="29" t="s">
        <v>46</v>
      </c>
      <c r="J24" s="30">
        <v>1</v>
      </c>
      <c r="K24" s="31">
        <f>34870</f>
        <v>34870</v>
      </c>
      <c r="L24" s="32" t="s">
        <v>996</v>
      </c>
      <c r="M24" s="31">
        <f>35110</f>
        <v>35110</v>
      </c>
      <c r="N24" s="32" t="s">
        <v>996</v>
      </c>
      <c r="O24" s="31">
        <f>32940</f>
        <v>32940</v>
      </c>
      <c r="P24" s="32" t="s">
        <v>56</v>
      </c>
      <c r="Q24" s="31">
        <f>34240</f>
        <v>34240</v>
      </c>
      <c r="R24" s="32" t="s">
        <v>791</v>
      </c>
      <c r="S24" s="33">
        <f>33824</f>
        <v>33824</v>
      </c>
      <c r="T24" s="30">
        <f>627018</f>
        <v>627018</v>
      </c>
      <c r="U24" s="30">
        <f>130095</f>
        <v>130095</v>
      </c>
      <c r="V24" s="30">
        <f>21235598750</f>
        <v>21235598750</v>
      </c>
      <c r="W24" s="30">
        <f>4387668120</f>
        <v>4387668120</v>
      </c>
      <c r="X24" s="34">
        <f>20</f>
        <v>20</v>
      </c>
    </row>
    <row r="25" spans="1:24" ht="13.5" customHeight="1" x14ac:dyDescent="0.15">
      <c r="A25" s="25" t="s">
        <v>1112</v>
      </c>
      <c r="B25" s="25" t="s">
        <v>105</v>
      </c>
      <c r="C25" s="25" t="s">
        <v>106</v>
      </c>
      <c r="D25" s="25" t="s">
        <v>107</v>
      </c>
      <c r="E25" s="26" t="s">
        <v>45</v>
      </c>
      <c r="F25" s="27" t="s">
        <v>45</v>
      </c>
      <c r="G25" s="28" t="s">
        <v>45</v>
      </c>
      <c r="H25" s="29"/>
      <c r="I25" s="29" t="s">
        <v>46</v>
      </c>
      <c r="J25" s="30">
        <v>10</v>
      </c>
      <c r="K25" s="31">
        <f>2412.5</f>
        <v>2412.5</v>
      </c>
      <c r="L25" s="32" t="s">
        <v>996</v>
      </c>
      <c r="M25" s="31">
        <f>2430</f>
        <v>2430</v>
      </c>
      <c r="N25" s="32" t="s">
        <v>996</v>
      </c>
      <c r="O25" s="31">
        <f>2292</f>
        <v>2292</v>
      </c>
      <c r="P25" s="32" t="s">
        <v>56</v>
      </c>
      <c r="Q25" s="31">
        <f>2398</f>
        <v>2398</v>
      </c>
      <c r="R25" s="32" t="s">
        <v>791</v>
      </c>
      <c r="S25" s="33">
        <f>2360.68</f>
        <v>2360.6799999999998</v>
      </c>
      <c r="T25" s="30">
        <f>6808760</f>
        <v>6808760</v>
      </c>
      <c r="U25" s="30">
        <f>1647700</f>
        <v>1647700</v>
      </c>
      <c r="V25" s="30">
        <f>16133930643</f>
        <v>16133930643</v>
      </c>
      <c r="W25" s="30">
        <f>3902612643</f>
        <v>3902612643</v>
      </c>
      <c r="X25" s="34">
        <f>20</f>
        <v>20</v>
      </c>
    </row>
    <row r="26" spans="1:24" ht="13.5" customHeight="1" x14ac:dyDescent="0.15">
      <c r="A26" s="25" t="s">
        <v>1112</v>
      </c>
      <c r="B26" s="25" t="s">
        <v>108</v>
      </c>
      <c r="C26" s="25" t="s">
        <v>109</v>
      </c>
      <c r="D26" s="25" t="s">
        <v>110</v>
      </c>
      <c r="E26" s="26" t="s">
        <v>45</v>
      </c>
      <c r="F26" s="27" t="s">
        <v>45</v>
      </c>
      <c r="G26" s="28" t="s">
        <v>45</v>
      </c>
      <c r="H26" s="29"/>
      <c r="I26" s="29" t="s">
        <v>46</v>
      </c>
      <c r="J26" s="30">
        <v>1</v>
      </c>
      <c r="K26" s="31">
        <f>15555</f>
        <v>15555</v>
      </c>
      <c r="L26" s="32" t="s">
        <v>996</v>
      </c>
      <c r="M26" s="31">
        <f>15625</f>
        <v>15625</v>
      </c>
      <c r="N26" s="32" t="s">
        <v>785</v>
      </c>
      <c r="O26" s="31">
        <f>15020</f>
        <v>15020</v>
      </c>
      <c r="P26" s="32" t="s">
        <v>997</v>
      </c>
      <c r="Q26" s="31">
        <f>15215</f>
        <v>15215</v>
      </c>
      <c r="R26" s="32" t="s">
        <v>791</v>
      </c>
      <c r="S26" s="33">
        <f>15304.5</f>
        <v>15304.5</v>
      </c>
      <c r="T26" s="30">
        <f>790</f>
        <v>790</v>
      </c>
      <c r="U26" s="30" t="str">
        <f>"－"</f>
        <v>－</v>
      </c>
      <c r="V26" s="30">
        <f>12107740</f>
        <v>12107740</v>
      </c>
      <c r="W26" s="30" t="str">
        <f>"－"</f>
        <v>－</v>
      </c>
      <c r="X26" s="34">
        <f>20</f>
        <v>20</v>
      </c>
    </row>
    <row r="27" spans="1:24" ht="13.5" customHeight="1" x14ac:dyDescent="0.15">
      <c r="A27" s="25" t="s">
        <v>1112</v>
      </c>
      <c r="B27" s="25" t="s">
        <v>111</v>
      </c>
      <c r="C27" s="25" t="s">
        <v>112</v>
      </c>
      <c r="D27" s="25" t="s">
        <v>113</v>
      </c>
      <c r="E27" s="26" t="s">
        <v>45</v>
      </c>
      <c r="F27" s="27" t="s">
        <v>45</v>
      </c>
      <c r="G27" s="28" t="s">
        <v>45</v>
      </c>
      <c r="H27" s="29"/>
      <c r="I27" s="29" t="s">
        <v>46</v>
      </c>
      <c r="J27" s="30">
        <v>10</v>
      </c>
      <c r="K27" s="31">
        <f>606.8</f>
        <v>606.79999999999995</v>
      </c>
      <c r="L27" s="32" t="s">
        <v>996</v>
      </c>
      <c r="M27" s="31">
        <f>655.5</f>
        <v>655.5</v>
      </c>
      <c r="N27" s="32" t="s">
        <v>787</v>
      </c>
      <c r="O27" s="31">
        <f>589.9</f>
        <v>589.9</v>
      </c>
      <c r="P27" s="32" t="s">
        <v>791</v>
      </c>
      <c r="Q27" s="31">
        <f>594</f>
        <v>594</v>
      </c>
      <c r="R27" s="32" t="s">
        <v>791</v>
      </c>
      <c r="S27" s="33">
        <f>622.61</f>
        <v>622.61</v>
      </c>
      <c r="T27" s="30">
        <f>18649160</f>
        <v>18649160</v>
      </c>
      <c r="U27" s="30">
        <f>1200</f>
        <v>1200</v>
      </c>
      <c r="V27" s="30">
        <f>11667550031</f>
        <v>11667550031</v>
      </c>
      <c r="W27" s="30">
        <f>750510</f>
        <v>750510</v>
      </c>
      <c r="X27" s="34">
        <f>20</f>
        <v>20</v>
      </c>
    </row>
    <row r="28" spans="1:24" ht="13.5" customHeight="1" x14ac:dyDescent="0.15">
      <c r="A28" s="25" t="s">
        <v>1112</v>
      </c>
      <c r="B28" s="25" t="s">
        <v>114</v>
      </c>
      <c r="C28" s="25" t="s">
        <v>115</v>
      </c>
      <c r="D28" s="25" t="s">
        <v>1116</v>
      </c>
      <c r="E28" s="26" t="s">
        <v>45</v>
      </c>
      <c r="F28" s="27" t="s">
        <v>45</v>
      </c>
      <c r="G28" s="28" t="s">
        <v>45</v>
      </c>
      <c r="H28" s="29"/>
      <c r="I28" s="29" t="s">
        <v>46</v>
      </c>
      <c r="J28" s="30">
        <v>1</v>
      </c>
      <c r="K28" s="31">
        <f>222</f>
        <v>222</v>
      </c>
      <c r="L28" s="32" t="s">
        <v>996</v>
      </c>
      <c r="M28" s="31">
        <f>248</f>
        <v>248</v>
      </c>
      <c r="N28" s="32" t="s">
        <v>787</v>
      </c>
      <c r="O28" s="31">
        <f>219</f>
        <v>219</v>
      </c>
      <c r="P28" s="32" t="s">
        <v>996</v>
      </c>
      <c r="Q28" s="31">
        <f>226</f>
        <v>226</v>
      </c>
      <c r="R28" s="32" t="s">
        <v>791</v>
      </c>
      <c r="S28" s="33">
        <f>233.15</f>
        <v>233.15</v>
      </c>
      <c r="T28" s="30">
        <f>1739739454</f>
        <v>1739739454</v>
      </c>
      <c r="U28" s="30">
        <f>1808183</f>
        <v>1808183</v>
      </c>
      <c r="V28" s="30">
        <f>406813174851</f>
        <v>406813174851</v>
      </c>
      <c r="W28" s="30">
        <f>420599640</f>
        <v>420599640</v>
      </c>
      <c r="X28" s="34">
        <f>20</f>
        <v>20</v>
      </c>
    </row>
    <row r="29" spans="1:24" ht="13.5" customHeight="1" x14ac:dyDescent="0.15">
      <c r="A29" s="25" t="s">
        <v>1112</v>
      </c>
      <c r="B29" s="25" t="s">
        <v>117</v>
      </c>
      <c r="C29" s="25" t="s">
        <v>118</v>
      </c>
      <c r="D29" s="25" t="s">
        <v>119</v>
      </c>
      <c r="E29" s="26" t="s">
        <v>45</v>
      </c>
      <c r="F29" s="27" t="s">
        <v>45</v>
      </c>
      <c r="G29" s="28" t="s">
        <v>45</v>
      </c>
      <c r="H29" s="29"/>
      <c r="I29" s="29" t="s">
        <v>46</v>
      </c>
      <c r="J29" s="30">
        <v>1</v>
      </c>
      <c r="K29" s="31">
        <f>39580</f>
        <v>39580</v>
      </c>
      <c r="L29" s="32" t="s">
        <v>996</v>
      </c>
      <c r="M29" s="31">
        <f>39950</f>
        <v>39950</v>
      </c>
      <c r="N29" s="32" t="s">
        <v>996</v>
      </c>
      <c r="O29" s="31">
        <f>35350</f>
        <v>35350</v>
      </c>
      <c r="P29" s="32" t="s">
        <v>787</v>
      </c>
      <c r="Q29" s="31">
        <f>38520</f>
        <v>38520</v>
      </c>
      <c r="R29" s="32" t="s">
        <v>791</v>
      </c>
      <c r="S29" s="33">
        <f>37395</f>
        <v>37395</v>
      </c>
      <c r="T29" s="30">
        <f>381677</f>
        <v>381677</v>
      </c>
      <c r="U29" s="30" t="str">
        <f>"－"</f>
        <v>－</v>
      </c>
      <c r="V29" s="30">
        <f>14339553250</f>
        <v>14339553250</v>
      </c>
      <c r="W29" s="30" t="str">
        <f>"－"</f>
        <v>－</v>
      </c>
      <c r="X29" s="34">
        <f>20</f>
        <v>20</v>
      </c>
    </row>
    <row r="30" spans="1:24" ht="13.5" customHeight="1" x14ac:dyDescent="0.15">
      <c r="A30" s="25" t="s">
        <v>1112</v>
      </c>
      <c r="B30" s="25" t="s">
        <v>120</v>
      </c>
      <c r="C30" s="25" t="s">
        <v>121</v>
      </c>
      <c r="D30" s="25" t="s">
        <v>122</v>
      </c>
      <c r="E30" s="26" t="s">
        <v>45</v>
      </c>
      <c r="F30" s="27" t="s">
        <v>45</v>
      </c>
      <c r="G30" s="28" t="s">
        <v>45</v>
      </c>
      <c r="H30" s="29"/>
      <c r="I30" s="29" t="s">
        <v>46</v>
      </c>
      <c r="J30" s="30">
        <v>10</v>
      </c>
      <c r="K30" s="31">
        <f>541.8</f>
        <v>541.79999999999995</v>
      </c>
      <c r="L30" s="32" t="s">
        <v>996</v>
      </c>
      <c r="M30" s="31">
        <f>603.6</f>
        <v>603.6</v>
      </c>
      <c r="N30" s="32" t="s">
        <v>787</v>
      </c>
      <c r="O30" s="31">
        <f>536.1</f>
        <v>536.1</v>
      </c>
      <c r="P30" s="32" t="s">
        <v>996</v>
      </c>
      <c r="Q30" s="31">
        <f>550.7</f>
        <v>550.70000000000005</v>
      </c>
      <c r="R30" s="32" t="s">
        <v>791</v>
      </c>
      <c r="S30" s="33">
        <f>570.12</f>
        <v>570.12</v>
      </c>
      <c r="T30" s="30">
        <f>351257850</f>
        <v>351257850</v>
      </c>
      <c r="U30" s="30">
        <f>21650</f>
        <v>21650</v>
      </c>
      <c r="V30" s="30">
        <f>201008778359</f>
        <v>201008778359</v>
      </c>
      <c r="W30" s="30">
        <f>11627793</f>
        <v>11627793</v>
      </c>
      <c r="X30" s="34">
        <f>20</f>
        <v>20</v>
      </c>
    </row>
    <row r="31" spans="1:24" ht="13.5" customHeight="1" x14ac:dyDescent="0.15">
      <c r="A31" s="25" t="s">
        <v>1112</v>
      </c>
      <c r="B31" s="25" t="s">
        <v>123</v>
      </c>
      <c r="C31" s="25" t="s">
        <v>124</v>
      </c>
      <c r="D31" s="25" t="s">
        <v>125</v>
      </c>
      <c r="E31" s="26" t="s">
        <v>45</v>
      </c>
      <c r="F31" s="27" t="s">
        <v>45</v>
      </c>
      <c r="G31" s="28" t="s">
        <v>45</v>
      </c>
      <c r="H31" s="29"/>
      <c r="I31" s="29" t="s">
        <v>46</v>
      </c>
      <c r="J31" s="30">
        <v>1</v>
      </c>
      <c r="K31" s="31">
        <f>21590</f>
        <v>21590</v>
      </c>
      <c r="L31" s="32" t="s">
        <v>996</v>
      </c>
      <c r="M31" s="31">
        <f>21740</f>
        <v>21740</v>
      </c>
      <c r="N31" s="32" t="s">
        <v>791</v>
      </c>
      <c r="O31" s="31">
        <f>20675</f>
        <v>20675</v>
      </c>
      <c r="P31" s="32" t="s">
        <v>787</v>
      </c>
      <c r="Q31" s="31">
        <f>21695</f>
        <v>21695</v>
      </c>
      <c r="R31" s="32" t="s">
        <v>791</v>
      </c>
      <c r="S31" s="33">
        <f>21234</f>
        <v>21234</v>
      </c>
      <c r="T31" s="30">
        <f>104322</f>
        <v>104322</v>
      </c>
      <c r="U31" s="30">
        <f>95080</f>
        <v>95080</v>
      </c>
      <c r="V31" s="30">
        <f>2199981677</f>
        <v>2199981677</v>
      </c>
      <c r="W31" s="30">
        <f>2003301812</f>
        <v>2003301812</v>
      </c>
      <c r="X31" s="34">
        <f>20</f>
        <v>20</v>
      </c>
    </row>
    <row r="32" spans="1:24" ht="13.5" customHeight="1" x14ac:dyDescent="0.15">
      <c r="A32" s="25" t="s">
        <v>1112</v>
      </c>
      <c r="B32" s="25" t="s">
        <v>126</v>
      </c>
      <c r="C32" s="25" t="s">
        <v>1037</v>
      </c>
      <c r="D32" s="25" t="s">
        <v>1038</v>
      </c>
      <c r="E32" s="26" t="s">
        <v>45</v>
      </c>
      <c r="F32" s="27" t="s">
        <v>45</v>
      </c>
      <c r="G32" s="28" t="s">
        <v>45</v>
      </c>
      <c r="H32" s="29"/>
      <c r="I32" s="29" t="s">
        <v>46</v>
      </c>
      <c r="J32" s="30">
        <v>1</v>
      </c>
      <c r="K32" s="31">
        <f>32740</f>
        <v>32740</v>
      </c>
      <c r="L32" s="32" t="s">
        <v>996</v>
      </c>
      <c r="M32" s="31">
        <f>33200</f>
        <v>33200</v>
      </c>
      <c r="N32" s="32" t="s">
        <v>996</v>
      </c>
      <c r="O32" s="31">
        <f>29395</f>
        <v>29395</v>
      </c>
      <c r="P32" s="32" t="s">
        <v>787</v>
      </c>
      <c r="Q32" s="31">
        <f>32010</f>
        <v>32010</v>
      </c>
      <c r="R32" s="32" t="s">
        <v>791</v>
      </c>
      <c r="S32" s="33">
        <f>31095.5</f>
        <v>31095.5</v>
      </c>
      <c r="T32" s="30">
        <f>932818</f>
        <v>932818</v>
      </c>
      <c r="U32" s="30" t="str">
        <f>"－"</f>
        <v>－</v>
      </c>
      <c r="V32" s="30">
        <f>28903508070</f>
        <v>28903508070</v>
      </c>
      <c r="W32" s="30" t="str">
        <f>"－"</f>
        <v>－</v>
      </c>
      <c r="X32" s="34">
        <f>20</f>
        <v>20</v>
      </c>
    </row>
    <row r="33" spans="1:24" ht="13.5" customHeight="1" x14ac:dyDescent="0.15">
      <c r="A33" s="25" t="s">
        <v>1112</v>
      </c>
      <c r="B33" s="25" t="s">
        <v>129</v>
      </c>
      <c r="C33" s="25" t="s">
        <v>1039</v>
      </c>
      <c r="D33" s="25" t="s">
        <v>1040</v>
      </c>
      <c r="E33" s="26" t="s">
        <v>45</v>
      </c>
      <c r="F33" s="27" t="s">
        <v>45</v>
      </c>
      <c r="G33" s="28" t="s">
        <v>45</v>
      </c>
      <c r="H33" s="29"/>
      <c r="I33" s="29" t="s">
        <v>46</v>
      </c>
      <c r="J33" s="30">
        <v>1</v>
      </c>
      <c r="K33" s="31">
        <f>576</f>
        <v>576</v>
      </c>
      <c r="L33" s="32" t="s">
        <v>996</v>
      </c>
      <c r="M33" s="31">
        <f>643</f>
        <v>643</v>
      </c>
      <c r="N33" s="32" t="s">
        <v>787</v>
      </c>
      <c r="O33" s="31">
        <f>571</f>
        <v>571</v>
      </c>
      <c r="P33" s="32" t="s">
        <v>996</v>
      </c>
      <c r="Q33" s="31">
        <f>587</f>
        <v>587</v>
      </c>
      <c r="R33" s="32" t="s">
        <v>791</v>
      </c>
      <c r="S33" s="33">
        <f>607.4</f>
        <v>607.4</v>
      </c>
      <c r="T33" s="30">
        <f>28994982</f>
        <v>28994982</v>
      </c>
      <c r="U33" s="30" t="str">
        <f>"－"</f>
        <v>－</v>
      </c>
      <c r="V33" s="30">
        <f>17678854288</f>
        <v>17678854288</v>
      </c>
      <c r="W33" s="30" t="str">
        <f>"－"</f>
        <v>－</v>
      </c>
      <c r="X33" s="34">
        <f>20</f>
        <v>20</v>
      </c>
    </row>
    <row r="34" spans="1:24" ht="13.5" customHeight="1" x14ac:dyDescent="0.15">
      <c r="A34" s="25" t="s">
        <v>1112</v>
      </c>
      <c r="B34" s="25" t="s">
        <v>132</v>
      </c>
      <c r="C34" s="25" t="s">
        <v>1041</v>
      </c>
      <c r="D34" s="25" t="s">
        <v>1042</v>
      </c>
      <c r="E34" s="26" t="s">
        <v>45</v>
      </c>
      <c r="F34" s="27" t="s">
        <v>45</v>
      </c>
      <c r="G34" s="28" t="s">
        <v>45</v>
      </c>
      <c r="H34" s="29"/>
      <c r="I34" s="29" t="s">
        <v>46</v>
      </c>
      <c r="J34" s="30">
        <v>1</v>
      </c>
      <c r="K34" s="31">
        <f>26755</f>
        <v>26755</v>
      </c>
      <c r="L34" s="32" t="s">
        <v>996</v>
      </c>
      <c r="M34" s="31">
        <f>27255</f>
        <v>27255</v>
      </c>
      <c r="N34" s="32" t="s">
        <v>791</v>
      </c>
      <c r="O34" s="31">
        <f>24650</f>
        <v>24650</v>
      </c>
      <c r="P34" s="32" t="s">
        <v>787</v>
      </c>
      <c r="Q34" s="31">
        <f>27030</f>
        <v>27030</v>
      </c>
      <c r="R34" s="32" t="s">
        <v>791</v>
      </c>
      <c r="S34" s="33">
        <f>25954.5</f>
        <v>25954.5</v>
      </c>
      <c r="T34" s="30">
        <f>487293</f>
        <v>487293</v>
      </c>
      <c r="U34" s="30">
        <f>4</f>
        <v>4</v>
      </c>
      <c r="V34" s="30">
        <f>12638934635</f>
        <v>12638934635</v>
      </c>
      <c r="W34" s="30">
        <f>104240</f>
        <v>104240</v>
      </c>
      <c r="X34" s="34">
        <f>20</f>
        <v>20</v>
      </c>
    </row>
    <row r="35" spans="1:24" ht="13.5" customHeight="1" x14ac:dyDescent="0.15">
      <c r="A35" s="25" t="s">
        <v>1112</v>
      </c>
      <c r="B35" s="25" t="s">
        <v>135</v>
      </c>
      <c r="C35" s="25" t="s">
        <v>1043</v>
      </c>
      <c r="D35" s="25" t="s">
        <v>1044</v>
      </c>
      <c r="E35" s="26" t="s">
        <v>45</v>
      </c>
      <c r="F35" s="27" t="s">
        <v>45</v>
      </c>
      <c r="G35" s="28" t="s">
        <v>45</v>
      </c>
      <c r="H35" s="29"/>
      <c r="I35" s="29" t="s">
        <v>46</v>
      </c>
      <c r="J35" s="30">
        <v>1</v>
      </c>
      <c r="K35" s="31">
        <f>882</f>
        <v>882</v>
      </c>
      <c r="L35" s="32" t="s">
        <v>996</v>
      </c>
      <c r="M35" s="31">
        <f>952</f>
        <v>952</v>
      </c>
      <c r="N35" s="32" t="s">
        <v>787</v>
      </c>
      <c r="O35" s="31">
        <f>857</f>
        <v>857</v>
      </c>
      <c r="P35" s="32" t="s">
        <v>791</v>
      </c>
      <c r="Q35" s="31">
        <f>865</f>
        <v>865</v>
      </c>
      <c r="R35" s="32" t="s">
        <v>791</v>
      </c>
      <c r="S35" s="33">
        <f>904.15</f>
        <v>904.15</v>
      </c>
      <c r="T35" s="30">
        <f>2230514</f>
        <v>2230514</v>
      </c>
      <c r="U35" s="30" t="str">
        <f>"－"</f>
        <v>－</v>
      </c>
      <c r="V35" s="30">
        <f>2021355698</f>
        <v>2021355698</v>
      </c>
      <c r="W35" s="30" t="str">
        <f>"－"</f>
        <v>－</v>
      </c>
      <c r="X35" s="34">
        <f>20</f>
        <v>20</v>
      </c>
    </row>
    <row r="36" spans="1:24" ht="13.5" customHeight="1" x14ac:dyDescent="0.15">
      <c r="A36" s="25" t="s">
        <v>1112</v>
      </c>
      <c r="B36" s="25" t="s">
        <v>138</v>
      </c>
      <c r="C36" s="25" t="s">
        <v>139</v>
      </c>
      <c r="D36" s="25" t="s">
        <v>140</v>
      </c>
      <c r="E36" s="26" t="s">
        <v>45</v>
      </c>
      <c r="F36" s="27" t="s">
        <v>45</v>
      </c>
      <c r="G36" s="28" t="s">
        <v>45</v>
      </c>
      <c r="H36" s="29"/>
      <c r="I36" s="29" t="s">
        <v>46</v>
      </c>
      <c r="J36" s="30">
        <v>1</v>
      </c>
      <c r="K36" s="31">
        <f>33870</f>
        <v>33870</v>
      </c>
      <c r="L36" s="32" t="s">
        <v>996</v>
      </c>
      <c r="M36" s="31">
        <f>34120</f>
        <v>34120</v>
      </c>
      <c r="N36" s="32" t="s">
        <v>996</v>
      </c>
      <c r="O36" s="31">
        <f>31830</f>
        <v>31830</v>
      </c>
      <c r="P36" s="32" t="s">
        <v>787</v>
      </c>
      <c r="Q36" s="31">
        <f>33210</f>
        <v>33210</v>
      </c>
      <c r="R36" s="32" t="s">
        <v>791</v>
      </c>
      <c r="S36" s="33">
        <f>32764.5</f>
        <v>32764.5</v>
      </c>
      <c r="T36" s="30">
        <f>136816</f>
        <v>136816</v>
      </c>
      <c r="U36" s="30">
        <f>27100</f>
        <v>27100</v>
      </c>
      <c r="V36" s="30">
        <f>4502326410</f>
        <v>4502326410</v>
      </c>
      <c r="W36" s="30">
        <f>899829670</f>
        <v>899829670</v>
      </c>
      <c r="X36" s="34">
        <f>20</f>
        <v>20</v>
      </c>
    </row>
    <row r="37" spans="1:24" ht="13.5" customHeight="1" x14ac:dyDescent="0.15">
      <c r="A37" s="25" t="s">
        <v>1112</v>
      </c>
      <c r="B37" s="25" t="s">
        <v>141</v>
      </c>
      <c r="C37" s="25" t="s">
        <v>142</v>
      </c>
      <c r="D37" s="25" t="s">
        <v>143</v>
      </c>
      <c r="E37" s="26" t="s">
        <v>1014</v>
      </c>
      <c r="F37" s="27" t="s">
        <v>1015</v>
      </c>
      <c r="G37" s="28" t="s">
        <v>1117</v>
      </c>
      <c r="H37" s="29" t="s">
        <v>877</v>
      </c>
      <c r="I37" s="29"/>
      <c r="J37" s="30">
        <v>1</v>
      </c>
      <c r="K37" s="31">
        <f>6740</f>
        <v>6740</v>
      </c>
      <c r="L37" s="32" t="s">
        <v>996</v>
      </c>
      <c r="M37" s="31">
        <f>6780</f>
        <v>6780</v>
      </c>
      <c r="N37" s="32" t="s">
        <v>996</v>
      </c>
      <c r="O37" s="31">
        <f>6420</f>
        <v>6420</v>
      </c>
      <c r="P37" s="32" t="s">
        <v>875</v>
      </c>
      <c r="Q37" s="31">
        <f>6640</f>
        <v>6640</v>
      </c>
      <c r="R37" s="32" t="s">
        <v>80</v>
      </c>
      <c r="S37" s="33">
        <f>6590</f>
        <v>6590</v>
      </c>
      <c r="T37" s="30">
        <f>11962</f>
        <v>11962</v>
      </c>
      <c r="U37" s="30" t="str">
        <f t="shared" ref="U37:U43" si="0">"－"</f>
        <v>－</v>
      </c>
      <c r="V37" s="30">
        <f>78875990</f>
        <v>78875990</v>
      </c>
      <c r="W37" s="30" t="str">
        <f t="shared" ref="W37:W43" si="1">"－"</f>
        <v>－</v>
      </c>
      <c r="X37" s="34">
        <f>13</f>
        <v>13</v>
      </c>
    </row>
    <row r="38" spans="1:24" ht="13.5" customHeight="1" x14ac:dyDescent="0.15">
      <c r="A38" s="25" t="s">
        <v>1112</v>
      </c>
      <c r="B38" s="25" t="s">
        <v>144</v>
      </c>
      <c r="C38" s="25" t="s">
        <v>145</v>
      </c>
      <c r="D38" s="25" t="s">
        <v>146</v>
      </c>
      <c r="E38" s="26" t="s">
        <v>1014</v>
      </c>
      <c r="F38" s="27" t="s">
        <v>1015</v>
      </c>
      <c r="G38" s="28" t="s">
        <v>1117</v>
      </c>
      <c r="H38" s="29" t="s">
        <v>877</v>
      </c>
      <c r="I38" s="29"/>
      <c r="J38" s="30">
        <v>1</v>
      </c>
      <c r="K38" s="31">
        <f>11585</f>
        <v>11585</v>
      </c>
      <c r="L38" s="32" t="s">
        <v>996</v>
      </c>
      <c r="M38" s="31">
        <f>11700</f>
        <v>11700</v>
      </c>
      <c r="N38" s="32" t="s">
        <v>996</v>
      </c>
      <c r="O38" s="31">
        <f>11025</f>
        <v>11025</v>
      </c>
      <c r="P38" s="32" t="s">
        <v>794</v>
      </c>
      <c r="Q38" s="31">
        <f>11445</f>
        <v>11445</v>
      </c>
      <c r="R38" s="32" t="s">
        <v>80</v>
      </c>
      <c r="S38" s="33">
        <f>11354.23</f>
        <v>11354.23</v>
      </c>
      <c r="T38" s="30">
        <f>2649</f>
        <v>2649</v>
      </c>
      <c r="U38" s="30" t="str">
        <f t="shared" si="0"/>
        <v>－</v>
      </c>
      <c r="V38" s="30">
        <f>30119185</f>
        <v>30119185</v>
      </c>
      <c r="W38" s="30" t="str">
        <f t="shared" si="1"/>
        <v>－</v>
      </c>
      <c r="X38" s="34">
        <f>13</f>
        <v>13</v>
      </c>
    </row>
    <row r="39" spans="1:24" ht="13.5" customHeight="1" x14ac:dyDescent="0.15">
      <c r="A39" s="25" t="s">
        <v>1112</v>
      </c>
      <c r="B39" s="25" t="s">
        <v>147</v>
      </c>
      <c r="C39" s="25" t="s">
        <v>148</v>
      </c>
      <c r="D39" s="25" t="s">
        <v>149</v>
      </c>
      <c r="E39" s="26" t="s">
        <v>1014</v>
      </c>
      <c r="F39" s="27" t="s">
        <v>1015</v>
      </c>
      <c r="G39" s="28" t="s">
        <v>1117</v>
      </c>
      <c r="H39" s="29" t="s">
        <v>877</v>
      </c>
      <c r="I39" s="29"/>
      <c r="J39" s="30">
        <v>1</v>
      </c>
      <c r="K39" s="31">
        <f>22295</f>
        <v>22295</v>
      </c>
      <c r="L39" s="32" t="s">
        <v>996</v>
      </c>
      <c r="M39" s="31">
        <f>22995</f>
        <v>22995</v>
      </c>
      <c r="N39" s="32" t="s">
        <v>790</v>
      </c>
      <c r="O39" s="31">
        <f>21650</f>
        <v>21650</v>
      </c>
      <c r="P39" s="32" t="s">
        <v>787</v>
      </c>
      <c r="Q39" s="31">
        <f>22160</f>
        <v>22160</v>
      </c>
      <c r="R39" s="32" t="s">
        <v>80</v>
      </c>
      <c r="S39" s="33">
        <f>22396.11</f>
        <v>22396.11</v>
      </c>
      <c r="T39" s="30">
        <f>419</f>
        <v>419</v>
      </c>
      <c r="U39" s="30" t="str">
        <f t="shared" si="0"/>
        <v>－</v>
      </c>
      <c r="V39" s="30">
        <f>9264290</f>
        <v>9264290</v>
      </c>
      <c r="W39" s="30" t="str">
        <f t="shared" si="1"/>
        <v>－</v>
      </c>
      <c r="X39" s="34">
        <f>9</f>
        <v>9</v>
      </c>
    </row>
    <row r="40" spans="1:24" ht="13.5" customHeight="1" x14ac:dyDescent="0.15">
      <c r="A40" s="25" t="s">
        <v>1112</v>
      </c>
      <c r="B40" s="25" t="s">
        <v>150</v>
      </c>
      <c r="C40" s="25" t="s">
        <v>151</v>
      </c>
      <c r="D40" s="25" t="s">
        <v>152</v>
      </c>
      <c r="E40" s="26" t="s">
        <v>1014</v>
      </c>
      <c r="F40" s="27" t="s">
        <v>1015</v>
      </c>
      <c r="G40" s="28" t="s">
        <v>1117</v>
      </c>
      <c r="H40" s="29" t="s">
        <v>877</v>
      </c>
      <c r="I40" s="29"/>
      <c r="J40" s="30">
        <v>1</v>
      </c>
      <c r="K40" s="31">
        <f>17300</f>
        <v>17300</v>
      </c>
      <c r="L40" s="32" t="s">
        <v>996</v>
      </c>
      <c r="M40" s="31">
        <f>18000</f>
        <v>18000</v>
      </c>
      <c r="N40" s="32" t="s">
        <v>1005</v>
      </c>
      <c r="O40" s="31">
        <f>16895</f>
        <v>16895</v>
      </c>
      <c r="P40" s="32" t="s">
        <v>787</v>
      </c>
      <c r="Q40" s="31">
        <f>17480</f>
        <v>17480</v>
      </c>
      <c r="R40" s="32" t="s">
        <v>790</v>
      </c>
      <c r="S40" s="33">
        <f>17345</f>
        <v>17345</v>
      </c>
      <c r="T40" s="30">
        <f>124</f>
        <v>124</v>
      </c>
      <c r="U40" s="30" t="str">
        <f t="shared" si="0"/>
        <v>－</v>
      </c>
      <c r="V40" s="30">
        <f>2154565</f>
        <v>2154565</v>
      </c>
      <c r="W40" s="30" t="str">
        <f t="shared" si="1"/>
        <v>－</v>
      </c>
      <c r="X40" s="34">
        <f>8</f>
        <v>8</v>
      </c>
    </row>
    <row r="41" spans="1:24" ht="13.5" customHeight="1" x14ac:dyDescent="0.15">
      <c r="A41" s="25" t="s">
        <v>1112</v>
      </c>
      <c r="B41" s="25" t="s">
        <v>153</v>
      </c>
      <c r="C41" s="25" t="s">
        <v>154</v>
      </c>
      <c r="D41" s="25" t="s">
        <v>155</v>
      </c>
      <c r="E41" s="26" t="s">
        <v>1014</v>
      </c>
      <c r="F41" s="27" t="s">
        <v>1015</v>
      </c>
      <c r="G41" s="28" t="s">
        <v>1117</v>
      </c>
      <c r="H41" s="29" t="s">
        <v>877</v>
      </c>
      <c r="I41" s="29"/>
      <c r="J41" s="30">
        <v>1</v>
      </c>
      <c r="K41" s="31">
        <f>12240</f>
        <v>12240</v>
      </c>
      <c r="L41" s="32" t="s">
        <v>996</v>
      </c>
      <c r="M41" s="31">
        <f>12350</f>
        <v>12350</v>
      </c>
      <c r="N41" s="32" t="s">
        <v>996</v>
      </c>
      <c r="O41" s="31">
        <f>11670</f>
        <v>11670</v>
      </c>
      <c r="P41" s="32" t="s">
        <v>787</v>
      </c>
      <c r="Q41" s="31">
        <f>12105</f>
        <v>12105</v>
      </c>
      <c r="R41" s="32" t="s">
        <v>80</v>
      </c>
      <c r="S41" s="33">
        <f>11989.62</f>
        <v>11989.62</v>
      </c>
      <c r="T41" s="30">
        <f>3656</f>
        <v>3656</v>
      </c>
      <c r="U41" s="30" t="str">
        <f t="shared" si="0"/>
        <v>－</v>
      </c>
      <c r="V41" s="30">
        <f>44687600</f>
        <v>44687600</v>
      </c>
      <c r="W41" s="30" t="str">
        <f t="shared" si="1"/>
        <v>－</v>
      </c>
      <c r="X41" s="34">
        <f>13</f>
        <v>13</v>
      </c>
    </row>
    <row r="42" spans="1:24" ht="13.5" customHeight="1" x14ac:dyDescent="0.15">
      <c r="A42" s="25" t="s">
        <v>1112</v>
      </c>
      <c r="B42" s="25" t="s">
        <v>156</v>
      </c>
      <c r="C42" s="25" t="s">
        <v>157</v>
      </c>
      <c r="D42" s="25" t="s">
        <v>158</v>
      </c>
      <c r="E42" s="26" t="s">
        <v>1014</v>
      </c>
      <c r="F42" s="27" t="s">
        <v>1015</v>
      </c>
      <c r="G42" s="28" t="s">
        <v>1117</v>
      </c>
      <c r="H42" s="29" t="s">
        <v>877</v>
      </c>
      <c r="I42" s="29"/>
      <c r="J42" s="30">
        <v>1</v>
      </c>
      <c r="K42" s="31">
        <f>5760</f>
        <v>5760</v>
      </c>
      <c r="L42" s="32" t="s">
        <v>996</v>
      </c>
      <c r="M42" s="31">
        <f>5830</f>
        <v>5830</v>
      </c>
      <c r="N42" s="32" t="s">
        <v>784</v>
      </c>
      <c r="O42" s="31">
        <f>5450</f>
        <v>5450</v>
      </c>
      <c r="P42" s="32" t="s">
        <v>56</v>
      </c>
      <c r="Q42" s="31">
        <f>5670</f>
        <v>5670</v>
      </c>
      <c r="R42" s="32" t="s">
        <v>80</v>
      </c>
      <c r="S42" s="33">
        <f>5685.38</f>
        <v>5685.38</v>
      </c>
      <c r="T42" s="30">
        <f>4830</f>
        <v>4830</v>
      </c>
      <c r="U42" s="30" t="str">
        <f t="shared" si="0"/>
        <v>－</v>
      </c>
      <c r="V42" s="30">
        <f>27301880</f>
        <v>27301880</v>
      </c>
      <c r="W42" s="30" t="str">
        <f t="shared" si="1"/>
        <v>－</v>
      </c>
      <c r="X42" s="34">
        <f>13</f>
        <v>13</v>
      </c>
    </row>
    <row r="43" spans="1:24" ht="13.5" customHeight="1" x14ac:dyDescent="0.15">
      <c r="A43" s="25" t="s">
        <v>1112</v>
      </c>
      <c r="B43" s="25" t="s">
        <v>159</v>
      </c>
      <c r="C43" s="25" t="s">
        <v>160</v>
      </c>
      <c r="D43" s="25" t="s">
        <v>161</v>
      </c>
      <c r="E43" s="26" t="s">
        <v>1014</v>
      </c>
      <c r="F43" s="27" t="s">
        <v>1015</v>
      </c>
      <c r="G43" s="28" t="s">
        <v>1117</v>
      </c>
      <c r="H43" s="29" t="s">
        <v>877</v>
      </c>
      <c r="I43" s="29"/>
      <c r="J43" s="30">
        <v>1</v>
      </c>
      <c r="K43" s="31">
        <f>3315</f>
        <v>3315</v>
      </c>
      <c r="L43" s="32" t="s">
        <v>996</v>
      </c>
      <c r="M43" s="31">
        <f>3330</f>
        <v>3330</v>
      </c>
      <c r="N43" s="32" t="s">
        <v>996</v>
      </c>
      <c r="O43" s="31">
        <f>3155</f>
        <v>3155</v>
      </c>
      <c r="P43" s="32" t="s">
        <v>787</v>
      </c>
      <c r="Q43" s="31">
        <f>3300</f>
        <v>3300</v>
      </c>
      <c r="R43" s="32" t="s">
        <v>80</v>
      </c>
      <c r="S43" s="33">
        <f>3238.46</f>
        <v>3238.46</v>
      </c>
      <c r="T43" s="30">
        <f>11550</f>
        <v>11550</v>
      </c>
      <c r="U43" s="30" t="str">
        <f t="shared" si="0"/>
        <v>－</v>
      </c>
      <c r="V43" s="30">
        <f>37937970</f>
        <v>37937970</v>
      </c>
      <c r="W43" s="30" t="str">
        <f t="shared" si="1"/>
        <v>－</v>
      </c>
      <c r="X43" s="34">
        <f>13</f>
        <v>13</v>
      </c>
    </row>
    <row r="44" spans="1:24" ht="13.5" customHeight="1" x14ac:dyDescent="0.15">
      <c r="A44" s="25" t="s">
        <v>1112</v>
      </c>
      <c r="B44" s="25" t="s">
        <v>162</v>
      </c>
      <c r="C44" s="25" t="s">
        <v>163</v>
      </c>
      <c r="D44" s="25" t="s">
        <v>164</v>
      </c>
      <c r="E44" s="26" t="s">
        <v>1014</v>
      </c>
      <c r="F44" s="27" t="s">
        <v>1015</v>
      </c>
      <c r="G44" s="28" t="s">
        <v>1117</v>
      </c>
      <c r="H44" s="29" t="s">
        <v>877</v>
      </c>
      <c r="I44" s="29"/>
      <c r="J44" s="30">
        <v>1</v>
      </c>
      <c r="K44" s="31">
        <f>3365</f>
        <v>3365</v>
      </c>
      <c r="L44" s="32" t="s">
        <v>996</v>
      </c>
      <c r="M44" s="31">
        <f>3375</f>
        <v>3375</v>
      </c>
      <c r="N44" s="32" t="s">
        <v>996</v>
      </c>
      <c r="O44" s="31">
        <f>3205</f>
        <v>3205</v>
      </c>
      <c r="P44" s="32" t="s">
        <v>787</v>
      </c>
      <c r="Q44" s="31">
        <f>3320</f>
        <v>3320</v>
      </c>
      <c r="R44" s="32" t="s">
        <v>80</v>
      </c>
      <c r="S44" s="33">
        <f>3304.62</f>
        <v>3304.62</v>
      </c>
      <c r="T44" s="30">
        <f>6860</f>
        <v>6860</v>
      </c>
      <c r="U44" s="30">
        <f>77</f>
        <v>77</v>
      </c>
      <c r="V44" s="30">
        <f>22830425</f>
        <v>22830425</v>
      </c>
      <c r="W44" s="30">
        <f>249480</f>
        <v>249480</v>
      </c>
      <c r="X44" s="34">
        <f>13</f>
        <v>13</v>
      </c>
    </row>
    <row r="45" spans="1:24" ht="13.5" customHeight="1" x14ac:dyDescent="0.15">
      <c r="A45" s="25" t="s">
        <v>1112</v>
      </c>
      <c r="B45" s="25" t="s">
        <v>165</v>
      </c>
      <c r="C45" s="25" t="s">
        <v>166</v>
      </c>
      <c r="D45" s="25" t="s">
        <v>167</v>
      </c>
      <c r="E45" s="26" t="s">
        <v>1014</v>
      </c>
      <c r="F45" s="27" t="s">
        <v>1015</v>
      </c>
      <c r="G45" s="28" t="s">
        <v>1117</v>
      </c>
      <c r="H45" s="29" t="s">
        <v>877</v>
      </c>
      <c r="I45" s="29"/>
      <c r="J45" s="30">
        <v>1</v>
      </c>
      <c r="K45" s="31">
        <f>58990</f>
        <v>58990</v>
      </c>
      <c r="L45" s="32" t="s">
        <v>996</v>
      </c>
      <c r="M45" s="31">
        <f>60590</f>
        <v>60590</v>
      </c>
      <c r="N45" s="32" t="s">
        <v>80</v>
      </c>
      <c r="O45" s="31">
        <f>56770</f>
        <v>56770</v>
      </c>
      <c r="P45" s="32" t="s">
        <v>56</v>
      </c>
      <c r="Q45" s="31">
        <f>58390</f>
        <v>58390</v>
      </c>
      <c r="R45" s="32" t="s">
        <v>80</v>
      </c>
      <c r="S45" s="33">
        <f>58024.62</f>
        <v>58024.62</v>
      </c>
      <c r="T45" s="30">
        <f>986</f>
        <v>986</v>
      </c>
      <c r="U45" s="30" t="str">
        <f>"－"</f>
        <v>－</v>
      </c>
      <c r="V45" s="30">
        <f>57294360</f>
        <v>57294360</v>
      </c>
      <c r="W45" s="30" t="str">
        <f>"－"</f>
        <v>－</v>
      </c>
      <c r="X45" s="34">
        <f>13</f>
        <v>13</v>
      </c>
    </row>
    <row r="46" spans="1:24" ht="13.5" customHeight="1" x14ac:dyDescent="0.15">
      <c r="A46" s="25" t="s">
        <v>1112</v>
      </c>
      <c r="B46" s="25" t="s">
        <v>168</v>
      </c>
      <c r="C46" s="25" t="s">
        <v>169</v>
      </c>
      <c r="D46" s="25" t="s">
        <v>170</v>
      </c>
      <c r="E46" s="26" t="s">
        <v>1014</v>
      </c>
      <c r="F46" s="27" t="s">
        <v>1015</v>
      </c>
      <c r="G46" s="28" t="s">
        <v>1117</v>
      </c>
      <c r="H46" s="29" t="s">
        <v>877</v>
      </c>
      <c r="I46" s="29"/>
      <c r="J46" s="30">
        <v>1</v>
      </c>
      <c r="K46" s="31">
        <f>41000</f>
        <v>41000</v>
      </c>
      <c r="L46" s="32" t="s">
        <v>785</v>
      </c>
      <c r="M46" s="31">
        <f>41990</f>
        <v>41990</v>
      </c>
      <c r="N46" s="32" t="s">
        <v>78</v>
      </c>
      <c r="O46" s="31">
        <f>39600</f>
        <v>39600</v>
      </c>
      <c r="P46" s="32" t="s">
        <v>787</v>
      </c>
      <c r="Q46" s="31">
        <f>40700</f>
        <v>40700</v>
      </c>
      <c r="R46" s="32" t="s">
        <v>80</v>
      </c>
      <c r="S46" s="33">
        <f>40695.56</f>
        <v>40695.56</v>
      </c>
      <c r="T46" s="30">
        <f>417</f>
        <v>417</v>
      </c>
      <c r="U46" s="30" t="str">
        <f>"－"</f>
        <v>－</v>
      </c>
      <c r="V46" s="30">
        <f>16772970</f>
        <v>16772970</v>
      </c>
      <c r="W46" s="30" t="str">
        <f>"－"</f>
        <v>－</v>
      </c>
      <c r="X46" s="34">
        <f>9</f>
        <v>9</v>
      </c>
    </row>
    <row r="47" spans="1:24" ht="13.5" customHeight="1" x14ac:dyDescent="0.15">
      <c r="A47" s="25" t="s">
        <v>1112</v>
      </c>
      <c r="B47" s="25" t="s">
        <v>171</v>
      </c>
      <c r="C47" s="25" t="s">
        <v>172</v>
      </c>
      <c r="D47" s="25" t="s">
        <v>173</v>
      </c>
      <c r="E47" s="26" t="s">
        <v>45</v>
      </c>
      <c r="F47" s="27" t="s">
        <v>45</v>
      </c>
      <c r="G47" s="28" t="s">
        <v>45</v>
      </c>
      <c r="H47" s="29"/>
      <c r="I47" s="29" t="s">
        <v>46</v>
      </c>
      <c r="J47" s="30">
        <v>1</v>
      </c>
      <c r="K47" s="31">
        <f>33860</f>
        <v>33860</v>
      </c>
      <c r="L47" s="32" t="s">
        <v>996</v>
      </c>
      <c r="M47" s="31">
        <f>34080</f>
        <v>34080</v>
      </c>
      <c r="N47" s="32" t="s">
        <v>996</v>
      </c>
      <c r="O47" s="31">
        <f>32240</f>
        <v>32240</v>
      </c>
      <c r="P47" s="32" t="s">
        <v>787</v>
      </c>
      <c r="Q47" s="31">
        <f>33560</f>
        <v>33560</v>
      </c>
      <c r="R47" s="32" t="s">
        <v>791</v>
      </c>
      <c r="S47" s="33">
        <f>33040.53</f>
        <v>33040.53</v>
      </c>
      <c r="T47" s="30">
        <f>97636</f>
        <v>97636</v>
      </c>
      <c r="U47" s="30">
        <f>14700</f>
        <v>14700</v>
      </c>
      <c r="V47" s="30">
        <f>3230776015</f>
        <v>3230776015</v>
      </c>
      <c r="W47" s="30">
        <f>483650275</f>
        <v>483650275</v>
      </c>
      <c r="X47" s="34">
        <f>19</f>
        <v>19</v>
      </c>
    </row>
    <row r="48" spans="1:24" ht="13.5" customHeight="1" x14ac:dyDescent="0.15">
      <c r="A48" s="25" t="s">
        <v>1112</v>
      </c>
      <c r="B48" s="25" t="s">
        <v>174</v>
      </c>
      <c r="C48" s="25" t="s">
        <v>175</v>
      </c>
      <c r="D48" s="25" t="s">
        <v>176</v>
      </c>
      <c r="E48" s="26" t="s">
        <v>45</v>
      </c>
      <c r="F48" s="27" t="s">
        <v>45</v>
      </c>
      <c r="G48" s="28" t="s">
        <v>45</v>
      </c>
      <c r="H48" s="29"/>
      <c r="I48" s="29" t="s">
        <v>46</v>
      </c>
      <c r="J48" s="30">
        <v>10</v>
      </c>
      <c r="K48" s="31">
        <f>1911</f>
        <v>1911</v>
      </c>
      <c r="L48" s="32" t="s">
        <v>996</v>
      </c>
      <c r="M48" s="31">
        <f>1951.5</f>
        <v>1951.5</v>
      </c>
      <c r="N48" s="32" t="s">
        <v>255</v>
      </c>
      <c r="O48" s="31">
        <f>1885.5</f>
        <v>1885.5</v>
      </c>
      <c r="P48" s="32" t="s">
        <v>875</v>
      </c>
      <c r="Q48" s="31">
        <f>1932</f>
        <v>1932</v>
      </c>
      <c r="R48" s="32" t="s">
        <v>791</v>
      </c>
      <c r="S48" s="33">
        <f>1918.38</f>
        <v>1918.38</v>
      </c>
      <c r="T48" s="30">
        <f>3165850</f>
        <v>3165850</v>
      </c>
      <c r="U48" s="30">
        <f>1159960</f>
        <v>1159960</v>
      </c>
      <c r="V48" s="30">
        <f>6085709343</f>
        <v>6085709343</v>
      </c>
      <c r="W48" s="30">
        <f>2233594283</f>
        <v>2233594283</v>
      </c>
      <c r="X48" s="34">
        <f>20</f>
        <v>20</v>
      </c>
    </row>
    <row r="49" spans="1:24" ht="13.5" customHeight="1" x14ac:dyDescent="0.15">
      <c r="A49" s="25" t="s">
        <v>1112</v>
      </c>
      <c r="B49" s="25" t="s">
        <v>177</v>
      </c>
      <c r="C49" s="25" t="s">
        <v>178</v>
      </c>
      <c r="D49" s="25" t="s">
        <v>179</v>
      </c>
      <c r="E49" s="26" t="s">
        <v>45</v>
      </c>
      <c r="F49" s="27" t="s">
        <v>45</v>
      </c>
      <c r="G49" s="28" t="s">
        <v>45</v>
      </c>
      <c r="H49" s="29"/>
      <c r="I49" s="29" t="s">
        <v>46</v>
      </c>
      <c r="J49" s="30">
        <v>10</v>
      </c>
      <c r="K49" s="31">
        <f>1866.5</f>
        <v>1866.5</v>
      </c>
      <c r="L49" s="32" t="s">
        <v>996</v>
      </c>
      <c r="M49" s="31">
        <f>1896.5</f>
        <v>1896.5</v>
      </c>
      <c r="N49" s="32" t="s">
        <v>255</v>
      </c>
      <c r="O49" s="31">
        <f>1813</f>
        <v>1813</v>
      </c>
      <c r="P49" s="32" t="s">
        <v>1005</v>
      </c>
      <c r="Q49" s="31">
        <f>1888</f>
        <v>1888</v>
      </c>
      <c r="R49" s="32" t="s">
        <v>791</v>
      </c>
      <c r="S49" s="33">
        <f>1853.9</f>
        <v>1853.9</v>
      </c>
      <c r="T49" s="30">
        <f>8650</f>
        <v>8650</v>
      </c>
      <c r="U49" s="30">
        <f>20</f>
        <v>20</v>
      </c>
      <c r="V49" s="30">
        <f>15955705</f>
        <v>15955705</v>
      </c>
      <c r="W49" s="30">
        <f>37460</f>
        <v>37460</v>
      </c>
      <c r="X49" s="34">
        <f>20</f>
        <v>20</v>
      </c>
    </row>
    <row r="50" spans="1:24" ht="13.5" customHeight="1" x14ac:dyDescent="0.15">
      <c r="A50" s="25" t="s">
        <v>1112</v>
      </c>
      <c r="B50" s="25" t="s">
        <v>180</v>
      </c>
      <c r="C50" s="25" t="s">
        <v>1045</v>
      </c>
      <c r="D50" s="25" t="s">
        <v>1046</v>
      </c>
      <c r="E50" s="26" t="s">
        <v>45</v>
      </c>
      <c r="F50" s="27" t="s">
        <v>45</v>
      </c>
      <c r="G50" s="28" t="s">
        <v>45</v>
      </c>
      <c r="H50" s="29"/>
      <c r="I50" s="29" t="s">
        <v>46</v>
      </c>
      <c r="J50" s="30">
        <v>1</v>
      </c>
      <c r="K50" s="31">
        <f>3270</f>
        <v>3270</v>
      </c>
      <c r="L50" s="32" t="s">
        <v>996</v>
      </c>
      <c r="M50" s="31">
        <f>3445</f>
        <v>3445</v>
      </c>
      <c r="N50" s="32" t="s">
        <v>787</v>
      </c>
      <c r="O50" s="31">
        <f>3245</f>
        <v>3245</v>
      </c>
      <c r="P50" s="32" t="s">
        <v>996</v>
      </c>
      <c r="Q50" s="31">
        <f>3290</f>
        <v>3290</v>
      </c>
      <c r="R50" s="32" t="s">
        <v>791</v>
      </c>
      <c r="S50" s="33">
        <f>3350.5</f>
        <v>3350.5</v>
      </c>
      <c r="T50" s="30">
        <f>859548</f>
        <v>859548</v>
      </c>
      <c r="U50" s="30">
        <f>180001</f>
        <v>180001</v>
      </c>
      <c r="V50" s="30">
        <f>2876988915</f>
        <v>2876988915</v>
      </c>
      <c r="W50" s="30">
        <f>593166405</f>
        <v>593166405</v>
      </c>
      <c r="X50" s="34">
        <f>20</f>
        <v>20</v>
      </c>
    </row>
    <row r="51" spans="1:24" ht="13.5" customHeight="1" x14ac:dyDescent="0.15">
      <c r="A51" s="25" t="s">
        <v>1112</v>
      </c>
      <c r="B51" s="25" t="s">
        <v>183</v>
      </c>
      <c r="C51" s="25" t="s">
        <v>1047</v>
      </c>
      <c r="D51" s="25" t="s">
        <v>1048</v>
      </c>
      <c r="E51" s="26" t="s">
        <v>45</v>
      </c>
      <c r="F51" s="27" t="s">
        <v>45</v>
      </c>
      <c r="G51" s="28" t="s">
        <v>45</v>
      </c>
      <c r="H51" s="29"/>
      <c r="I51" s="29" t="s">
        <v>46</v>
      </c>
      <c r="J51" s="30">
        <v>1</v>
      </c>
      <c r="K51" s="31">
        <f>3950</f>
        <v>3950</v>
      </c>
      <c r="L51" s="32" t="s">
        <v>996</v>
      </c>
      <c r="M51" s="31">
        <f>4105</f>
        <v>4105</v>
      </c>
      <c r="N51" s="32" t="s">
        <v>787</v>
      </c>
      <c r="O51" s="31">
        <f>3900</f>
        <v>3900</v>
      </c>
      <c r="P51" s="32" t="s">
        <v>791</v>
      </c>
      <c r="Q51" s="31">
        <f>3915</f>
        <v>3915</v>
      </c>
      <c r="R51" s="32" t="s">
        <v>791</v>
      </c>
      <c r="S51" s="33">
        <f>4005</f>
        <v>4005</v>
      </c>
      <c r="T51" s="30">
        <f>2337643</f>
        <v>2337643</v>
      </c>
      <c r="U51" s="30">
        <f>475900</f>
        <v>475900</v>
      </c>
      <c r="V51" s="30">
        <f>9423471305</f>
        <v>9423471305</v>
      </c>
      <c r="W51" s="30">
        <f>1916912040</f>
        <v>1916912040</v>
      </c>
      <c r="X51" s="34">
        <f>20</f>
        <v>20</v>
      </c>
    </row>
    <row r="52" spans="1:24" ht="13.5" customHeight="1" x14ac:dyDescent="0.15">
      <c r="A52" s="25" t="s">
        <v>1112</v>
      </c>
      <c r="B52" s="25" t="s">
        <v>186</v>
      </c>
      <c r="C52" s="25" t="s">
        <v>187</v>
      </c>
      <c r="D52" s="25" t="s">
        <v>188</v>
      </c>
      <c r="E52" s="26" t="s">
        <v>45</v>
      </c>
      <c r="F52" s="27" t="s">
        <v>45</v>
      </c>
      <c r="G52" s="28" t="s">
        <v>45</v>
      </c>
      <c r="H52" s="29"/>
      <c r="I52" s="29" t="s">
        <v>46</v>
      </c>
      <c r="J52" s="30">
        <v>1</v>
      </c>
      <c r="K52" s="31">
        <f>24930</f>
        <v>24930</v>
      </c>
      <c r="L52" s="32" t="s">
        <v>996</v>
      </c>
      <c r="M52" s="31">
        <f>25295</f>
        <v>25295</v>
      </c>
      <c r="N52" s="32" t="s">
        <v>996</v>
      </c>
      <c r="O52" s="31">
        <f>22390</f>
        <v>22390</v>
      </c>
      <c r="P52" s="32" t="s">
        <v>787</v>
      </c>
      <c r="Q52" s="31">
        <f>24375</f>
        <v>24375</v>
      </c>
      <c r="R52" s="32" t="s">
        <v>791</v>
      </c>
      <c r="S52" s="33">
        <f>23690.75</f>
        <v>23690.75</v>
      </c>
      <c r="T52" s="30">
        <f>10069849</f>
        <v>10069849</v>
      </c>
      <c r="U52" s="30">
        <f>155</f>
        <v>155</v>
      </c>
      <c r="V52" s="30">
        <f>238056441775</f>
        <v>238056441775</v>
      </c>
      <c r="W52" s="30">
        <f>3371590</f>
        <v>3371590</v>
      </c>
      <c r="X52" s="34">
        <f>20</f>
        <v>20</v>
      </c>
    </row>
    <row r="53" spans="1:24" ht="13.5" customHeight="1" x14ac:dyDescent="0.15">
      <c r="A53" s="25" t="s">
        <v>1112</v>
      </c>
      <c r="B53" s="25" t="s">
        <v>189</v>
      </c>
      <c r="C53" s="25" t="s">
        <v>190</v>
      </c>
      <c r="D53" s="25" t="s">
        <v>191</v>
      </c>
      <c r="E53" s="26" t="s">
        <v>45</v>
      </c>
      <c r="F53" s="27" t="s">
        <v>45</v>
      </c>
      <c r="G53" s="28" t="s">
        <v>45</v>
      </c>
      <c r="H53" s="29"/>
      <c r="I53" s="29" t="s">
        <v>46</v>
      </c>
      <c r="J53" s="30">
        <v>1</v>
      </c>
      <c r="K53" s="31">
        <f>892</f>
        <v>892</v>
      </c>
      <c r="L53" s="32" t="s">
        <v>996</v>
      </c>
      <c r="M53" s="31">
        <f>995</f>
        <v>995</v>
      </c>
      <c r="N53" s="32" t="s">
        <v>787</v>
      </c>
      <c r="O53" s="31">
        <f>883</f>
        <v>883</v>
      </c>
      <c r="P53" s="32" t="s">
        <v>996</v>
      </c>
      <c r="Q53" s="31">
        <f>908</f>
        <v>908</v>
      </c>
      <c r="R53" s="32" t="s">
        <v>791</v>
      </c>
      <c r="S53" s="33">
        <f>939</f>
        <v>939</v>
      </c>
      <c r="T53" s="30">
        <f>298134633</f>
        <v>298134633</v>
      </c>
      <c r="U53" s="30">
        <f>4554655</f>
        <v>4554655</v>
      </c>
      <c r="V53" s="30">
        <f>281471277630</f>
        <v>281471277630</v>
      </c>
      <c r="W53" s="30">
        <f>4498396150</f>
        <v>4498396150</v>
      </c>
      <c r="X53" s="34">
        <f>20</f>
        <v>20</v>
      </c>
    </row>
    <row r="54" spans="1:24" ht="13.5" customHeight="1" x14ac:dyDescent="0.15">
      <c r="A54" s="25" t="s">
        <v>1112</v>
      </c>
      <c r="B54" s="25" t="s">
        <v>192</v>
      </c>
      <c r="C54" s="25" t="s">
        <v>1049</v>
      </c>
      <c r="D54" s="25" t="s">
        <v>1050</v>
      </c>
      <c r="E54" s="26" t="s">
        <v>45</v>
      </c>
      <c r="F54" s="27" t="s">
        <v>45</v>
      </c>
      <c r="G54" s="28" t="s">
        <v>45</v>
      </c>
      <c r="H54" s="29"/>
      <c r="I54" s="29" t="s">
        <v>46</v>
      </c>
      <c r="J54" s="30">
        <v>1</v>
      </c>
      <c r="K54" s="31">
        <f>21625</f>
        <v>21625</v>
      </c>
      <c r="L54" s="32" t="s">
        <v>996</v>
      </c>
      <c r="M54" s="31">
        <f>21910</f>
        <v>21910</v>
      </c>
      <c r="N54" s="32" t="s">
        <v>791</v>
      </c>
      <c r="O54" s="31">
        <f>19875</f>
        <v>19875</v>
      </c>
      <c r="P54" s="32" t="s">
        <v>787</v>
      </c>
      <c r="Q54" s="31">
        <f>21720</f>
        <v>21720</v>
      </c>
      <c r="R54" s="32" t="s">
        <v>791</v>
      </c>
      <c r="S54" s="33">
        <f>20863.95</f>
        <v>20863.95</v>
      </c>
      <c r="T54" s="30">
        <f>1550</f>
        <v>1550</v>
      </c>
      <c r="U54" s="30" t="str">
        <f>"－"</f>
        <v>－</v>
      </c>
      <c r="V54" s="30">
        <f>32473750</f>
        <v>32473750</v>
      </c>
      <c r="W54" s="30" t="str">
        <f>"－"</f>
        <v>－</v>
      </c>
      <c r="X54" s="34">
        <f>19</f>
        <v>19</v>
      </c>
    </row>
    <row r="55" spans="1:24" ht="13.5" customHeight="1" x14ac:dyDescent="0.15">
      <c r="A55" s="25" t="s">
        <v>1112</v>
      </c>
      <c r="B55" s="25" t="s">
        <v>195</v>
      </c>
      <c r="C55" s="25" t="s">
        <v>1051</v>
      </c>
      <c r="D55" s="25" t="s">
        <v>1052</v>
      </c>
      <c r="E55" s="26" t="s">
        <v>45</v>
      </c>
      <c r="F55" s="27" t="s">
        <v>45</v>
      </c>
      <c r="G55" s="28" t="s">
        <v>45</v>
      </c>
      <c r="H55" s="29"/>
      <c r="I55" s="29" t="s">
        <v>46</v>
      </c>
      <c r="J55" s="30">
        <v>1</v>
      </c>
      <c r="K55" s="31">
        <f>3825</f>
        <v>3825</v>
      </c>
      <c r="L55" s="32" t="s">
        <v>996</v>
      </c>
      <c r="M55" s="31">
        <f>3905</f>
        <v>3905</v>
      </c>
      <c r="N55" s="32" t="s">
        <v>787</v>
      </c>
      <c r="O55" s="31">
        <f>3820</f>
        <v>3820</v>
      </c>
      <c r="P55" s="32" t="s">
        <v>785</v>
      </c>
      <c r="Q55" s="31">
        <f>3905</f>
        <v>3905</v>
      </c>
      <c r="R55" s="32" t="s">
        <v>787</v>
      </c>
      <c r="S55" s="33">
        <f>3852</f>
        <v>3852</v>
      </c>
      <c r="T55" s="30">
        <f>2738</f>
        <v>2738</v>
      </c>
      <c r="U55" s="30" t="str">
        <f>"－"</f>
        <v>－</v>
      </c>
      <c r="V55" s="30">
        <f>10470900</f>
        <v>10470900</v>
      </c>
      <c r="W55" s="30" t="str">
        <f>"－"</f>
        <v>－</v>
      </c>
      <c r="X55" s="34">
        <f>5</f>
        <v>5</v>
      </c>
    </row>
    <row r="56" spans="1:24" ht="13.5" customHeight="1" x14ac:dyDescent="0.15">
      <c r="A56" s="25" t="s">
        <v>1112</v>
      </c>
      <c r="B56" s="25" t="s">
        <v>198</v>
      </c>
      <c r="C56" s="25" t="s">
        <v>1053</v>
      </c>
      <c r="D56" s="25" t="s">
        <v>1054</v>
      </c>
      <c r="E56" s="26" t="s">
        <v>45</v>
      </c>
      <c r="F56" s="27" t="s">
        <v>45</v>
      </c>
      <c r="G56" s="28" t="s">
        <v>45</v>
      </c>
      <c r="H56" s="29"/>
      <c r="I56" s="29" t="s">
        <v>46</v>
      </c>
      <c r="J56" s="30">
        <v>1</v>
      </c>
      <c r="K56" s="31">
        <f>1111</f>
        <v>1111</v>
      </c>
      <c r="L56" s="32" t="s">
        <v>996</v>
      </c>
      <c r="M56" s="31">
        <f>1212</f>
        <v>1212</v>
      </c>
      <c r="N56" s="32" t="s">
        <v>787</v>
      </c>
      <c r="O56" s="31">
        <f>1068</f>
        <v>1068</v>
      </c>
      <c r="P56" s="32" t="s">
        <v>784</v>
      </c>
      <c r="Q56" s="31">
        <f>1103</f>
        <v>1103</v>
      </c>
      <c r="R56" s="32" t="s">
        <v>791</v>
      </c>
      <c r="S56" s="33">
        <f>1153.05</f>
        <v>1153.05</v>
      </c>
      <c r="T56" s="30">
        <f>19032</f>
        <v>19032</v>
      </c>
      <c r="U56" s="30" t="str">
        <f>"－"</f>
        <v>－</v>
      </c>
      <c r="V56" s="30">
        <f>21850184</f>
        <v>21850184</v>
      </c>
      <c r="W56" s="30" t="str">
        <f>"－"</f>
        <v>－</v>
      </c>
      <c r="X56" s="34">
        <f>20</f>
        <v>20</v>
      </c>
    </row>
    <row r="57" spans="1:24" ht="13.5" customHeight="1" x14ac:dyDescent="0.15">
      <c r="A57" s="25" t="s">
        <v>1112</v>
      </c>
      <c r="B57" s="25" t="s">
        <v>207</v>
      </c>
      <c r="C57" s="25" t="s">
        <v>208</v>
      </c>
      <c r="D57" s="25" t="s">
        <v>209</v>
      </c>
      <c r="E57" s="26" t="s">
        <v>45</v>
      </c>
      <c r="F57" s="27" t="s">
        <v>45</v>
      </c>
      <c r="G57" s="28" t="s">
        <v>45</v>
      </c>
      <c r="H57" s="29"/>
      <c r="I57" s="29" t="s">
        <v>46</v>
      </c>
      <c r="J57" s="30">
        <v>10</v>
      </c>
      <c r="K57" s="31">
        <f>1096</f>
        <v>1096</v>
      </c>
      <c r="L57" s="32" t="s">
        <v>996</v>
      </c>
      <c r="M57" s="31">
        <f>1182</f>
        <v>1182</v>
      </c>
      <c r="N57" s="32" t="s">
        <v>56</v>
      </c>
      <c r="O57" s="31">
        <f>1075</f>
        <v>1075</v>
      </c>
      <c r="P57" s="32" t="s">
        <v>791</v>
      </c>
      <c r="Q57" s="31">
        <f>1078</f>
        <v>1078</v>
      </c>
      <c r="R57" s="32" t="s">
        <v>791</v>
      </c>
      <c r="S57" s="33">
        <f>1123.85</f>
        <v>1123.8499999999999</v>
      </c>
      <c r="T57" s="30">
        <f>108570</f>
        <v>108570</v>
      </c>
      <c r="U57" s="30" t="str">
        <f>"－"</f>
        <v>－</v>
      </c>
      <c r="V57" s="30">
        <f>122274100</f>
        <v>122274100</v>
      </c>
      <c r="W57" s="30" t="str">
        <f>"－"</f>
        <v>－</v>
      </c>
      <c r="X57" s="34">
        <f>20</f>
        <v>20</v>
      </c>
    </row>
    <row r="58" spans="1:24" ht="13.5" customHeight="1" x14ac:dyDescent="0.15">
      <c r="A58" s="25" t="s">
        <v>1112</v>
      </c>
      <c r="B58" s="25" t="s">
        <v>210</v>
      </c>
      <c r="C58" s="25" t="s">
        <v>211</v>
      </c>
      <c r="D58" s="25" t="s">
        <v>212</v>
      </c>
      <c r="E58" s="26" t="s">
        <v>45</v>
      </c>
      <c r="F58" s="27" t="s">
        <v>45</v>
      </c>
      <c r="G58" s="28" t="s">
        <v>45</v>
      </c>
      <c r="H58" s="29"/>
      <c r="I58" s="29" t="s">
        <v>46</v>
      </c>
      <c r="J58" s="30">
        <v>1</v>
      </c>
      <c r="K58" s="31">
        <f>458</f>
        <v>458</v>
      </c>
      <c r="L58" s="32" t="s">
        <v>996</v>
      </c>
      <c r="M58" s="31">
        <f>487</f>
        <v>487</v>
      </c>
      <c r="N58" s="32" t="s">
        <v>787</v>
      </c>
      <c r="O58" s="31">
        <f>440</f>
        <v>440</v>
      </c>
      <c r="P58" s="32" t="s">
        <v>996</v>
      </c>
      <c r="Q58" s="31">
        <f>448</f>
        <v>448</v>
      </c>
      <c r="R58" s="32" t="s">
        <v>791</v>
      </c>
      <c r="S58" s="33">
        <f>461.75</f>
        <v>461.75</v>
      </c>
      <c r="T58" s="30">
        <f>44184</f>
        <v>44184</v>
      </c>
      <c r="U58" s="30" t="str">
        <f>"－"</f>
        <v>－</v>
      </c>
      <c r="V58" s="30">
        <f>20476975</f>
        <v>20476975</v>
      </c>
      <c r="W58" s="30" t="str">
        <f>"－"</f>
        <v>－</v>
      </c>
      <c r="X58" s="34">
        <f>20</f>
        <v>20</v>
      </c>
    </row>
    <row r="59" spans="1:24" ht="13.5" customHeight="1" x14ac:dyDescent="0.15">
      <c r="A59" s="25" t="s">
        <v>1112</v>
      </c>
      <c r="B59" s="25" t="s">
        <v>213</v>
      </c>
      <c r="C59" s="25" t="s">
        <v>214</v>
      </c>
      <c r="D59" s="25" t="s">
        <v>215</v>
      </c>
      <c r="E59" s="26" t="s">
        <v>45</v>
      </c>
      <c r="F59" s="27" t="s">
        <v>45</v>
      </c>
      <c r="G59" s="28" t="s">
        <v>45</v>
      </c>
      <c r="H59" s="29"/>
      <c r="I59" s="29" t="s">
        <v>46</v>
      </c>
      <c r="J59" s="30">
        <v>10</v>
      </c>
      <c r="K59" s="31">
        <f>2364.5</f>
        <v>2364.5</v>
      </c>
      <c r="L59" s="32" t="s">
        <v>996</v>
      </c>
      <c r="M59" s="31">
        <f>2381</f>
        <v>2381</v>
      </c>
      <c r="N59" s="32" t="s">
        <v>996</v>
      </c>
      <c r="O59" s="31">
        <f>2249</f>
        <v>2249</v>
      </c>
      <c r="P59" s="32" t="s">
        <v>787</v>
      </c>
      <c r="Q59" s="31">
        <f>2352.5</f>
        <v>2352.5</v>
      </c>
      <c r="R59" s="32" t="s">
        <v>791</v>
      </c>
      <c r="S59" s="33">
        <f>2306.63</f>
        <v>2306.63</v>
      </c>
      <c r="T59" s="30">
        <f>2337500</f>
        <v>2337500</v>
      </c>
      <c r="U59" s="30">
        <f>500160</f>
        <v>500160</v>
      </c>
      <c r="V59" s="30">
        <f>5420783090</f>
        <v>5420783090</v>
      </c>
      <c r="W59" s="30">
        <f>1180679120</f>
        <v>1180679120</v>
      </c>
      <c r="X59" s="34">
        <f>20</f>
        <v>20</v>
      </c>
    </row>
    <row r="60" spans="1:24" ht="13.5" customHeight="1" x14ac:dyDescent="0.15">
      <c r="A60" s="25" t="s">
        <v>1112</v>
      </c>
      <c r="B60" s="25" t="s">
        <v>216</v>
      </c>
      <c r="C60" s="25" t="s">
        <v>217</v>
      </c>
      <c r="D60" s="25" t="s">
        <v>218</v>
      </c>
      <c r="E60" s="26" t="s">
        <v>45</v>
      </c>
      <c r="F60" s="27" t="s">
        <v>45</v>
      </c>
      <c r="G60" s="28" t="s">
        <v>45</v>
      </c>
      <c r="H60" s="29"/>
      <c r="I60" s="29" t="s">
        <v>46</v>
      </c>
      <c r="J60" s="30">
        <v>1</v>
      </c>
      <c r="K60" s="31">
        <f>21655</f>
        <v>21655</v>
      </c>
      <c r="L60" s="32" t="s">
        <v>996</v>
      </c>
      <c r="M60" s="31">
        <f>21655</f>
        <v>21655</v>
      </c>
      <c r="N60" s="32" t="s">
        <v>996</v>
      </c>
      <c r="O60" s="31">
        <f>20140</f>
        <v>20140</v>
      </c>
      <c r="P60" s="32" t="s">
        <v>788</v>
      </c>
      <c r="Q60" s="31">
        <f>21205</f>
        <v>21205</v>
      </c>
      <c r="R60" s="32" t="s">
        <v>791</v>
      </c>
      <c r="S60" s="33">
        <f>20811.5</f>
        <v>20811.5</v>
      </c>
      <c r="T60" s="30">
        <f>9858</f>
        <v>9858</v>
      </c>
      <c r="U60" s="30" t="str">
        <f>"－"</f>
        <v>－</v>
      </c>
      <c r="V60" s="30">
        <f>204929635</f>
        <v>204929635</v>
      </c>
      <c r="W60" s="30" t="str">
        <f>"－"</f>
        <v>－</v>
      </c>
      <c r="X60" s="34">
        <f>20</f>
        <v>20</v>
      </c>
    </row>
    <row r="61" spans="1:24" ht="13.5" customHeight="1" x14ac:dyDescent="0.15">
      <c r="A61" s="25" t="s">
        <v>1112</v>
      </c>
      <c r="B61" s="25" t="s">
        <v>219</v>
      </c>
      <c r="C61" s="25" t="s">
        <v>220</v>
      </c>
      <c r="D61" s="25" t="s">
        <v>221</v>
      </c>
      <c r="E61" s="26" t="s">
        <v>45</v>
      </c>
      <c r="F61" s="27" t="s">
        <v>45</v>
      </c>
      <c r="G61" s="28" t="s">
        <v>45</v>
      </c>
      <c r="H61" s="29"/>
      <c r="I61" s="29" t="s">
        <v>46</v>
      </c>
      <c r="J61" s="30">
        <v>1</v>
      </c>
      <c r="K61" s="31">
        <f>2385</f>
        <v>2385</v>
      </c>
      <c r="L61" s="32" t="s">
        <v>996</v>
      </c>
      <c r="M61" s="31">
        <f>2411</f>
        <v>2411</v>
      </c>
      <c r="N61" s="32" t="s">
        <v>791</v>
      </c>
      <c r="O61" s="31">
        <f>2291</f>
        <v>2291</v>
      </c>
      <c r="P61" s="32" t="s">
        <v>787</v>
      </c>
      <c r="Q61" s="31">
        <f>2401</f>
        <v>2401</v>
      </c>
      <c r="R61" s="32" t="s">
        <v>791</v>
      </c>
      <c r="S61" s="33">
        <f>2351.65</f>
        <v>2351.65</v>
      </c>
      <c r="T61" s="30">
        <f>22801955</f>
        <v>22801955</v>
      </c>
      <c r="U61" s="30">
        <f>10895860</f>
        <v>10895860</v>
      </c>
      <c r="V61" s="30">
        <f>53727128251</f>
        <v>53727128251</v>
      </c>
      <c r="W61" s="30">
        <f>25737830154</f>
        <v>25737830154</v>
      </c>
      <c r="X61" s="34">
        <f>20</f>
        <v>20</v>
      </c>
    </row>
    <row r="62" spans="1:24" ht="13.5" customHeight="1" x14ac:dyDescent="0.15">
      <c r="A62" s="25" t="s">
        <v>1112</v>
      </c>
      <c r="B62" s="25" t="s">
        <v>222</v>
      </c>
      <c r="C62" s="25" t="s">
        <v>223</v>
      </c>
      <c r="D62" s="25" t="s">
        <v>224</v>
      </c>
      <c r="E62" s="26" t="s">
        <v>45</v>
      </c>
      <c r="F62" s="27" t="s">
        <v>45</v>
      </c>
      <c r="G62" s="28" t="s">
        <v>45</v>
      </c>
      <c r="H62" s="29"/>
      <c r="I62" s="29" t="s">
        <v>46</v>
      </c>
      <c r="J62" s="30">
        <v>1</v>
      </c>
      <c r="K62" s="31">
        <f>1927</f>
        <v>1927</v>
      </c>
      <c r="L62" s="32" t="s">
        <v>996</v>
      </c>
      <c r="M62" s="31">
        <f>1969</f>
        <v>1969</v>
      </c>
      <c r="N62" s="32" t="s">
        <v>255</v>
      </c>
      <c r="O62" s="31">
        <f>1902</f>
        <v>1902</v>
      </c>
      <c r="P62" s="32" t="s">
        <v>875</v>
      </c>
      <c r="Q62" s="31">
        <f>1948</f>
        <v>1948</v>
      </c>
      <c r="R62" s="32" t="s">
        <v>791</v>
      </c>
      <c r="S62" s="33">
        <f>1934.5</f>
        <v>1934.5</v>
      </c>
      <c r="T62" s="30">
        <f>3114458</f>
        <v>3114458</v>
      </c>
      <c r="U62" s="30">
        <f>1676330</f>
        <v>1676330</v>
      </c>
      <c r="V62" s="30">
        <f>6043976347</f>
        <v>6043976347</v>
      </c>
      <c r="W62" s="30">
        <f>3259528784</f>
        <v>3259528784</v>
      </c>
      <c r="X62" s="34">
        <f>20</f>
        <v>20</v>
      </c>
    </row>
    <row r="63" spans="1:24" ht="13.5" customHeight="1" x14ac:dyDescent="0.15">
      <c r="A63" s="25" t="s">
        <v>1112</v>
      </c>
      <c r="B63" s="25" t="s">
        <v>225</v>
      </c>
      <c r="C63" s="25" t="s">
        <v>226</v>
      </c>
      <c r="D63" s="25" t="s">
        <v>227</v>
      </c>
      <c r="E63" s="26" t="s">
        <v>45</v>
      </c>
      <c r="F63" s="27" t="s">
        <v>45</v>
      </c>
      <c r="G63" s="28" t="s">
        <v>45</v>
      </c>
      <c r="H63" s="29"/>
      <c r="I63" s="29" t="s">
        <v>46</v>
      </c>
      <c r="J63" s="30">
        <v>1</v>
      </c>
      <c r="K63" s="31">
        <f>2209</f>
        <v>2209</v>
      </c>
      <c r="L63" s="32" t="s">
        <v>996</v>
      </c>
      <c r="M63" s="31">
        <f>2248</f>
        <v>2248</v>
      </c>
      <c r="N63" s="32" t="s">
        <v>997</v>
      </c>
      <c r="O63" s="31">
        <f>2118</f>
        <v>2118</v>
      </c>
      <c r="P63" s="32" t="s">
        <v>875</v>
      </c>
      <c r="Q63" s="31">
        <f>2216</f>
        <v>2216</v>
      </c>
      <c r="R63" s="32" t="s">
        <v>791</v>
      </c>
      <c r="S63" s="33">
        <f>2178.55</f>
        <v>2178.5500000000002</v>
      </c>
      <c r="T63" s="30">
        <f>80711</f>
        <v>80711</v>
      </c>
      <c r="U63" s="30">
        <f>18814</f>
        <v>18814</v>
      </c>
      <c r="V63" s="30">
        <f>177958739</f>
        <v>177958739</v>
      </c>
      <c r="W63" s="30">
        <f>41768244</f>
        <v>41768244</v>
      </c>
      <c r="X63" s="34">
        <f>20</f>
        <v>20</v>
      </c>
    </row>
    <row r="64" spans="1:24" ht="13.5" customHeight="1" x14ac:dyDescent="0.15">
      <c r="A64" s="25" t="s">
        <v>1112</v>
      </c>
      <c r="B64" s="25" t="s">
        <v>228</v>
      </c>
      <c r="C64" s="25" t="s">
        <v>229</v>
      </c>
      <c r="D64" s="25" t="s">
        <v>230</v>
      </c>
      <c r="E64" s="26" t="s">
        <v>45</v>
      </c>
      <c r="F64" s="27" t="s">
        <v>45</v>
      </c>
      <c r="G64" s="28" t="s">
        <v>45</v>
      </c>
      <c r="H64" s="29"/>
      <c r="I64" s="29" t="s">
        <v>46</v>
      </c>
      <c r="J64" s="30">
        <v>1</v>
      </c>
      <c r="K64" s="31">
        <f>2965</f>
        <v>2965</v>
      </c>
      <c r="L64" s="32" t="s">
        <v>996</v>
      </c>
      <c r="M64" s="31">
        <f>3005</f>
        <v>3005</v>
      </c>
      <c r="N64" s="32" t="s">
        <v>791</v>
      </c>
      <c r="O64" s="31">
        <f>2830</f>
        <v>2830</v>
      </c>
      <c r="P64" s="32" t="s">
        <v>56</v>
      </c>
      <c r="Q64" s="31">
        <f>2994</f>
        <v>2994</v>
      </c>
      <c r="R64" s="32" t="s">
        <v>791</v>
      </c>
      <c r="S64" s="33">
        <f>2925.05</f>
        <v>2925.05</v>
      </c>
      <c r="T64" s="30">
        <f>2997401</f>
        <v>2997401</v>
      </c>
      <c r="U64" s="30">
        <f>1960647</f>
        <v>1960647</v>
      </c>
      <c r="V64" s="30">
        <f>8866639080</f>
        <v>8866639080</v>
      </c>
      <c r="W64" s="30">
        <f>5835737951</f>
        <v>5835737951</v>
      </c>
      <c r="X64" s="34">
        <f>20</f>
        <v>20</v>
      </c>
    </row>
    <row r="65" spans="1:24" ht="13.5" customHeight="1" x14ac:dyDescent="0.15">
      <c r="A65" s="25" t="s">
        <v>1112</v>
      </c>
      <c r="B65" s="25" t="s">
        <v>231</v>
      </c>
      <c r="C65" s="25" t="s">
        <v>1055</v>
      </c>
      <c r="D65" s="25" t="s">
        <v>1056</v>
      </c>
      <c r="E65" s="26" t="s">
        <v>45</v>
      </c>
      <c r="F65" s="27" t="s">
        <v>45</v>
      </c>
      <c r="G65" s="28" t="s">
        <v>45</v>
      </c>
      <c r="H65" s="29"/>
      <c r="I65" s="29" t="s">
        <v>46</v>
      </c>
      <c r="J65" s="30">
        <v>1</v>
      </c>
      <c r="K65" s="31">
        <f>29095</f>
        <v>29095</v>
      </c>
      <c r="L65" s="32" t="s">
        <v>785</v>
      </c>
      <c r="M65" s="31">
        <f>29095</f>
        <v>29095</v>
      </c>
      <c r="N65" s="32" t="s">
        <v>785</v>
      </c>
      <c r="O65" s="31">
        <f>27650</f>
        <v>27650</v>
      </c>
      <c r="P65" s="32" t="s">
        <v>1005</v>
      </c>
      <c r="Q65" s="31">
        <f>28695</f>
        <v>28695</v>
      </c>
      <c r="R65" s="32" t="s">
        <v>791</v>
      </c>
      <c r="S65" s="33">
        <f>28357.78</f>
        <v>28357.78</v>
      </c>
      <c r="T65" s="30">
        <f>3138</f>
        <v>3138</v>
      </c>
      <c r="U65" s="30" t="str">
        <f>"－"</f>
        <v>－</v>
      </c>
      <c r="V65" s="30">
        <f>89721965</f>
        <v>89721965</v>
      </c>
      <c r="W65" s="30" t="str">
        <f>"－"</f>
        <v>－</v>
      </c>
      <c r="X65" s="34">
        <f>9</f>
        <v>9</v>
      </c>
    </row>
    <row r="66" spans="1:24" ht="13.5" customHeight="1" x14ac:dyDescent="0.15">
      <c r="A66" s="25" t="s">
        <v>1112</v>
      </c>
      <c r="B66" s="25" t="s">
        <v>234</v>
      </c>
      <c r="C66" s="25" t="s">
        <v>235</v>
      </c>
      <c r="D66" s="25" t="s">
        <v>236</v>
      </c>
      <c r="E66" s="26" t="s">
        <v>45</v>
      </c>
      <c r="F66" s="27" t="s">
        <v>45</v>
      </c>
      <c r="G66" s="28" t="s">
        <v>45</v>
      </c>
      <c r="H66" s="29"/>
      <c r="I66" s="29" t="s">
        <v>46</v>
      </c>
      <c r="J66" s="30">
        <v>1</v>
      </c>
      <c r="K66" s="31">
        <f>23470</f>
        <v>23470</v>
      </c>
      <c r="L66" s="32" t="s">
        <v>996</v>
      </c>
      <c r="M66" s="31">
        <f>23955</f>
        <v>23955</v>
      </c>
      <c r="N66" s="32" t="s">
        <v>785</v>
      </c>
      <c r="O66" s="31">
        <f>22500</f>
        <v>22500</v>
      </c>
      <c r="P66" s="32" t="s">
        <v>794</v>
      </c>
      <c r="Q66" s="31">
        <f>23180</f>
        <v>23180</v>
      </c>
      <c r="R66" s="32" t="s">
        <v>791</v>
      </c>
      <c r="S66" s="33">
        <f>22927.5</f>
        <v>22927.5</v>
      </c>
      <c r="T66" s="30">
        <f>75</f>
        <v>75</v>
      </c>
      <c r="U66" s="30" t="str">
        <f>"－"</f>
        <v>－</v>
      </c>
      <c r="V66" s="30">
        <f>1718275</f>
        <v>1718275</v>
      </c>
      <c r="W66" s="30" t="str">
        <f>"－"</f>
        <v>－</v>
      </c>
      <c r="X66" s="34">
        <f>10</f>
        <v>10</v>
      </c>
    </row>
    <row r="67" spans="1:24" ht="13.5" customHeight="1" x14ac:dyDescent="0.15">
      <c r="A67" s="25" t="s">
        <v>1112</v>
      </c>
      <c r="B67" s="25" t="s">
        <v>237</v>
      </c>
      <c r="C67" s="25" t="s">
        <v>238</v>
      </c>
      <c r="D67" s="25" t="s">
        <v>239</v>
      </c>
      <c r="E67" s="26" t="s">
        <v>45</v>
      </c>
      <c r="F67" s="27" t="s">
        <v>45</v>
      </c>
      <c r="G67" s="28" t="s">
        <v>45</v>
      </c>
      <c r="H67" s="29"/>
      <c r="I67" s="29" t="s">
        <v>46</v>
      </c>
      <c r="J67" s="30">
        <v>1</v>
      </c>
      <c r="K67" s="31">
        <f>2410</f>
        <v>2410</v>
      </c>
      <c r="L67" s="32" t="s">
        <v>996</v>
      </c>
      <c r="M67" s="31">
        <f>2430</f>
        <v>2430</v>
      </c>
      <c r="N67" s="32" t="s">
        <v>1005</v>
      </c>
      <c r="O67" s="31">
        <f>2280</f>
        <v>2280</v>
      </c>
      <c r="P67" s="32" t="s">
        <v>787</v>
      </c>
      <c r="Q67" s="31">
        <f>2367</f>
        <v>2367</v>
      </c>
      <c r="R67" s="32" t="s">
        <v>791</v>
      </c>
      <c r="S67" s="33">
        <f>2339.17</f>
        <v>2339.17</v>
      </c>
      <c r="T67" s="30">
        <f>7520</f>
        <v>7520</v>
      </c>
      <c r="U67" s="30" t="str">
        <f>"－"</f>
        <v>－</v>
      </c>
      <c r="V67" s="30">
        <f>17615435</f>
        <v>17615435</v>
      </c>
      <c r="W67" s="30" t="str">
        <f>"－"</f>
        <v>－</v>
      </c>
      <c r="X67" s="34">
        <f>18</f>
        <v>18</v>
      </c>
    </row>
    <row r="68" spans="1:24" ht="13.5" customHeight="1" x14ac:dyDescent="0.15">
      <c r="A68" s="25" t="s">
        <v>1112</v>
      </c>
      <c r="B68" s="25" t="s">
        <v>240</v>
      </c>
      <c r="C68" s="25" t="s">
        <v>241</v>
      </c>
      <c r="D68" s="25" t="s">
        <v>242</v>
      </c>
      <c r="E68" s="26" t="s">
        <v>45</v>
      </c>
      <c r="F68" s="27" t="s">
        <v>45</v>
      </c>
      <c r="G68" s="28" t="s">
        <v>45</v>
      </c>
      <c r="H68" s="29"/>
      <c r="I68" s="29" t="s">
        <v>46</v>
      </c>
      <c r="J68" s="30">
        <v>1</v>
      </c>
      <c r="K68" s="31">
        <f>1856</f>
        <v>1856</v>
      </c>
      <c r="L68" s="32" t="s">
        <v>996</v>
      </c>
      <c r="M68" s="31">
        <f>1863</f>
        <v>1863</v>
      </c>
      <c r="N68" s="32" t="s">
        <v>80</v>
      </c>
      <c r="O68" s="31">
        <f>1813</f>
        <v>1813</v>
      </c>
      <c r="P68" s="32" t="s">
        <v>875</v>
      </c>
      <c r="Q68" s="31">
        <f>1828</f>
        <v>1828</v>
      </c>
      <c r="R68" s="32" t="s">
        <v>791</v>
      </c>
      <c r="S68" s="33">
        <f>1844.5</f>
        <v>1844.5</v>
      </c>
      <c r="T68" s="30">
        <f>8364692</f>
        <v>8364692</v>
      </c>
      <c r="U68" s="30">
        <f>5746511</f>
        <v>5746511</v>
      </c>
      <c r="V68" s="30">
        <f>15377608410</f>
        <v>15377608410</v>
      </c>
      <c r="W68" s="30">
        <f>10569942067</f>
        <v>10569942067</v>
      </c>
      <c r="X68" s="34">
        <f>20</f>
        <v>20</v>
      </c>
    </row>
    <row r="69" spans="1:24" ht="13.5" customHeight="1" x14ac:dyDescent="0.15">
      <c r="A69" s="25" t="s">
        <v>1112</v>
      </c>
      <c r="B69" s="25" t="s">
        <v>243</v>
      </c>
      <c r="C69" s="25" t="s">
        <v>244</v>
      </c>
      <c r="D69" s="25" t="s">
        <v>245</v>
      </c>
      <c r="E69" s="26" t="s">
        <v>45</v>
      </c>
      <c r="F69" s="27" t="s">
        <v>45</v>
      </c>
      <c r="G69" s="28" t="s">
        <v>45</v>
      </c>
      <c r="H69" s="29"/>
      <c r="I69" s="29" t="s">
        <v>46</v>
      </c>
      <c r="J69" s="30">
        <v>1</v>
      </c>
      <c r="K69" s="31">
        <f>2400</f>
        <v>2400</v>
      </c>
      <c r="L69" s="32" t="s">
        <v>996</v>
      </c>
      <c r="M69" s="31">
        <f>2465</f>
        <v>2465</v>
      </c>
      <c r="N69" s="32" t="s">
        <v>785</v>
      </c>
      <c r="O69" s="31">
        <f>2300</f>
        <v>2300</v>
      </c>
      <c r="P69" s="32" t="s">
        <v>789</v>
      </c>
      <c r="Q69" s="31">
        <f>2370</f>
        <v>2370</v>
      </c>
      <c r="R69" s="32" t="s">
        <v>791</v>
      </c>
      <c r="S69" s="33">
        <f>2355.89</f>
        <v>2355.89</v>
      </c>
      <c r="T69" s="30">
        <f>3153</f>
        <v>3153</v>
      </c>
      <c r="U69" s="30" t="str">
        <f>"－"</f>
        <v>－</v>
      </c>
      <c r="V69" s="30">
        <f>7417576</f>
        <v>7417576</v>
      </c>
      <c r="W69" s="30" t="str">
        <f>"－"</f>
        <v>－</v>
      </c>
      <c r="X69" s="34">
        <f>18</f>
        <v>18</v>
      </c>
    </row>
    <row r="70" spans="1:24" ht="13.5" customHeight="1" x14ac:dyDescent="0.15">
      <c r="A70" s="25" t="s">
        <v>1112</v>
      </c>
      <c r="B70" s="25" t="s">
        <v>246</v>
      </c>
      <c r="C70" s="25" t="s">
        <v>247</v>
      </c>
      <c r="D70" s="25" t="s">
        <v>248</v>
      </c>
      <c r="E70" s="26" t="s">
        <v>45</v>
      </c>
      <c r="F70" s="27" t="s">
        <v>45</v>
      </c>
      <c r="G70" s="28" t="s">
        <v>45</v>
      </c>
      <c r="H70" s="29"/>
      <c r="I70" s="29" t="s">
        <v>46</v>
      </c>
      <c r="J70" s="30">
        <v>10</v>
      </c>
      <c r="K70" s="31">
        <f>2382</f>
        <v>2382</v>
      </c>
      <c r="L70" s="32" t="s">
        <v>996</v>
      </c>
      <c r="M70" s="31">
        <f>2382</f>
        <v>2382</v>
      </c>
      <c r="N70" s="32" t="s">
        <v>996</v>
      </c>
      <c r="O70" s="31">
        <f>2241</f>
        <v>2241</v>
      </c>
      <c r="P70" s="32" t="s">
        <v>787</v>
      </c>
      <c r="Q70" s="31">
        <f>2329.5</f>
        <v>2329.5</v>
      </c>
      <c r="R70" s="32" t="s">
        <v>791</v>
      </c>
      <c r="S70" s="33">
        <f>2297.05</f>
        <v>2297.0500000000002</v>
      </c>
      <c r="T70" s="30">
        <f>22650</f>
        <v>22650</v>
      </c>
      <c r="U70" s="30" t="str">
        <f>"－"</f>
        <v>－</v>
      </c>
      <c r="V70" s="30">
        <f>52087265</f>
        <v>52087265</v>
      </c>
      <c r="W70" s="30" t="str">
        <f>"－"</f>
        <v>－</v>
      </c>
      <c r="X70" s="34">
        <f>20</f>
        <v>20</v>
      </c>
    </row>
    <row r="71" spans="1:24" ht="13.5" customHeight="1" x14ac:dyDescent="0.15">
      <c r="A71" s="25" t="s">
        <v>1112</v>
      </c>
      <c r="B71" s="25" t="s">
        <v>249</v>
      </c>
      <c r="C71" s="25" t="s">
        <v>250</v>
      </c>
      <c r="D71" s="25" t="s">
        <v>251</v>
      </c>
      <c r="E71" s="26" t="s">
        <v>45</v>
      </c>
      <c r="F71" s="27" t="s">
        <v>45</v>
      </c>
      <c r="G71" s="28" t="s">
        <v>45</v>
      </c>
      <c r="H71" s="29"/>
      <c r="I71" s="29" t="s">
        <v>46</v>
      </c>
      <c r="J71" s="30">
        <v>1</v>
      </c>
      <c r="K71" s="31">
        <f>35560</f>
        <v>35560</v>
      </c>
      <c r="L71" s="32" t="s">
        <v>784</v>
      </c>
      <c r="M71" s="31">
        <f>35560</f>
        <v>35560</v>
      </c>
      <c r="N71" s="32" t="s">
        <v>784</v>
      </c>
      <c r="O71" s="31">
        <f>35560</f>
        <v>35560</v>
      </c>
      <c r="P71" s="32" t="s">
        <v>784</v>
      </c>
      <c r="Q71" s="31">
        <f>35560</f>
        <v>35560</v>
      </c>
      <c r="R71" s="32" t="s">
        <v>784</v>
      </c>
      <c r="S71" s="33">
        <f>35560</f>
        <v>35560</v>
      </c>
      <c r="T71" s="30">
        <f>30</f>
        <v>30</v>
      </c>
      <c r="U71" s="30" t="str">
        <f>"－"</f>
        <v>－</v>
      </c>
      <c r="V71" s="30">
        <f>1066800</f>
        <v>1066800</v>
      </c>
      <c r="W71" s="30" t="str">
        <f>"－"</f>
        <v>－</v>
      </c>
      <c r="X71" s="34">
        <f>1</f>
        <v>1</v>
      </c>
    </row>
    <row r="72" spans="1:24" ht="13.5" customHeight="1" x14ac:dyDescent="0.15">
      <c r="A72" s="25" t="s">
        <v>1112</v>
      </c>
      <c r="B72" s="25" t="s">
        <v>252</v>
      </c>
      <c r="C72" s="25" t="s">
        <v>253</v>
      </c>
      <c r="D72" s="25" t="s">
        <v>254</v>
      </c>
      <c r="E72" s="26" t="s">
        <v>45</v>
      </c>
      <c r="F72" s="27" t="s">
        <v>45</v>
      </c>
      <c r="G72" s="28" t="s">
        <v>45</v>
      </c>
      <c r="H72" s="29"/>
      <c r="I72" s="29" t="s">
        <v>46</v>
      </c>
      <c r="J72" s="30">
        <v>1</v>
      </c>
      <c r="K72" s="31">
        <f>23310</f>
        <v>23310</v>
      </c>
      <c r="L72" s="32" t="s">
        <v>996</v>
      </c>
      <c r="M72" s="31">
        <f>23330</f>
        <v>23330</v>
      </c>
      <c r="N72" s="32" t="s">
        <v>785</v>
      </c>
      <c r="O72" s="31">
        <f>21595</f>
        <v>21595</v>
      </c>
      <c r="P72" s="32" t="s">
        <v>997</v>
      </c>
      <c r="Q72" s="31">
        <f>22220</f>
        <v>22220</v>
      </c>
      <c r="R72" s="32" t="s">
        <v>791</v>
      </c>
      <c r="S72" s="33">
        <f>22356.25</f>
        <v>22356.25</v>
      </c>
      <c r="T72" s="30">
        <f>731465</f>
        <v>731465</v>
      </c>
      <c r="U72" s="30">
        <f>645302</f>
        <v>645302</v>
      </c>
      <c r="V72" s="30">
        <f>16601646156</f>
        <v>16601646156</v>
      </c>
      <c r="W72" s="30">
        <f>14670732696</f>
        <v>14670732696</v>
      </c>
      <c r="X72" s="34">
        <f>20</f>
        <v>20</v>
      </c>
    </row>
    <row r="73" spans="1:24" ht="13.5" customHeight="1" x14ac:dyDescent="0.15">
      <c r="A73" s="25" t="s">
        <v>1112</v>
      </c>
      <c r="B73" s="25" t="s">
        <v>256</v>
      </c>
      <c r="C73" s="25" t="s">
        <v>257</v>
      </c>
      <c r="D73" s="25" t="s">
        <v>258</v>
      </c>
      <c r="E73" s="26" t="s">
        <v>45</v>
      </c>
      <c r="F73" s="27" t="s">
        <v>45</v>
      </c>
      <c r="G73" s="28" t="s">
        <v>45</v>
      </c>
      <c r="H73" s="29"/>
      <c r="I73" s="29" t="s">
        <v>46</v>
      </c>
      <c r="J73" s="30">
        <v>1</v>
      </c>
      <c r="K73" s="31">
        <f>14335</f>
        <v>14335</v>
      </c>
      <c r="L73" s="32" t="s">
        <v>996</v>
      </c>
      <c r="M73" s="31">
        <f>14600</f>
        <v>14600</v>
      </c>
      <c r="N73" s="32" t="s">
        <v>78</v>
      </c>
      <c r="O73" s="31">
        <f>13855</f>
        <v>13855</v>
      </c>
      <c r="P73" s="32" t="s">
        <v>1003</v>
      </c>
      <c r="Q73" s="31">
        <f>14005</f>
        <v>14005</v>
      </c>
      <c r="R73" s="32" t="s">
        <v>791</v>
      </c>
      <c r="S73" s="33">
        <f>14147.75</f>
        <v>14147.75</v>
      </c>
      <c r="T73" s="30">
        <f>445876</f>
        <v>445876</v>
      </c>
      <c r="U73" s="30">
        <f>262940</f>
        <v>262940</v>
      </c>
      <c r="V73" s="30">
        <f>6274390013</f>
        <v>6274390013</v>
      </c>
      <c r="W73" s="30">
        <f>3683847253</f>
        <v>3683847253</v>
      </c>
      <c r="X73" s="34">
        <f>20</f>
        <v>20</v>
      </c>
    </row>
    <row r="74" spans="1:24" ht="13.5" customHeight="1" x14ac:dyDescent="0.15">
      <c r="A74" s="25" t="s">
        <v>1112</v>
      </c>
      <c r="B74" s="25" t="s">
        <v>259</v>
      </c>
      <c r="C74" s="25" t="s">
        <v>1057</v>
      </c>
      <c r="D74" s="25" t="s">
        <v>1058</v>
      </c>
      <c r="E74" s="26" t="s">
        <v>45</v>
      </c>
      <c r="F74" s="27" t="s">
        <v>45</v>
      </c>
      <c r="G74" s="28" t="s">
        <v>45</v>
      </c>
      <c r="H74" s="29"/>
      <c r="I74" s="29" t="s">
        <v>46</v>
      </c>
      <c r="J74" s="30">
        <v>10</v>
      </c>
      <c r="K74" s="31">
        <f>1924</f>
        <v>1924</v>
      </c>
      <c r="L74" s="32" t="s">
        <v>996</v>
      </c>
      <c r="M74" s="31">
        <f>1967</f>
        <v>1967</v>
      </c>
      <c r="N74" s="32" t="s">
        <v>255</v>
      </c>
      <c r="O74" s="31">
        <f>1898.5</f>
        <v>1898.5</v>
      </c>
      <c r="P74" s="32" t="s">
        <v>875</v>
      </c>
      <c r="Q74" s="31">
        <f>1943</f>
        <v>1943</v>
      </c>
      <c r="R74" s="32" t="s">
        <v>791</v>
      </c>
      <c r="S74" s="33">
        <f>1931.73</f>
        <v>1931.73</v>
      </c>
      <c r="T74" s="30">
        <f>591430</f>
        <v>591430</v>
      </c>
      <c r="U74" s="30">
        <f>222050</f>
        <v>222050</v>
      </c>
      <c r="V74" s="30">
        <f>1146275071</f>
        <v>1146275071</v>
      </c>
      <c r="W74" s="30">
        <f>432301416</f>
        <v>432301416</v>
      </c>
      <c r="X74" s="34">
        <f>20</f>
        <v>20</v>
      </c>
    </row>
    <row r="75" spans="1:24" ht="13.5" customHeight="1" x14ac:dyDescent="0.15">
      <c r="A75" s="25" t="s">
        <v>1112</v>
      </c>
      <c r="B75" s="25" t="s">
        <v>262</v>
      </c>
      <c r="C75" s="25" t="s">
        <v>263</v>
      </c>
      <c r="D75" s="25" t="s">
        <v>264</v>
      </c>
      <c r="E75" s="26" t="s">
        <v>45</v>
      </c>
      <c r="F75" s="27" t="s">
        <v>45</v>
      </c>
      <c r="G75" s="28" t="s">
        <v>45</v>
      </c>
      <c r="H75" s="29"/>
      <c r="I75" s="29" t="s">
        <v>46</v>
      </c>
      <c r="J75" s="30">
        <v>1</v>
      </c>
      <c r="K75" s="31">
        <f>52330</f>
        <v>52330</v>
      </c>
      <c r="L75" s="32" t="s">
        <v>996</v>
      </c>
      <c r="M75" s="31">
        <f>54500</f>
        <v>54500</v>
      </c>
      <c r="N75" s="32" t="s">
        <v>791</v>
      </c>
      <c r="O75" s="31">
        <f>50940</f>
        <v>50940</v>
      </c>
      <c r="P75" s="32" t="s">
        <v>1005</v>
      </c>
      <c r="Q75" s="31">
        <f>54300</f>
        <v>54300</v>
      </c>
      <c r="R75" s="32" t="s">
        <v>791</v>
      </c>
      <c r="S75" s="33">
        <f>52397.5</f>
        <v>52397.5</v>
      </c>
      <c r="T75" s="30">
        <f>350489</f>
        <v>350489</v>
      </c>
      <c r="U75" s="30">
        <f>22420</f>
        <v>22420</v>
      </c>
      <c r="V75" s="30">
        <f>18372653209</f>
        <v>18372653209</v>
      </c>
      <c r="W75" s="30">
        <f>1167591479</f>
        <v>1167591479</v>
      </c>
      <c r="X75" s="34">
        <f>20</f>
        <v>20</v>
      </c>
    </row>
    <row r="76" spans="1:24" ht="13.5" customHeight="1" x14ac:dyDescent="0.15">
      <c r="A76" s="25" t="s">
        <v>1112</v>
      </c>
      <c r="B76" s="25" t="s">
        <v>265</v>
      </c>
      <c r="C76" s="25" t="s">
        <v>266</v>
      </c>
      <c r="D76" s="25" t="s">
        <v>267</v>
      </c>
      <c r="E76" s="26" t="s">
        <v>45</v>
      </c>
      <c r="F76" s="27" t="s">
        <v>45</v>
      </c>
      <c r="G76" s="28" t="s">
        <v>45</v>
      </c>
      <c r="H76" s="29"/>
      <c r="I76" s="29" t="s">
        <v>46</v>
      </c>
      <c r="J76" s="30">
        <v>10</v>
      </c>
      <c r="K76" s="31">
        <f>7627</f>
        <v>7627</v>
      </c>
      <c r="L76" s="32" t="s">
        <v>794</v>
      </c>
      <c r="M76" s="31">
        <f>7663</f>
        <v>7663</v>
      </c>
      <c r="N76" s="32" t="s">
        <v>789</v>
      </c>
      <c r="O76" s="31">
        <f>7627</f>
        <v>7627</v>
      </c>
      <c r="P76" s="32" t="s">
        <v>794</v>
      </c>
      <c r="Q76" s="31">
        <f>7662</f>
        <v>7662</v>
      </c>
      <c r="R76" s="32" t="s">
        <v>791</v>
      </c>
      <c r="S76" s="33">
        <f>7650.67</f>
        <v>7650.67</v>
      </c>
      <c r="T76" s="30">
        <f>350</f>
        <v>350</v>
      </c>
      <c r="U76" s="30" t="str">
        <f>"－"</f>
        <v>－</v>
      </c>
      <c r="V76" s="30">
        <f>2678440</f>
        <v>2678440</v>
      </c>
      <c r="W76" s="30" t="str">
        <f>"－"</f>
        <v>－</v>
      </c>
      <c r="X76" s="34">
        <f>3</f>
        <v>3</v>
      </c>
    </row>
    <row r="77" spans="1:24" ht="13.5" customHeight="1" x14ac:dyDescent="0.15">
      <c r="A77" s="25" t="s">
        <v>1112</v>
      </c>
      <c r="B77" s="25" t="s">
        <v>268</v>
      </c>
      <c r="C77" s="25" t="s">
        <v>269</v>
      </c>
      <c r="D77" s="25" t="s">
        <v>270</v>
      </c>
      <c r="E77" s="26" t="s">
        <v>45</v>
      </c>
      <c r="F77" s="27" t="s">
        <v>45</v>
      </c>
      <c r="G77" s="28" t="s">
        <v>45</v>
      </c>
      <c r="H77" s="29"/>
      <c r="I77" s="29" t="s">
        <v>46</v>
      </c>
      <c r="J77" s="30">
        <v>1</v>
      </c>
      <c r="K77" s="31">
        <f>17300</f>
        <v>17300</v>
      </c>
      <c r="L77" s="32" t="s">
        <v>996</v>
      </c>
      <c r="M77" s="31">
        <f>17400</f>
        <v>17400</v>
      </c>
      <c r="N77" s="32" t="s">
        <v>794</v>
      </c>
      <c r="O77" s="31">
        <f>16400</f>
        <v>16400</v>
      </c>
      <c r="P77" s="32" t="s">
        <v>996</v>
      </c>
      <c r="Q77" s="31">
        <f>17265</f>
        <v>17265</v>
      </c>
      <c r="R77" s="32" t="s">
        <v>791</v>
      </c>
      <c r="S77" s="33">
        <f>17157.75</f>
        <v>17157.75</v>
      </c>
      <c r="T77" s="30">
        <f>4681</f>
        <v>4681</v>
      </c>
      <c r="U77" s="30">
        <f>4000</f>
        <v>4000</v>
      </c>
      <c r="V77" s="30">
        <f>78872062</f>
        <v>78872062</v>
      </c>
      <c r="W77" s="30">
        <f>67208557</f>
        <v>67208557</v>
      </c>
      <c r="X77" s="34">
        <f>20</f>
        <v>20</v>
      </c>
    </row>
    <row r="78" spans="1:24" ht="13.5" customHeight="1" x14ac:dyDescent="0.15">
      <c r="A78" s="25" t="s">
        <v>1112</v>
      </c>
      <c r="B78" s="25" t="s">
        <v>271</v>
      </c>
      <c r="C78" s="25" t="s">
        <v>272</v>
      </c>
      <c r="D78" s="25" t="s">
        <v>273</v>
      </c>
      <c r="E78" s="26" t="s">
        <v>45</v>
      </c>
      <c r="F78" s="27" t="s">
        <v>45</v>
      </c>
      <c r="G78" s="28" t="s">
        <v>45</v>
      </c>
      <c r="H78" s="29"/>
      <c r="I78" s="29" t="s">
        <v>46</v>
      </c>
      <c r="J78" s="30">
        <v>1</v>
      </c>
      <c r="K78" s="31">
        <f>17120</f>
        <v>17120</v>
      </c>
      <c r="L78" s="32" t="s">
        <v>996</v>
      </c>
      <c r="M78" s="31">
        <f>17125</f>
        <v>17125</v>
      </c>
      <c r="N78" s="32" t="s">
        <v>996</v>
      </c>
      <c r="O78" s="31">
        <f>16330</f>
        <v>16330</v>
      </c>
      <c r="P78" s="32" t="s">
        <v>56</v>
      </c>
      <c r="Q78" s="31">
        <f>16870</f>
        <v>16870</v>
      </c>
      <c r="R78" s="32" t="s">
        <v>791</v>
      </c>
      <c r="S78" s="33">
        <f>16655.25</f>
        <v>16655.25</v>
      </c>
      <c r="T78" s="30">
        <f>3416</f>
        <v>3416</v>
      </c>
      <c r="U78" s="30" t="str">
        <f>"－"</f>
        <v>－</v>
      </c>
      <c r="V78" s="30">
        <f>56856675</f>
        <v>56856675</v>
      </c>
      <c r="W78" s="30" t="str">
        <f>"－"</f>
        <v>－</v>
      </c>
      <c r="X78" s="34">
        <f>20</f>
        <v>20</v>
      </c>
    </row>
    <row r="79" spans="1:24" ht="13.5" customHeight="1" x14ac:dyDescent="0.15">
      <c r="A79" s="25" t="s">
        <v>1112</v>
      </c>
      <c r="B79" s="25" t="s">
        <v>274</v>
      </c>
      <c r="C79" s="25" t="s">
        <v>275</v>
      </c>
      <c r="D79" s="25" t="s">
        <v>276</v>
      </c>
      <c r="E79" s="26" t="s">
        <v>45</v>
      </c>
      <c r="F79" s="27" t="s">
        <v>45</v>
      </c>
      <c r="G79" s="28" t="s">
        <v>45</v>
      </c>
      <c r="H79" s="29"/>
      <c r="I79" s="29" t="s">
        <v>46</v>
      </c>
      <c r="J79" s="30">
        <v>1</v>
      </c>
      <c r="K79" s="31">
        <f>24640</f>
        <v>24640</v>
      </c>
      <c r="L79" s="32" t="s">
        <v>996</v>
      </c>
      <c r="M79" s="31">
        <f>25760</f>
        <v>25760</v>
      </c>
      <c r="N79" s="32" t="s">
        <v>791</v>
      </c>
      <c r="O79" s="31">
        <f>24080</f>
        <v>24080</v>
      </c>
      <c r="P79" s="32" t="s">
        <v>1005</v>
      </c>
      <c r="Q79" s="31">
        <f>25570</f>
        <v>25570</v>
      </c>
      <c r="R79" s="32" t="s">
        <v>791</v>
      </c>
      <c r="S79" s="33">
        <f>24706</f>
        <v>24706</v>
      </c>
      <c r="T79" s="30">
        <f>24811</f>
        <v>24811</v>
      </c>
      <c r="U79" s="30">
        <f>1000</f>
        <v>1000</v>
      </c>
      <c r="V79" s="30">
        <f>612288305</f>
        <v>612288305</v>
      </c>
      <c r="W79" s="30">
        <f>24703800</f>
        <v>24703800</v>
      </c>
      <c r="X79" s="34">
        <f>20</f>
        <v>20</v>
      </c>
    </row>
    <row r="80" spans="1:24" ht="13.5" customHeight="1" x14ac:dyDescent="0.15">
      <c r="A80" s="25" t="s">
        <v>1112</v>
      </c>
      <c r="B80" s="25" t="s">
        <v>277</v>
      </c>
      <c r="C80" s="25" t="s">
        <v>278</v>
      </c>
      <c r="D80" s="25" t="s">
        <v>279</v>
      </c>
      <c r="E80" s="26" t="s">
        <v>45</v>
      </c>
      <c r="F80" s="27" t="s">
        <v>45</v>
      </c>
      <c r="G80" s="28" t="s">
        <v>45</v>
      </c>
      <c r="H80" s="29"/>
      <c r="I80" s="29" t="s">
        <v>46</v>
      </c>
      <c r="J80" s="30">
        <v>10</v>
      </c>
      <c r="K80" s="31">
        <f>10865</f>
        <v>10865</v>
      </c>
      <c r="L80" s="32" t="s">
        <v>996</v>
      </c>
      <c r="M80" s="31">
        <f>10965</f>
        <v>10965</v>
      </c>
      <c r="N80" s="32" t="s">
        <v>785</v>
      </c>
      <c r="O80" s="31">
        <f>10350</f>
        <v>10350</v>
      </c>
      <c r="P80" s="32" t="s">
        <v>789</v>
      </c>
      <c r="Q80" s="31">
        <f>10555</f>
        <v>10555</v>
      </c>
      <c r="R80" s="32" t="s">
        <v>791</v>
      </c>
      <c r="S80" s="33">
        <f>10610.75</f>
        <v>10610.75</v>
      </c>
      <c r="T80" s="30">
        <f>18280</f>
        <v>18280</v>
      </c>
      <c r="U80" s="30">
        <f>60</f>
        <v>60</v>
      </c>
      <c r="V80" s="30">
        <f>193804550</f>
        <v>193804550</v>
      </c>
      <c r="W80" s="30">
        <f>632950</f>
        <v>632950</v>
      </c>
      <c r="X80" s="34">
        <f>20</f>
        <v>20</v>
      </c>
    </row>
    <row r="81" spans="1:24" ht="13.5" customHeight="1" x14ac:dyDescent="0.15">
      <c r="A81" s="25" t="s">
        <v>1112</v>
      </c>
      <c r="B81" s="25" t="s">
        <v>280</v>
      </c>
      <c r="C81" s="25" t="s">
        <v>281</v>
      </c>
      <c r="D81" s="25" t="s">
        <v>282</v>
      </c>
      <c r="E81" s="26" t="s">
        <v>45</v>
      </c>
      <c r="F81" s="27" t="s">
        <v>45</v>
      </c>
      <c r="G81" s="28" t="s">
        <v>45</v>
      </c>
      <c r="H81" s="29"/>
      <c r="I81" s="29" t="s">
        <v>46</v>
      </c>
      <c r="J81" s="30">
        <v>1</v>
      </c>
      <c r="K81" s="31">
        <f>1960</f>
        <v>1960</v>
      </c>
      <c r="L81" s="32" t="s">
        <v>996</v>
      </c>
      <c r="M81" s="31">
        <f>1964</f>
        <v>1964</v>
      </c>
      <c r="N81" s="32" t="s">
        <v>785</v>
      </c>
      <c r="O81" s="31">
        <f>1897</f>
        <v>1897</v>
      </c>
      <c r="P81" s="32" t="s">
        <v>875</v>
      </c>
      <c r="Q81" s="31">
        <f>1928</f>
        <v>1928</v>
      </c>
      <c r="R81" s="32" t="s">
        <v>791</v>
      </c>
      <c r="S81" s="33">
        <f>1936.8</f>
        <v>1936.8</v>
      </c>
      <c r="T81" s="30">
        <f>1344428</f>
        <v>1344428</v>
      </c>
      <c r="U81" s="30">
        <f>826500</f>
        <v>826500</v>
      </c>
      <c r="V81" s="30">
        <f>2607891041</f>
        <v>2607891041</v>
      </c>
      <c r="W81" s="30">
        <f>1606030193</f>
        <v>1606030193</v>
      </c>
      <c r="X81" s="34">
        <f>20</f>
        <v>20</v>
      </c>
    </row>
    <row r="82" spans="1:24" ht="13.5" customHeight="1" x14ac:dyDescent="0.15">
      <c r="A82" s="25" t="s">
        <v>1112</v>
      </c>
      <c r="B82" s="25" t="s">
        <v>283</v>
      </c>
      <c r="C82" s="25" t="s">
        <v>284</v>
      </c>
      <c r="D82" s="25" t="s">
        <v>285</v>
      </c>
      <c r="E82" s="26" t="s">
        <v>45</v>
      </c>
      <c r="F82" s="27" t="s">
        <v>45</v>
      </c>
      <c r="G82" s="28" t="s">
        <v>45</v>
      </c>
      <c r="H82" s="29"/>
      <c r="I82" s="29" t="s">
        <v>46</v>
      </c>
      <c r="J82" s="30">
        <v>1</v>
      </c>
      <c r="K82" s="31">
        <f>1915</f>
        <v>1915</v>
      </c>
      <c r="L82" s="32" t="s">
        <v>996</v>
      </c>
      <c r="M82" s="31">
        <f>1924</f>
        <v>1924</v>
      </c>
      <c r="N82" s="32" t="s">
        <v>784</v>
      </c>
      <c r="O82" s="31">
        <f>1868</f>
        <v>1868</v>
      </c>
      <c r="P82" s="32" t="s">
        <v>875</v>
      </c>
      <c r="Q82" s="31">
        <f>1893</f>
        <v>1893</v>
      </c>
      <c r="R82" s="32" t="s">
        <v>791</v>
      </c>
      <c r="S82" s="33">
        <f>1902.3</f>
        <v>1902.3</v>
      </c>
      <c r="T82" s="30">
        <f>1004878</f>
        <v>1004878</v>
      </c>
      <c r="U82" s="30">
        <f>40730</f>
        <v>40730</v>
      </c>
      <c r="V82" s="30">
        <f>1905704070</f>
        <v>1905704070</v>
      </c>
      <c r="W82" s="30">
        <f>77408641</f>
        <v>77408641</v>
      </c>
      <c r="X82" s="34">
        <f>20</f>
        <v>20</v>
      </c>
    </row>
    <row r="83" spans="1:24" ht="13.5" customHeight="1" x14ac:dyDescent="0.15">
      <c r="A83" s="25" t="s">
        <v>1112</v>
      </c>
      <c r="B83" s="25" t="s">
        <v>286</v>
      </c>
      <c r="C83" s="25" t="s">
        <v>287</v>
      </c>
      <c r="D83" s="25" t="s">
        <v>288</v>
      </c>
      <c r="E83" s="26" t="s">
        <v>45</v>
      </c>
      <c r="F83" s="27" t="s">
        <v>45</v>
      </c>
      <c r="G83" s="28" t="s">
        <v>45</v>
      </c>
      <c r="H83" s="29"/>
      <c r="I83" s="29" t="s">
        <v>46</v>
      </c>
      <c r="J83" s="30">
        <v>1</v>
      </c>
      <c r="K83" s="31">
        <f>18100</f>
        <v>18100</v>
      </c>
      <c r="L83" s="32" t="s">
        <v>996</v>
      </c>
      <c r="M83" s="31">
        <f>18200</f>
        <v>18200</v>
      </c>
      <c r="N83" s="32" t="s">
        <v>996</v>
      </c>
      <c r="O83" s="31">
        <f>17110</f>
        <v>17110</v>
      </c>
      <c r="P83" s="32" t="s">
        <v>787</v>
      </c>
      <c r="Q83" s="31">
        <f>17990</f>
        <v>17990</v>
      </c>
      <c r="R83" s="32" t="s">
        <v>791</v>
      </c>
      <c r="S83" s="33">
        <f>17623.5</f>
        <v>17623.5</v>
      </c>
      <c r="T83" s="30">
        <f>7975</f>
        <v>7975</v>
      </c>
      <c r="U83" s="30" t="str">
        <f>"－"</f>
        <v>－</v>
      </c>
      <c r="V83" s="30">
        <f>142488345</f>
        <v>142488345</v>
      </c>
      <c r="W83" s="30" t="str">
        <f>"－"</f>
        <v>－</v>
      </c>
      <c r="X83" s="34">
        <f>20</f>
        <v>20</v>
      </c>
    </row>
    <row r="84" spans="1:24" ht="13.5" customHeight="1" x14ac:dyDescent="0.15">
      <c r="A84" s="25" t="s">
        <v>1112</v>
      </c>
      <c r="B84" s="25" t="s">
        <v>289</v>
      </c>
      <c r="C84" s="25" t="s">
        <v>290</v>
      </c>
      <c r="D84" s="25" t="s">
        <v>291</v>
      </c>
      <c r="E84" s="26" t="s">
        <v>45</v>
      </c>
      <c r="F84" s="27" t="s">
        <v>45</v>
      </c>
      <c r="G84" s="28" t="s">
        <v>45</v>
      </c>
      <c r="H84" s="29"/>
      <c r="I84" s="29" t="s">
        <v>46</v>
      </c>
      <c r="J84" s="30">
        <v>1</v>
      </c>
      <c r="K84" s="31">
        <f>9010</f>
        <v>9010</v>
      </c>
      <c r="L84" s="32" t="s">
        <v>996</v>
      </c>
      <c r="M84" s="31">
        <f>9290</f>
        <v>9290</v>
      </c>
      <c r="N84" s="32" t="s">
        <v>998</v>
      </c>
      <c r="O84" s="31">
        <f>8883</f>
        <v>8883</v>
      </c>
      <c r="P84" s="32" t="s">
        <v>790</v>
      </c>
      <c r="Q84" s="31">
        <f>9033</f>
        <v>9033</v>
      </c>
      <c r="R84" s="32" t="s">
        <v>791</v>
      </c>
      <c r="S84" s="33">
        <f>9013.9</f>
        <v>9013.9</v>
      </c>
      <c r="T84" s="30">
        <f>1891</f>
        <v>1891</v>
      </c>
      <c r="U84" s="30">
        <f>2</f>
        <v>2</v>
      </c>
      <c r="V84" s="30">
        <f>17079431</f>
        <v>17079431</v>
      </c>
      <c r="W84" s="30">
        <f>18039</f>
        <v>18039</v>
      </c>
      <c r="X84" s="34">
        <f>20</f>
        <v>20</v>
      </c>
    </row>
    <row r="85" spans="1:24" ht="13.5" customHeight="1" x14ac:dyDescent="0.15">
      <c r="A85" s="25" t="s">
        <v>1112</v>
      </c>
      <c r="B85" s="25" t="s">
        <v>292</v>
      </c>
      <c r="C85" s="25" t="s">
        <v>293</v>
      </c>
      <c r="D85" s="25" t="s">
        <v>294</v>
      </c>
      <c r="E85" s="26" t="s">
        <v>45</v>
      </c>
      <c r="F85" s="27" t="s">
        <v>45</v>
      </c>
      <c r="G85" s="28" t="s">
        <v>45</v>
      </c>
      <c r="H85" s="29"/>
      <c r="I85" s="29" t="s">
        <v>46</v>
      </c>
      <c r="J85" s="30">
        <v>1</v>
      </c>
      <c r="K85" s="31">
        <f>8433</f>
        <v>8433</v>
      </c>
      <c r="L85" s="32" t="s">
        <v>996</v>
      </c>
      <c r="M85" s="31">
        <f>8505</f>
        <v>8505</v>
      </c>
      <c r="N85" s="32" t="s">
        <v>784</v>
      </c>
      <c r="O85" s="31">
        <f>8235</f>
        <v>8235</v>
      </c>
      <c r="P85" s="32" t="s">
        <v>997</v>
      </c>
      <c r="Q85" s="31">
        <f>8436</f>
        <v>8436</v>
      </c>
      <c r="R85" s="32" t="s">
        <v>791</v>
      </c>
      <c r="S85" s="33">
        <f>8389.15</f>
        <v>8389.15</v>
      </c>
      <c r="T85" s="30">
        <f>1972460</f>
        <v>1972460</v>
      </c>
      <c r="U85" s="30">
        <f>37615</f>
        <v>37615</v>
      </c>
      <c r="V85" s="30">
        <f>16508042594</f>
        <v>16508042594</v>
      </c>
      <c r="W85" s="30">
        <f>316918058</f>
        <v>316918058</v>
      </c>
      <c r="X85" s="34">
        <f>20</f>
        <v>20</v>
      </c>
    </row>
    <row r="86" spans="1:24" ht="13.5" customHeight="1" x14ac:dyDescent="0.15">
      <c r="A86" s="25" t="s">
        <v>1112</v>
      </c>
      <c r="B86" s="25" t="s">
        <v>295</v>
      </c>
      <c r="C86" s="25" t="s">
        <v>296</v>
      </c>
      <c r="D86" s="25" t="s">
        <v>297</v>
      </c>
      <c r="E86" s="26" t="s">
        <v>45</v>
      </c>
      <c r="F86" s="27" t="s">
        <v>45</v>
      </c>
      <c r="G86" s="28" t="s">
        <v>45</v>
      </c>
      <c r="H86" s="29"/>
      <c r="I86" s="29" t="s">
        <v>46</v>
      </c>
      <c r="J86" s="30">
        <v>1</v>
      </c>
      <c r="K86" s="31">
        <f>3950</f>
        <v>3950</v>
      </c>
      <c r="L86" s="32" t="s">
        <v>996</v>
      </c>
      <c r="M86" s="31">
        <f>4095</f>
        <v>4095</v>
      </c>
      <c r="N86" s="32" t="s">
        <v>790</v>
      </c>
      <c r="O86" s="31">
        <f>3900</f>
        <v>3900</v>
      </c>
      <c r="P86" s="32" t="s">
        <v>997</v>
      </c>
      <c r="Q86" s="31">
        <f>3945</f>
        <v>3945</v>
      </c>
      <c r="R86" s="32" t="s">
        <v>791</v>
      </c>
      <c r="S86" s="33">
        <f>3999.25</f>
        <v>3999.25</v>
      </c>
      <c r="T86" s="30">
        <f>517888</f>
        <v>517888</v>
      </c>
      <c r="U86" s="30" t="str">
        <f>"－"</f>
        <v>－</v>
      </c>
      <c r="V86" s="30">
        <f>2060795545</f>
        <v>2060795545</v>
      </c>
      <c r="W86" s="30" t="str">
        <f>"－"</f>
        <v>－</v>
      </c>
      <c r="X86" s="34">
        <f>20</f>
        <v>20</v>
      </c>
    </row>
    <row r="87" spans="1:24" ht="13.5" customHeight="1" x14ac:dyDescent="0.15">
      <c r="A87" s="25" t="s">
        <v>1112</v>
      </c>
      <c r="B87" s="25" t="s">
        <v>298</v>
      </c>
      <c r="C87" s="25" t="s">
        <v>299</v>
      </c>
      <c r="D87" s="25" t="s">
        <v>300</v>
      </c>
      <c r="E87" s="26" t="s">
        <v>45</v>
      </c>
      <c r="F87" s="27" t="s">
        <v>45</v>
      </c>
      <c r="G87" s="28" t="s">
        <v>45</v>
      </c>
      <c r="H87" s="29"/>
      <c r="I87" s="29" t="s">
        <v>46</v>
      </c>
      <c r="J87" s="30">
        <v>1</v>
      </c>
      <c r="K87" s="31">
        <f>9562</f>
        <v>9562</v>
      </c>
      <c r="L87" s="32" t="s">
        <v>996</v>
      </c>
      <c r="M87" s="31">
        <f>10150</f>
        <v>10150</v>
      </c>
      <c r="N87" s="32" t="s">
        <v>80</v>
      </c>
      <c r="O87" s="31">
        <f>9412</f>
        <v>9412</v>
      </c>
      <c r="P87" s="32" t="s">
        <v>787</v>
      </c>
      <c r="Q87" s="31">
        <f>9850</f>
        <v>9850</v>
      </c>
      <c r="R87" s="32" t="s">
        <v>791</v>
      </c>
      <c r="S87" s="33">
        <f>9776.4</f>
        <v>9776.4</v>
      </c>
      <c r="T87" s="30">
        <f>117988</f>
        <v>117988</v>
      </c>
      <c r="U87" s="30" t="str">
        <f>"－"</f>
        <v>－</v>
      </c>
      <c r="V87" s="30">
        <f>1155022259</f>
        <v>1155022259</v>
      </c>
      <c r="W87" s="30" t="str">
        <f>"－"</f>
        <v>－</v>
      </c>
      <c r="X87" s="34">
        <f>20</f>
        <v>20</v>
      </c>
    </row>
    <row r="88" spans="1:24" ht="13.5" customHeight="1" x14ac:dyDescent="0.15">
      <c r="A88" s="25" t="s">
        <v>1112</v>
      </c>
      <c r="B88" s="25" t="s">
        <v>301</v>
      </c>
      <c r="C88" s="25" t="s">
        <v>302</v>
      </c>
      <c r="D88" s="25" t="s">
        <v>303</v>
      </c>
      <c r="E88" s="26" t="s">
        <v>45</v>
      </c>
      <c r="F88" s="27" t="s">
        <v>45</v>
      </c>
      <c r="G88" s="28" t="s">
        <v>45</v>
      </c>
      <c r="H88" s="29"/>
      <c r="I88" s="29" t="s">
        <v>46</v>
      </c>
      <c r="J88" s="30">
        <v>1</v>
      </c>
      <c r="K88" s="31">
        <f>53450</f>
        <v>53450</v>
      </c>
      <c r="L88" s="32" t="s">
        <v>996</v>
      </c>
      <c r="M88" s="31">
        <f>54340</f>
        <v>54340</v>
      </c>
      <c r="N88" s="32" t="s">
        <v>784</v>
      </c>
      <c r="O88" s="31">
        <f>51210</f>
        <v>51210</v>
      </c>
      <c r="P88" s="32" t="s">
        <v>997</v>
      </c>
      <c r="Q88" s="31">
        <f>51900</f>
        <v>51900</v>
      </c>
      <c r="R88" s="32" t="s">
        <v>791</v>
      </c>
      <c r="S88" s="33">
        <f>53025.5</f>
        <v>53025.5</v>
      </c>
      <c r="T88" s="30">
        <f>6367</f>
        <v>6367</v>
      </c>
      <c r="U88" s="30">
        <f>15</f>
        <v>15</v>
      </c>
      <c r="V88" s="30">
        <f>336338840</f>
        <v>336338840</v>
      </c>
      <c r="W88" s="30">
        <f>752410</f>
        <v>752410</v>
      </c>
      <c r="X88" s="34">
        <f>20</f>
        <v>20</v>
      </c>
    </row>
    <row r="89" spans="1:24" ht="13.5" customHeight="1" x14ac:dyDescent="0.15">
      <c r="A89" s="25" t="s">
        <v>1112</v>
      </c>
      <c r="B89" s="25" t="s">
        <v>304</v>
      </c>
      <c r="C89" s="25" t="s">
        <v>895</v>
      </c>
      <c r="D89" s="25" t="s">
        <v>896</v>
      </c>
      <c r="E89" s="26" t="s">
        <v>45</v>
      </c>
      <c r="F89" s="27" t="s">
        <v>45</v>
      </c>
      <c r="G89" s="28" t="s">
        <v>45</v>
      </c>
      <c r="H89" s="29"/>
      <c r="I89" s="29" t="s">
        <v>46</v>
      </c>
      <c r="J89" s="30">
        <v>1</v>
      </c>
      <c r="K89" s="31">
        <f>22300</f>
        <v>22300</v>
      </c>
      <c r="L89" s="32" t="s">
        <v>996</v>
      </c>
      <c r="M89" s="31">
        <f>22680</f>
        <v>22680</v>
      </c>
      <c r="N89" s="32" t="s">
        <v>791</v>
      </c>
      <c r="O89" s="31">
        <f>21420</f>
        <v>21420</v>
      </c>
      <c r="P89" s="32" t="s">
        <v>787</v>
      </c>
      <c r="Q89" s="31">
        <f>22655</f>
        <v>22655</v>
      </c>
      <c r="R89" s="32" t="s">
        <v>791</v>
      </c>
      <c r="S89" s="33">
        <f>22097</f>
        <v>22097</v>
      </c>
      <c r="T89" s="30">
        <f>1326258</f>
        <v>1326258</v>
      </c>
      <c r="U89" s="30">
        <f>27858</f>
        <v>27858</v>
      </c>
      <c r="V89" s="30">
        <f>29308616272</f>
        <v>29308616272</v>
      </c>
      <c r="W89" s="30">
        <f>616440437</f>
        <v>616440437</v>
      </c>
      <c r="X89" s="34">
        <f>20</f>
        <v>20</v>
      </c>
    </row>
    <row r="90" spans="1:24" ht="13.5" customHeight="1" x14ac:dyDescent="0.15">
      <c r="A90" s="25" t="s">
        <v>1112</v>
      </c>
      <c r="B90" s="25" t="s">
        <v>305</v>
      </c>
      <c r="C90" s="25" t="s">
        <v>897</v>
      </c>
      <c r="D90" s="25" t="s">
        <v>898</v>
      </c>
      <c r="E90" s="26" t="s">
        <v>45</v>
      </c>
      <c r="F90" s="27" t="s">
        <v>45</v>
      </c>
      <c r="G90" s="28" t="s">
        <v>45</v>
      </c>
      <c r="H90" s="29"/>
      <c r="I90" s="29" t="s">
        <v>46</v>
      </c>
      <c r="J90" s="30">
        <v>1</v>
      </c>
      <c r="K90" s="31">
        <f>48840</f>
        <v>48840</v>
      </c>
      <c r="L90" s="32" t="s">
        <v>996</v>
      </c>
      <c r="M90" s="31">
        <f>49460</f>
        <v>49460</v>
      </c>
      <c r="N90" s="32" t="s">
        <v>791</v>
      </c>
      <c r="O90" s="31">
        <f>46340</f>
        <v>46340</v>
      </c>
      <c r="P90" s="32" t="s">
        <v>1005</v>
      </c>
      <c r="Q90" s="31">
        <f>49410</f>
        <v>49410</v>
      </c>
      <c r="R90" s="32" t="s">
        <v>791</v>
      </c>
      <c r="S90" s="33">
        <f>48206.5</f>
        <v>48206.5</v>
      </c>
      <c r="T90" s="30">
        <f>120616</f>
        <v>120616</v>
      </c>
      <c r="U90" s="30">
        <f>7082</f>
        <v>7082</v>
      </c>
      <c r="V90" s="30">
        <f>5797449188</f>
        <v>5797449188</v>
      </c>
      <c r="W90" s="30">
        <f>335211138</f>
        <v>335211138</v>
      </c>
      <c r="X90" s="34">
        <f>20</f>
        <v>20</v>
      </c>
    </row>
    <row r="91" spans="1:24" ht="13.5" customHeight="1" x14ac:dyDescent="0.15">
      <c r="A91" s="25" t="s">
        <v>1112</v>
      </c>
      <c r="B91" s="25" t="s">
        <v>306</v>
      </c>
      <c r="C91" s="25" t="s">
        <v>307</v>
      </c>
      <c r="D91" s="25" t="s">
        <v>308</v>
      </c>
      <c r="E91" s="26" t="s">
        <v>45</v>
      </c>
      <c r="F91" s="27" t="s">
        <v>45</v>
      </c>
      <c r="G91" s="28" t="s">
        <v>45</v>
      </c>
      <c r="H91" s="29"/>
      <c r="I91" s="29" t="s">
        <v>46</v>
      </c>
      <c r="J91" s="30">
        <v>10</v>
      </c>
      <c r="K91" s="31">
        <f>7005</f>
        <v>7005</v>
      </c>
      <c r="L91" s="32" t="s">
        <v>996</v>
      </c>
      <c r="M91" s="31">
        <f>7085</f>
        <v>7085</v>
      </c>
      <c r="N91" s="32" t="s">
        <v>791</v>
      </c>
      <c r="O91" s="31">
        <f>6745</f>
        <v>6745</v>
      </c>
      <c r="P91" s="32" t="s">
        <v>787</v>
      </c>
      <c r="Q91" s="31">
        <f>7081</f>
        <v>7081</v>
      </c>
      <c r="R91" s="32" t="s">
        <v>791</v>
      </c>
      <c r="S91" s="33">
        <f>6926.75</f>
        <v>6926.75</v>
      </c>
      <c r="T91" s="30">
        <f>1009230</f>
        <v>1009230</v>
      </c>
      <c r="U91" s="30">
        <f>36320</f>
        <v>36320</v>
      </c>
      <c r="V91" s="30">
        <f>7006465470</f>
        <v>7006465470</v>
      </c>
      <c r="W91" s="30">
        <f>250908700</f>
        <v>250908700</v>
      </c>
      <c r="X91" s="34">
        <f>20</f>
        <v>20</v>
      </c>
    </row>
    <row r="92" spans="1:24" ht="13.5" customHeight="1" x14ac:dyDescent="0.15">
      <c r="A92" s="25" t="s">
        <v>1112</v>
      </c>
      <c r="B92" s="25" t="s">
        <v>309</v>
      </c>
      <c r="C92" s="25" t="s">
        <v>310</v>
      </c>
      <c r="D92" s="25" t="s">
        <v>311</v>
      </c>
      <c r="E92" s="26" t="s">
        <v>45</v>
      </c>
      <c r="F92" s="27" t="s">
        <v>45</v>
      </c>
      <c r="G92" s="28" t="s">
        <v>45</v>
      </c>
      <c r="H92" s="29"/>
      <c r="I92" s="29" t="s">
        <v>46</v>
      </c>
      <c r="J92" s="30">
        <v>10</v>
      </c>
      <c r="K92" s="31">
        <f>4417</f>
        <v>4417</v>
      </c>
      <c r="L92" s="32" t="s">
        <v>996</v>
      </c>
      <c r="M92" s="31">
        <f>4475</f>
        <v>4475</v>
      </c>
      <c r="N92" s="32" t="s">
        <v>791</v>
      </c>
      <c r="O92" s="31">
        <f>4260</f>
        <v>4260</v>
      </c>
      <c r="P92" s="32" t="s">
        <v>56</v>
      </c>
      <c r="Q92" s="31">
        <f>4470</f>
        <v>4470</v>
      </c>
      <c r="R92" s="32" t="s">
        <v>791</v>
      </c>
      <c r="S92" s="33">
        <f>4374.95</f>
        <v>4374.95</v>
      </c>
      <c r="T92" s="30">
        <f>110070</f>
        <v>110070</v>
      </c>
      <c r="U92" s="30" t="str">
        <f>"－"</f>
        <v>－</v>
      </c>
      <c r="V92" s="30">
        <f>482231220</f>
        <v>482231220</v>
      </c>
      <c r="W92" s="30" t="str">
        <f>"－"</f>
        <v>－</v>
      </c>
      <c r="X92" s="34">
        <f>20</f>
        <v>20</v>
      </c>
    </row>
    <row r="93" spans="1:24" ht="13.5" customHeight="1" x14ac:dyDescent="0.15">
      <c r="A93" s="25" t="s">
        <v>1112</v>
      </c>
      <c r="B93" s="25" t="s">
        <v>312</v>
      </c>
      <c r="C93" s="25" t="s">
        <v>970</v>
      </c>
      <c r="D93" s="25" t="s">
        <v>971</v>
      </c>
      <c r="E93" s="26" t="s">
        <v>45</v>
      </c>
      <c r="F93" s="27" t="s">
        <v>45</v>
      </c>
      <c r="G93" s="28" t="s">
        <v>45</v>
      </c>
      <c r="H93" s="29"/>
      <c r="I93" s="29" t="s">
        <v>46</v>
      </c>
      <c r="J93" s="30">
        <v>10</v>
      </c>
      <c r="K93" s="31">
        <f>4480</f>
        <v>4480</v>
      </c>
      <c r="L93" s="32" t="s">
        <v>996</v>
      </c>
      <c r="M93" s="31">
        <f>4595</f>
        <v>4595</v>
      </c>
      <c r="N93" s="32" t="s">
        <v>78</v>
      </c>
      <c r="O93" s="31">
        <f>4345</f>
        <v>4345</v>
      </c>
      <c r="P93" s="32" t="s">
        <v>1003</v>
      </c>
      <c r="Q93" s="31">
        <f>4488</f>
        <v>4488</v>
      </c>
      <c r="R93" s="32" t="s">
        <v>791</v>
      </c>
      <c r="S93" s="33">
        <f>4486.82</f>
        <v>4486.82</v>
      </c>
      <c r="T93" s="30">
        <f>2450</f>
        <v>2450</v>
      </c>
      <c r="U93" s="30" t="str">
        <f>"－"</f>
        <v>－</v>
      </c>
      <c r="V93" s="30">
        <f>11050920</f>
        <v>11050920</v>
      </c>
      <c r="W93" s="30" t="str">
        <f>"－"</f>
        <v>－</v>
      </c>
      <c r="X93" s="34">
        <f>17</f>
        <v>17</v>
      </c>
    </row>
    <row r="94" spans="1:24" ht="13.5" customHeight="1" x14ac:dyDescent="0.15">
      <c r="A94" s="25" t="s">
        <v>1112</v>
      </c>
      <c r="B94" s="25" t="s">
        <v>313</v>
      </c>
      <c r="C94" s="25" t="s">
        <v>314</v>
      </c>
      <c r="D94" s="25" t="s">
        <v>315</v>
      </c>
      <c r="E94" s="26" t="s">
        <v>45</v>
      </c>
      <c r="F94" s="27" t="s">
        <v>45</v>
      </c>
      <c r="G94" s="28" t="s">
        <v>45</v>
      </c>
      <c r="H94" s="29" t="s">
        <v>316</v>
      </c>
      <c r="I94" s="29" t="s">
        <v>46</v>
      </c>
      <c r="J94" s="30">
        <v>1</v>
      </c>
      <c r="K94" s="31">
        <f>710</f>
        <v>710</v>
      </c>
      <c r="L94" s="32" t="s">
        <v>996</v>
      </c>
      <c r="M94" s="31">
        <f>759</f>
        <v>759</v>
      </c>
      <c r="N94" s="32" t="s">
        <v>1003</v>
      </c>
      <c r="O94" s="31">
        <f>626</f>
        <v>626</v>
      </c>
      <c r="P94" s="32" t="s">
        <v>255</v>
      </c>
      <c r="Q94" s="31">
        <f>639</f>
        <v>639</v>
      </c>
      <c r="R94" s="32" t="s">
        <v>791</v>
      </c>
      <c r="S94" s="33">
        <f>680.6</f>
        <v>680.6</v>
      </c>
      <c r="T94" s="30">
        <f>26998457</f>
        <v>26998457</v>
      </c>
      <c r="U94" s="30">
        <f>552</f>
        <v>552</v>
      </c>
      <c r="V94" s="30">
        <f>18551759666</f>
        <v>18551759666</v>
      </c>
      <c r="W94" s="30">
        <f>368662</f>
        <v>368662</v>
      </c>
      <c r="X94" s="34">
        <f>20</f>
        <v>20</v>
      </c>
    </row>
    <row r="95" spans="1:24" ht="13.5" customHeight="1" x14ac:dyDescent="0.15">
      <c r="A95" s="25" t="s">
        <v>1112</v>
      </c>
      <c r="B95" s="25" t="s">
        <v>317</v>
      </c>
      <c r="C95" s="25" t="s">
        <v>318</v>
      </c>
      <c r="D95" s="25" t="s">
        <v>319</v>
      </c>
      <c r="E95" s="26" t="s">
        <v>45</v>
      </c>
      <c r="F95" s="27" t="s">
        <v>45</v>
      </c>
      <c r="G95" s="28" t="s">
        <v>45</v>
      </c>
      <c r="H95" s="29"/>
      <c r="I95" s="29" t="s">
        <v>46</v>
      </c>
      <c r="J95" s="30">
        <v>10</v>
      </c>
      <c r="K95" s="31">
        <f>3692</f>
        <v>3692</v>
      </c>
      <c r="L95" s="32" t="s">
        <v>996</v>
      </c>
      <c r="M95" s="31">
        <f>3767</f>
        <v>3767</v>
      </c>
      <c r="N95" s="32" t="s">
        <v>791</v>
      </c>
      <c r="O95" s="31">
        <f>3580</f>
        <v>3580</v>
      </c>
      <c r="P95" s="32" t="s">
        <v>794</v>
      </c>
      <c r="Q95" s="31">
        <f>3767</f>
        <v>3767</v>
      </c>
      <c r="R95" s="32" t="s">
        <v>791</v>
      </c>
      <c r="S95" s="33">
        <f>3671.7</f>
        <v>3671.7</v>
      </c>
      <c r="T95" s="30">
        <f>106790</f>
        <v>106790</v>
      </c>
      <c r="U95" s="30" t="str">
        <f>"－"</f>
        <v>－</v>
      </c>
      <c r="V95" s="30">
        <f>391114340</f>
        <v>391114340</v>
      </c>
      <c r="W95" s="30" t="str">
        <f>"－"</f>
        <v>－</v>
      </c>
      <c r="X95" s="34">
        <f>20</f>
        <v>20</v>
      </c>
    </row>
    <row r="96" spans="1:24" ht="13.5" customHeight="1" x14ac:dyDescent="0.15">
      <c r="A96" s="25" t="s">
        <v>1112</v>
      </c>
      <c r="B96" s="25" t="s">
        <v>320</v>
      </c>
      <c r="C96" s="25" t="s">
        <v>1118</v>
      </c>
      <c r="D96" s="25" t="s">
        <v>322</v>
      </c>
      <c r="E96" s="26" t="s">
        <v>45</v>
      </c>
      <c r="F96" s="27" t="s">
        <v>45</v>
      </c>
      <c r="G96" s="28" t="s">
        <v>45</v>
      </c>
      <c r="H96" s="29"/>
      <c r="I96" s="29" t="s">
        <v>46</v>
      </c>
      <c r="J96" s="30">
        <v>10</v>
      </c>
      <c r="K96" s="31">
        <f>1736</f>
        <v>1736</v>
      </c>
      <c r="L96" s="32" t="s">
        <v>996</v>
      </c>
      <c r="M96" s="31">
        <f>1787.5</f>
        <v>1787.5</v>
      </c>
      <c r="N96" s="32" t="s">
        <v>255</v>
      </c>
      <c r="O96" s="31">
        <f>1675</f>
        <v>1675</v>
      </c>
      <c r="P96" s="32" t="s">
        <v>875</v>
      </c>
      <c r="Q96" s="31">
        <f>1758</f>
        <v>1758</v>
      </c>
      <c r="R96" s="32" t="s">
        <v>791</v>
      </c>
      <c r="S96" s="33">
        <f>1735.68</f>
        <v>1735.68</v>
      </c>
      <c r="T96" s="30">
        <f>123330</f>
        <v>123330</v>
      </c>
      <c r="U96" s="30">
        <f>30</f>
        <v>30</v>
      </c>
      <c r="V96" s="30">
        <f>213648970</f>
        <v>213648970</v>
      </c>
      <c r="W96" s="30">
        <f>52270</f>
        <v>52270</v>
      </c>
      <c r="X96" s="34">
        <f>20</f>
        <v>20</v>
      </c>
    </row>
    <row r="97" spans="1:24" ht="13.5" customHeight="1" x14ac:dyDescent="0.15">
      <c r="A97" s="25" t="s">
        <v>1112</v>
      </c>
      <c r="B97" s="25" t="s">
        <v>323</v>
      </c>
      <c r="C97" s="25" t="s">
        <v>324</v>
      </c>
      <c r="D97" s="25" t="s">
        <v>325</v>
      </c>
      <c r="E97" s="26" t="s">
        <v>45</v>
      </c>
      <c r="F97" s="27" t="s">
        <v>45</v>
      </c>
      <c r="G97" s="28" t="s">
        <v>45</v>
      </c>
      <c r="H97" s="29"/>
      <c r="I97" s="29" t="s">
        <v>46</v>
      </c>
      <c r="J97" s="30">
        <v>1</v>
      </c>
      <c r="K97" s="31">
        <f>63990</f>
        <v>63990</v>
      </c>
      <c r="L97" s="32" t="s">
        <v>996</v>
      </c>
      <c r="M97" s="31">
        <f>64770</f>
        <v>64770</v>
      </c>
      <c r="N97" s="32" t="s">
        <v>791</v>
      </c>
      <c r="O97" s="31">
        <f>61640</f>
        <v>61640</v>
      </c>
      <c r="P97" s="32" t="s">
        <v>1005</v>
      </c>
      <c r="Q97" s="31">
        <f>64730</f>
        <v>64730</v>
      </c>
      <c r="R97" s="32" t="s">
        <v>791</v>
      </c>
      <c r="S97" s="33">
        <f>63340.5</f>
        <v>63340.5</v>
      </c>
      <c r="T97" s="30">
        <f>100957</f>
        <v>100957</v>
      </c>
      <c r="U97" s="30" t="str">
        <f>"－"</f>
        <v>－</v>
      </c>
      <c r="V97" s="30">
        <f>6381765170</f>
        <v>6381765170</v>
      </c>
      <c r="W97" s="30" t="str">
        <f>"－"</f>
        <v>－</v>
      </c>
      <c r="X97" s="34">
        <f>20</f>
        <v>20</v>
      </c>
    </row>
    <row r="98" spans="1:24" ht="13.5" customHeight="1" x14ac:dyDescent="0.15">
      <c r="A98" s="25" t="s">
        <v>1112</v>
      </c>
      <c r="B98" s="25" t="s">
        <v>326</v>
      </c>
      <c r="C98" s="25" t="s">
        <v>327</v>
      </c>
      <c r="D98" s="25" t="s">
        <v>328</v>
      </c>
      <c r="E98" s="26" t="s">
        <v>45</v>
      </c>
      <c r="F98" s="27" t="s">
        <v>45</v>
      </c>
      <c r="G98" s="28" t="s">
        <v>45</v>
      </c>
      <c r="H98" s="29"/>
      <c r="I98" s="29" t="s">
        <v>46</v>
      </c>
      <c r="J98" s="30">
        <v>1</v>
      </c>
      <c r="K98" s="31">
        <f>3400</f>
        <v>3400</v>
      </c>
      <c r="L98" s="32" t="s">
        <v>996</v>
      </c>
      <c r="M98" s="31">
        <f>3485</f>
        <v>3485</v>
      </c>
      <c r="N98" s="32" t="s">
        <v>791</v>
      </c>
      <c r="O98" s="31">
        <f>3330</f>
        <v>3330</v>
      </c>
      <c r="P98" s="32" t="s">
        <v>1003</v>
      </c>
      <c r="Q98" s="31">
        <f>3435</f>
        <v>3435</v>
      </c>
      <c r="R98" s="32" t="s">
        <v>791</v>
      </c>
      <c r="S98" s="33">
        <f>3408.25</f>
        <v>3408.25</v>
      </c>
      <c r="T98" s="30">
        <f>9696</f>
        <v>9696</v>
      </c>
      <c r="U98" s="30" t="str">
        <f>"－"</f>
        <v>－</v>
      </c>
      <c r="V98" s="30">
        <f>33119575</f>
        <v>33119575</v>
      </c>
      <c r="W98" s="30" t="str">
        <f>"－"</f>
        <v>－</v>
      </c>
      <c r="X98" s="34">
        <f>20</f>
        <v>20</v>
      </c>
    </row>
    <row r="99" spans="1:24" ht="13.5" customHeight="1" x14ac:dyDescent="0.15">
      <c r="A99" s="25" t="s">
        <v>1112</v>
      </c>
      <c r="B99" s="25" t="s">
        <v>329</v>
      </c>
      <c r="C99" s="25" t="s">
        <v>330</v>
      </c>
      <c r="D99" s="25" t="s">
        <v>331</v>
      </c>
      <c r="E99" s="26" t="s">
        <v>45</v>
      </c>
      <c r="F99" s="27" t="s">
        <v>45</v>
      </c>
      <c r="G99" s="28" t="s">
        <v>45</v>
      </c>
      <c r="H99" s="29"/>
      <c r="I99" s="29" t="s">
        <v>46</v>
      </c>
      <c r="J99" s="30">
        <v>1</v>
      </c>
      <c r="K99" s="31">
        <f>4350</f>
        <v>4350</v>
      </c>
      <c r="L99" s="32" t="s">
        <v>996</v>
      </c>
      <c r="M99" s="31">
        <f>4560</f>
        <v>4560</v>
      </c>
      <c r="N99" s="32" t="s">
        <v>791</v>
      </c>
      <c r="O99" s="31">
        <f>4280</f>
        <v>4280</v>
      </c>
      <c r="P99" s="32" t="s">
        <v>790</v>
      </c>
      <c r="Q99" s="31">
        <f>4550</f>
        <v>4550</v>
      </c>
      <c r="R99" s="32" t="s">
        <v>791</v>
      </c>
      <c r="S99" s="33">
        <f>4388</f>
        <v>4388</v>
      </c>
      <c r="T99" s="30">
        <f>6489</f>
        <v>6489</v>
      </c>
      <c r="U99" s="30" t="str">
        <f>"－"</f>
        <v>－</v>
      </c>
      <c r="V99" s="30">
        <f>28529460</f>
        <v>28529460</v>
      </c>
      <c r="W99" s="30" t="str">
        <f>"－"</f>
        <v>－</v>
      </c>
      <c r="X99" s="34">
        <f>20</f>
        <v>20</v>
      </c>
    </row>
    <row r="100" spans="1:24" ht="13.5" customHeight="1" x14ac:dyDescent="0.15">
      <c r="A100" s="25" t="s">
        <v>1112</v>
      </c>
      <c r="B100" s="25" t="s">
        <v>332</v>
      </c>
      <c r="C100" s="25" t="s">
        <v>972</v>
      </c>
      <c r="D100" s="25" t="s">
        <v>973</v>
      </c>
      <c r="E100" s="26" t="s">
        <v>45</v>
      </c>
      <c r="F100" s="27" t="s">
        <v>45</v>
      </c>
      <c r="G100" s="28" t="s">
        <v>45</v>
      </c>
      <c r="H100" s="29"/>
      <c r="I100" s="29" t="s">
        <v>46</v>
      </c>
      <c r="J100" s="30">
        <v>1</v>
      </c>
      <c r="K100" s="31">
        <f>2741</f>
        <v>2741</v>
      </c>
      <c r="L100" s="32" t="s">
        <v>996</v>
      </c>
      <c r="M100" s="31">
        <f>2765</f>
        <v>2765</v>
      </c>
      <c r="N100" s="32" t="s">
        <v>784</v>
      </c>
      <c r="O100" s="31">
        <f>2510</f>
        <v>2510</v>
      </c>
      <c r="P100" s="32" t="s">
        <v>789</v>
      </c>
      <c r="Q100" s="31">
        <f>2623</f>
        <v>2623</v>
      </c>
      <c r="R100" s="32" t="s">
        <v>791</v>
      </c>
      <c r="S100" s="33">
        <f>2606.8</f>
        <v>2606.8000000000002</v>
      </c>
      <c r="T100" s="30">
        <f>1050478</f>
        <v>1050478</v>
      </c>
      <c r="U100" s="30">
        <f>17001</f>
        <v>17001</v>
      </c>
      <c r="V100" s="30">
        <f>2742483700</f>
        <v>2742483700</v>
      </c>
      <c r="W100" s="30">
        <f>43459632</f>
        <v>43459632</v>
      </c>
      <c r="X100" s="34">
        <f>20</f>
        <v>20</v>
      </c>
    </row>
    <row r="101" spans="1:24" ht="13.5" customHeight="1" x14ac:dyDescent="0.15">
      <c r="A101" s="25" t="s">
        <v>1112</v>
      </c>
      <c r="B101" s="25" t="s">
        <v>333</v>
      </c>
      <c r="C101" s="25" t="s">
        <v>334</v>
      </c>
      <c r="D101" s="25" t="s">
        <v>335</v>
      </c>
      <c r="E101" s="26" t="s">
        <v>45</v>
      </c>
      <c r="F101" s="27" t="s">
        <v>45</v>
      </c>
      <c r="G101" s="28" t="s">
        <v>45</v>
      </c>
      <c r="H101" s="29"/>
      <c r="I101" s="29" t="s">
        <v>46</v>
      </c>
      <c r="J101" s="30">
        <v>1</v>
      </c>
      <c r="K101" s="31">
        <f>47580</f>
        <v>47580</v>
      </c>
      <c r="L101" s="32" t="s">
        <v>996</v>
      </c>
      <c r="M101" s="31">
        <f>47920</f>
        <v>47920</v>
      </c>
      <c r="N101" s="32" t="s">
        <v>784</v>
      </c>
      <c r="O101" s="31">
        <f>45690</f>
        <v>45690</v>
      </c>
      <c r="P101" s="32" t="s">
        <v>787</v>
      </c>
      <c r="Q101" s="31">
        <f>47640</f>
        <v>47640</v>
      </c>
      <c r="R101" s="32" t="s">
        <v>791</v>
      </c>
      <c r="S101" s="33">
        <f>46868.5</f>
        <v>46868.5</v>
      </c>
      <c r="T101" s="30">
        <f>12253</f>
        <v>12253</v>
      </c>
      <c r="U101" s="30">
        <f>1619</f>
        <v>1619</v>
      </c>
      <c r="V101" s="30">
        <f>578271700</f>
        <v>578271700</v>
      </c>
      <c r="W101" s="30">
        <f>77524190</f>
        <v>77524190</v>
      </c>
      <c r="X101" s="34">
        <f>20</f>
        <v>20</v>
      </c>
    </row>
    <row r="102" spans="1:24" ht="13.5" customHeight="1" x14ac:dyDescent="0.15">
      <c r="A102" s="25" t="s">
        <v>1112</v>
      </c>
      <c r="B102" s="25" t="s">
        <v>336</v>
      </c>
      <c r="C102" s="25" t="s">
        <v>337</v>
      </c>
      <c r="D102" s="25" t="s">
        <v>338</v>
      </c>
      <c r="E102" s="26" t="s">
        <v>45</v>
      </c>
      <c r="F102" s="27" t="s">
        <v>45</v>
      </c>
      <c r="G102" s="28" t="s">
        <v>45</v>
      </c>
      <c r="H102" s="29"/>
      <c r="I102" s="29" t="s">
        <v>46</v>
      </c>
      <c r="J102" s="30">
        <v>10</v>
      </c>
      <c r="K102" s="31">
        <f>34410</f>
        <v>34410</v>
      </c>
      <c r="L102" s="32" t="s">
        <v>996</v>
      </c>
      <c r="M102" s="31">
        <f>35120</f>
        <v>35120</v>
      </c>
      <c r="N102" s="32" t="s">
        <v>791</v>
      </c>
      <c r="O102" s="31">
        <f>31750</f>
        <v>31750</v>
      </c>
      <c r="P102" s="32" t="s">
        <v>787</v>
      </c>
      <c r="Q102" s="31">
        <f>34820</f>
        <v>34820</v>
      </c>
      <c r="R102" s="32" t="s">
        <v>791</v>
      </c>
      <c r="S102" s="33">
        <f>33430</f>
        <v>33430</v>
      </c>
      <c r="T102" s="30">
        <f>1692680</f>
        <v>1692680</v>
      </c>
      <c r="U102" s="30">
        <f>3000</f>
        <v>3000</v>
      </c>
      <c r="V102" s="30">
        <f>56524563300</f>
        <v>56524563300</v>
      </c>
      <c r="W102" s="30">
        <f>100497000</f>
        <v>100497000</v>
      </c>
      <c r="X102" s="34">
        <f>20</f>
        <v>20</v>
      </c>
    </row>
    <row r="103" spans="1:24" ht="13.5" customHeight="1" x14ac:dyDescent="0.15">
      <c r="A103" s="25" t="s">
        <v>1112</v>
      </c>
      <c r="B103" s="25" t="s">
        <v>339</v>
      </c>
      <c r="C103" s="25" t="s">
        <v>340</v>
      </c>
      <c r="D103" s="25" t="s">
        <v>341</v>
      </c>
      <c r="E103" s="26" t="s">
        <v>45</v>
      </c>
      <c r="F103" s="27" t="s">
        <v>45</v>
      </c>
      <c r="G103" s="28" t="s">
        <v>45</v>
      </c>
      <c r="H103" s="29"/>
      <c r="I103" s="29" t="s">
        <v>46</v>
      </c>
      <c r="J103" s="30">
        <v>10</v>
      </c>
      <c r="K103" s="31">
        <f>1654.5</f>
        <v>1654.5</v>
      </c>
      <c r="L103" s="32" t="s">
        <v>996</v>
      </c>
      <c r="M103" s="31">
        <f>1718.5</f>
        <v>1718.5</v>
      </c>
      <c r="N103" s="32" t="s">
        <v>787</v>
      </c>
      <c r="O103" s="31">
        <f>1632.5</f>
        <v>1632.5</v>
      </c>
      <c r="P103" s="32" t="s">
        <v>791</v>
      </c>
      <c r="Q103" s="31">
        <f>1639</f>
        <v>1639</v>
      </c>
      <c r="R103" s="32" t="s">
        <v>791</v>
      </c>
      <c r="S103" s="33">
        <f>1675.55</f>
        <v>1675.55</v>
      </c>
      <c r="T103" s="30">
        <f>374570</f>
        <v>374570</v>
      </c>
      <c r="U103" s="30">
        <f>13200</f>
        <v>13200</v>
      </c>
      <c r="V103" s="30">
        <f>628922560</f>
        <v>628922560</v>
      </c>
      <c r="W103" s="30">
        <f>22158180</f>
        <v>22158180</v>
      </c>
      <c r="X103" s="34">
        <f>20</f>
        <v>20</v>
      </c>
    </row>
    <row r="104" spans="1:24" ht="13.5" customHeight="1" x14ac:dyDescent="0.15">
      <c r="A104" s="25" t="s">
        <v>1112</v>
      </c>
      <c r="B104" s="25" t="s">
        <v>342</v>
      </c>
      <c r="C104" s="25" t="s">
        <v>343</v>
      </c>
      <c r="D104" s="25" t="s">
        <v>344</v>
      </c>
      <c r="E104" s="26" t="s">
        <v>45</v>
      </c>
      <c r="F104" s="27" t="s">
        <v>45</v>
      </c>
      <c r="G104" s="28" t="s">
        <v>45</v>
      </c>
      <c r="H104" s="29"/>
      <c r="I104" s="29" t="s">
        <v>46</v>
      </c>
      <c r="J104" s="30">
        <v>1</v>
      </c>
      <c r="K104" s="31">
        <f>21220</f>
        <v>21220</v>
      </c>
      <c r="L104" s="32" t="s">
        <v>996</v>
      </c>
      <c r="M104" s="31">
        <f>21520</f>
        <v>21520</v>
      </c>
      <c r="N104" s="32" t="s">
        <v>996</v>
      </c>
      <c r="O104" s="31">
        <f>19060</f>
        <v>19060</v>
      </c>
      <c r="P104" s="32" t="s">
        <v>787</v>
      </c>
      <c r="Q104" s="31">
        <f>20725</f>
        <v>20725</v>
      </c>
      <c r="R104" s="32" t="s">
        <v>791</v>
      </c>
      <c r="S104" s="33">
        <f>20157.75</f>
        <v>20157.75</v>
      </c>
      <c r="T104" s="30">
        <f>128112136</f>
        <v>128112136</v>
      </c>
      <c r="U104" s="30">
        <f>73579</f>
        <v>73579</v>
      </c>
      <c r="V104" s="30">
        <f>2578820316446</f>
        <v>2578820316446</v>
      </c>
      <c r="W104" s="30">
        <f>1474213776</f>
        <v>1474213776</v>
      </c>
      <c r="X104" s="34">
        <f>20</f>
        <v>20</v>
      </c>
    </row>
    <row r="105" spans="1:24" ht="13.5" customHeight="1" x14ac:dyDescent="0.15">
      <c r="A105" s="25" t="s">
        <v>1112</v>
      </c>
      <c r="B105" s="25" t="s">
        <v>345</v>
      </c>
      <c r="C105" s="25" t="s">
        <v>346</v>
      </c>
      <c r="D105" s="25" t="s">
        <v>347</v>
      </c>
      <c r="E105" s="26" t="s">
        <v>45</v>
      </c>
      <c r="F105" s="27" t="s">
        <v>45</v>
      </c>
      <c r="G105" s="28" t="s">
        <v>45</v>
      </c>
      <c r="H105" s="29"/>
      <c r="I105" s="29" t="s">
        <v>46</v>
      </c>
      <c r="J105" s="30">
        <v>1</v>
      </c>
      <c r="K105" s="31">
        <f>763</f>
        <v>763</v>
      </c>
      <c r="L105" s="32" t="s">
        <v>996</v>
      </c>
      <c r="M105" s="31">
        <f>804</f>
        <v>804</v>
      </c>
      <c r="N105" s="32" t="s">
        <v>787</v>
      </c>
      <c r="O105" s="31">
        <f>757</f>
        <v>757</v>
      </c>
      <c r="P105" s="32" t="s">
        <v>996</v>
      </c>
      <c r="Q105" s="31">
        <f>768</f>
        <v>768</v>
      </c>
      <c r="R105" s="32" t="s">
        <v>791</v>
      </c>
      <c r="S105" s="33">
        <f>781.05</f>
        <v>781.05</v>
      </c>
      <c r="T105" s="30">
        <f>54186492</f>
        <v>54186492</v>
      </c>
      <c r="U105" s="30">
        <f>2546500</f>
        <v>2546500</v>
      </c>
      <c r="V105" s="30">
        <f>42310572727</f>
        <v>42310572727</v>
      </c>
      <c r="W105" s="30">
        <f>2008481550</f>
        <v>2008481550</v>
      </c>
      <c r="X105" s="34">
        <f>20</f>
        <v>20</v>
      </c>
    </row>
    <row r="106" spans="1:24" ht="13.5" customHeight="1" x14ac:dyDescent="0.15">
      <c r="A106" s="25" t="s">
        <v>1112</v>
      </c>
      <c r="B106" s="25" t="s">
        <v>348</v>
      </c>
      <c r="C106" s="25" t="s">
        <v>349</v>
      </c>
      <c r="D106" s="25" t="s">
        <v>350</v>
      </c>
      <c r="E106" s="26" t="s">
        <v>45</v>
      </c>
      <c r="F106" s="27" t="s">
        <v>45</v>
      </c>
      <c r="G106" s="28" t="s">
        <v>45</v>
      </c>
      <c r="H106" s="29"/>
      <c r="I106" s="29" t="s">
        <v>46</v>
      </c>
      <c r="J106" s="30">
        <v>10</v>
      </c>
      <c r="K106" s="31">
        <f>4487</f>
        <v>4487</v>
      </c>
      <c r="L106" s="32" t="s">
        <v>996</v>
      </c>
      <c r="M106" s="31">
        <f>5281</f>
        <v>5281</v>
      </c>
      <c r="N106" s="32" t="s">
        <v>791</v>
      </c>
      <c r="O106" s="31">
        <f>4217</f>
        <v>4217</v>
      </c>
      <c r="P106" s="32" t="s">
        <v>1003</v>
      </c>
      <c r="Q106" s="31">
        <f>5117</f>
        <v>5117</v>
      </c>
      <c r="R106" s="32" t="s">
        <v>791</v>
      </c>
      <c r="S106" s="33">
        <f>4511.1</f>
        <v>4511.1000000000004</v>
      </c>
      <c r="T106" s="30">
        <f>245600</f>
        <v>245600</v>
      </c>
      <c r="U106" s="30">
        <f>40</f>
        <v>40</v>
      </c>
      <c r="V106" s="30">
        <f>1137634670</f>
        <v>1137634670</v>
      </c>
      <c r="W106" s="30">
        <f>186210</f>
        <v>186210</v>
      </c>
      <c r="X106" s="34">
        <f>20</f>
        <v>20</v>
      </c>
    </row>
    <row r="107" spans="1:24" ht="13.5" customHeight="1" x14ac:dyDescent="0.15">
      <c r="A107" s="25" t="s">
        <v>1112</v>
      </c>
      <c r="B107" s="25" t="s">
        <v>351</v>
      </c>
      <c r="C107" s="25" t="s">
        <v>352</v>
      </c>
      <c r="D107" s="25" t="s">
        <v>353</v>
      </c>
      <c r="E107" s="26" t="s">
        <v>45</v>
      </c>
      <c r="F107" s="27" t="s">
        <v>45</v>
      </c>
      <c r="G107" s="28" t="s">
        <v>45</v>
      </c>
      <c r="H107" s="29"/>
      <c r="I107" s="29" t="s">
        <v>46</v>
      </c>
      <c r="J107" s="30">
        <v>10</v>
      </c>
      <c r="K107" s="31">
        <f>11395</f>
        <v>11395</v>
      </c>
      <c r="L107" s="32" t="s">
        <v>996</v>
      </c>
      <c r="M107" s="31">
        <f>11720</f>
        <v>11720</v>
      </c>
      <c r="N107" s="32" t="s">
        <v>1003</v>
      </c>
      <c r="O107" s="31">
        <f>10105</f>
        <v>10105</v>
      </c>
      <c r="P107" s="32" t="s">
        <v>791</v>
      </c>
      <c r="Q107" s="31">
        <f>10340</f>
        <v>10340</v>
      </c>
      <c r="R107" s="32" t="s">
        <v>791</v>
      </c>
      <c r="S107" s="33">
        <f>10989.75</f>
        <v>10989.75</v>
      </c>
      <c r="T107" s="30">
        <f>22550</f>
        <v>22550</v>
      </c>
      <c r="U107" s="30">
        <f>40</f>
        <v>40</v>
      </c>
      <c r="V107" s="30">
        <f>247009150</f>
        <v>247009150</v>
      </c>
      <c r="W107" s="30">
        <f>425600</f>
        <v>425600</v>
      </c>
      <c r="X107" s="34">
        <f>20</f>
        <v>20</v>
      </c>
    </row>
    <row r="108" spans="1:24" ht="13.5" customHeight="1" x14ac:dyDescent="0.15">
      <c r="A108" s="25" t="s">
        <v>1112</v>
      </c>
      <c r="B108" s="25" t="s">
        <v>354</v>
      </c>
      <c r="C108" s="25" t="s">
        <v>355</v>
      </c>
      <c r="D108" s="25" t="s">
        <v>1119</v>
      </c>
      <c r="E108" s="26" t="s">
        <v>45</v>
      </c>
      <c r="F108" s="27" t="s">
        <v>45</v>
      </c>
      <c r="G108" s="28" t="s">
        <v>45</v>
      </c>
      <c r="H108" s="29"/>
      <c r="I108" s="29" t="s">
        <v>46</v>
      </c>
      <c r="J108" s="30">
        <v>1</v>
      </c>
      <c r="K108" s="31">
        <f>29425</f>
        <v>29425</v>
      </c>
      <c r="L108" s="32" t="s">
        <v>996</v>
      </c>
      <c r="M108" s="31">
        <f>30590</f>
        <v>30590</v>
      </c>
      <c r="N108" s="32" t="s">
        <v>791</v>
      </c>
      <c r="O108" s="31">
        <f>28745</f>
        <v>28745</v>
      </c>
      <c r="P108" s="32" t="s">
        <v>56</v>
      </c>
      <c r="Q108" s="31">
        <f>30510</f>
        <v>30510</v>
      </c>
      <c r="R108" s="32" t="s">
        <v>791</v>
      </c>
      <c r="S108" s="33">
        <f>29506.75</f>
        <v>29506.75</v>
      </c>
      <c r="T108" s="30">
        <f>86127</f>
        <v>86127</v>
      </c>
      <c r="U108" s="30">
        <f>24673</f>
        <v>24673</v>
      </c>
      <c r="V108" s="30">
        <f>2549939191</f>
        <v>2549939191</v>
      </c>
      <c r="W108" s="30">
        <f>733313736</f>
        <v>733313736</v>
      </c>
      <c r="X108" s="34">
        <f>20</f>
        <v>20</v>
      </c>
    </row>
    <row r="109" spans="1:24" ht="13.5" customHeight="1" x14ac:dyDescent="0.15">
      <c r="A109" s="25" t="s">
        <v>1112</v>
      </c>
      <c r="B109" s="25" t="s">
        <v>357</v>
      </c>
      <c r="C109" s="25" t="s">
        <v>358</v>
      </c>
      <c r="D109" s="25" t="s">
        <v>359</v>
      </c>
      <c r="E109" s="26" t="s">
        <v>45</v>
      </c>
      <c r="F109" s="27" t="s">
        <v>45</v>
      </c>
      <c r="G109" s="28" t="s">
        <v>45</v>
      </c>
      <c r="H109" s="29"/>
      <c r="I109" s="29" t="s">
        <v>46</v>
      </c>
      <c r="J109" s="30">
        <v>1</v>
      </c>
      <c r="K109" s="31">
        <f>2697</f>
        <v>2697</v>
      </c>
      <c r="L109" s="32" t="s">
        <v>996</v>
      </c>
      <c r="M109" s="31">
        <f>2714</f>
        <v>2714</v>
      </c>
      <c r="N109" s="32" t="s">
        <v>996</v>
      </c>
      <c r="O109" s="31">
        <f>2533</f>
        <v>2533</v>
      </c>
      <c r="P109" s="32" t="s">
        <v>787</v>
      </c>
      <c r="Q109" s="31">
        <f>2643</f>
        <v>2643</v>
      </c>
      <c r="R109" s="32" t="s">
        <v>791</v>
      </c>
      <c r="S109" s="33">
        <f>2609.85</f>
        <v>2609.85</v>
      </c>
      <c r="T109" s="30">
        <f>451878</f>
        <v>451878</v>
      </c>
      <c r="U109" s="30">
        <f>190001</f>
        <v>190001</v>
      </c>
      <c r="V109" s="30">
        <f>1189403508</f>
        <v>1189403508</v>
      </c>
      <c r="W109" s="30">
        <f>497555643</f>
        <v>497555643</v>
      </c>
      <c r="X109" s="34">
        <f>20</f>
        <v>20</v>
      </c>
    </row>
    <row r="110" spans="1:24" ht="13.5" customHeight="1" x14ac:dyDescent="0.15">
      <c r="A110" s="25" t="s">
        <v>1112</v>
      </c>
      <c r="B110" s="25" t="s">
        <v>360</v>
      </c>
      <c r="C110" s="25" t="s">
        <v>361</v>
      </c>
      <c r="D110" s="25" t="s">
        <v>362</v>
      </c>
      <c r="E110" s="26" t="s">
        <v>45</v>
      </c>
      <c r="F110" s="27" t="s">
        <v>45</v>
      </c>
      <c r="G110" s="28" t="s">
        <v>45</v>
      </c>
      <c r="H110" s="29"/>
      <c r="I110" s="29" t="s">
        <v>46</v>
      </c>
      <c r="J110" s="30">
        <v>10</v>
      </c>
      <c r="K110" s="31">
        <f>22670</f>
        <v>22670</v>
      </c>
      <c r="L110" s="32" t="s">
        <v>996</v>
      </c>
      <c r="M110" s="31">
        <f>22995</f>
        <v>22995</v>
      </c>
      <c r="N110" s="32" t="s">
        <v>996</v>
      </c>
      <c r="O110" s="31">
        <f>20355</f>
        <v>20355</v>
      </c>
      <c r="P110" s="32" t="s">
        <v>787</v>
      </c>
      <c r="Q110" s="31">
        <f>22160</f>
        <v>22160</v>
      </c>
      <c r="R110" s="32" t="s">
        <v>791</v>
      </c>
      <c r="S110" s="33">
        <f>21534</f>
        <v>21534</v>
      </c>
      <c r="T110" s="30">
        <f>11832520</f>
        <v>11832520</v>
      </c>
      <c r="U110" s="30">
        <f>210</f>
        <v>210</v>
      </c>
      <c r="V110" s="30">
        <f>254483480825</f>
        <v>254483480825</v>
      </c>
      <c r="W110" s="30">
        <f>4520725</f>
        <v>4520725</v>
      </c>
      <c r="X110" s="34">
        <f>20</f>
        <v>20</v>
      </c>
    </row>
    <row r="111" spans="1:24" ht="13.5" customHeight="1" x14ac:dyDescent="0.15">
      <c r="A111" s="25" t="s">
        <v>1112</v>
      </c>
      <c r="B111" s="25" t="s">
        <v>363</v>
      </c>
      <c r="C111" s="25" t="s">
        <v>364</v>
      </c>
      <c r="D111" s="25" t="s">
        <v>365</v>
      </c>
      <c r="E111" s="26" t="s">
        <v>45</v>
      </c>
      <c r="F111" s="27" t="s">
        <v>45</v>
      </c>
      <c r="G111" s="28" t="s">
        <v>45</v>
      </c>
      <c r="H111" s="29"/>
      <c r="I111" s="29" t="s">
        <v>46</v>
      </c>
      <c r="J111" s="30">
        <v>10</v>
      </c>
      <c r="K111" s="31">
        <f>2024</f>
        <v>2024</v>
      </c>
      <c r="L111" s="32" t="s">
        <v>996</v>
      </c>
      <c r="M111" s="31">
        <f>2133</f>
        <v>2133</v>
      </c>
      <c r="N111" s="32" t="s">
        <v>787</v>
      </c>
      <c r="O111" s="31">
        <f>2010.5</f>
        <v>2010.5</v>
      </c>
      <c r="P111" s="32" t="s">
        <v>996</v>
      </c>
      <c r="Q111" s="31">
        <f>2038</f>
        <v>2038</v>
      </c>
      <c r="R111" s="32" t="s">
        <v>791</v>
      </c>
      <c r="S111" s="33">
        <f>2073.85</f>
        <v>2073.85</v>
      </c>
      <c r="T111" s="30">
        <f>2252440</f>
        <v>2252440</v>
      </c>
      <c r="U111" s="30">
        <f>40</f>
        <v>40</v>
      </c>
      <c r="V111" s="30">
        <f>4679520625</f>
        <v>4679520625</v>
      </c>
      <c r="W111" s="30">
        <f>83620</f>
        <v>83620</v>
      </c>
      <c r="X111" s="34">
        <f>20</f>
        <v>20</v>
      </c>
    </row>
    <row r="112" spans="1:24" ht="13.5" customHeight="1" x14ac:dyDescent="0.15">
      <c r="A112" s="25" t="s">
        <v>1112</v>
      </c>
      <c r="B112" s="25" t="s">
        <v>369</v>
      </c>
      <c r="C112" s="25" t="s">
        <v>1059</v>
      </c>
      <c r="D112" s="25" t="s">
        <v>1060</v>
      </c>
      <c r="E112" s="26" t="s">
        <v>45</v>
      </c>
      <c r="F112" s="27" t="s">
        <v>45</v>
      </c>
      <c r="G112" s="28" t="s">
        <v>45</v>
      </c>
      <c r="H112" s="29"/>
      <c r="I112" s="29" t="s">
        <v>46</v>
      </c>
      <c r="J112" s="30">
        <v>10</v>
      </c>
      <c r="K112" s="31">
        <f>1788</f>
        <v>1788</v>
      </c>
      <c r="L112" s="32" t="s">
        <v>78</v>
      </c>
      <c r="M112" s="31">
        <f>1788</f>
        <v>1788</v>
      </c>
      <c r="N112" s="32" t="s">
        <v>78</v>
      </c>
      <c r="O112" s="31">
        <f>1570</f>
        <v>1570</v>
      </c>
      <c r="P112" s="32" t="s">
        <v>787</v>
      </c>
      <c r="Q112" s="31">
        <f>1637</f>
        <v>1637</v>
      </c>
      <c r="R112" s="32" t="s">
        <v>791</v>
      </c>
      <c r="S112" s="33">
        <f>1613.75</f>
        <v>1613.75</v>
      </c>
      <c r="T112" s="30">
        <f>11900</f>
        <v>11900</v>
      </c>
      <c r="U112" s="30">
        <f>20</f>
        <v>20</v>
      </c>
      <c r="V112" s="30">
        <f>19097415</f>
        <v>19097415</v>
      </c>
      <c r="W112" s="30">
        <f>32370</f>
        <v>32370</v>
      </c>
      <c r="X112" s="34">
        <f>16</f>
        <v>16</v>
      </c>
    </row>
    <row r="113" spans="1:24" ht="13.5" customHeight="1" x14ac:dyDescent="0.15">
      <c r="A113" s="25" t="s">
        <v>1112</v>
      </c>
      <c r="B113" s="25" t="s">
        <v>372</v>
      </c>
      <c r="C113" s="25" t="s">
        <v>373</v>
      </c>
      <c r="D113" s="25" t="s">
        <v>374</v>
      </c>
      <c r="E113" s="26" t="s">
        <v>45</v>
      </c>
      <c r="F113" s="27" t="s">
        <v>45</v>
      </c>
      <c r="G113" s="28" t="s">
        <v>45</v>
      </c>
      <c r="H113" s="29"/>
      <c r="I113" s="29" t="s">
        <v>46</v>
      </c>
      <c r="J113" s="30">
        <v>1</v>
      </c>
      <c r="K113" s="31">
        <f>1899</f>
        <v>1899</v>
      </c>
      <c r="L113" s="32" t="s">
        <v>996</v>
      </c>
      <c r="M113" s="31">
        <f>1925</f>
        <v>1925</v>
      </c>
      <c r="N113" s="32" t="s">
        <v>996</v>
      </c>
      <c r="O113" s="31">
        <f>1825</f>
        <v>1825</v>
      </c>
      <c r="P113" s="32" t="s">
        <v>787</v>
      </c>
      <c r="Q113" s="31">
        <f>1847</f>
        <v>1847</v>
      </c>
      <c r="R113" s="32" t="s">
        <v>791</v>
      </c>
      <c r="S113" s="33">
        <f>1869.55</f>
        <v>1869.55</v>
      </c>
      <c r="T113" s="30">
        <f>6402</f>
        <v>6402</v>
      </c>
      <c r="U113" s="30">
        <f>2</f>
        <v>2</v>
      </c>
      <c r="V113" s="30">
        <f>11987388</f>
        <v>11987388</v>
      </c>
      <c r="W113" s="30">
        <f>3727</f>
        <v>3727</v>
      </c>
      <c r="X113" s="34">
        <f>20</f>
        <v>20</v>
      </c>
    </row>
    <row r="114" spans="1:24" ht="13.5" customHeight="1" x14ac:dyDescent="0.15">
      <c r="A114" s="25" t="s">
        <v>1112</v>
      </c>
      <c r="B114" s="25" t="s">
        <v>375</v>
      </c>
      <c r="C114" s="25" t="s">
        <v>376</v>
      </c>
      <c r="D114" s="25" t="s">
        <v>377</v>
      </c>
      <c r="E114" s="26" t="s">
        <v>45</v>
      </c>
      <c r="F114" s="27" t="s">
        <v>45</v>
      </c>
      <c r="G114" s="28" t="s">
        <v>45</v>
      </c>
      <c r="H114" s="29"/>
      <c r="I114" s="29" t="s">
        <v>46</v>
      </c>
      <c r="J114" s="30">
        <v>1</v>
      </c>
      <c r="K114" s="31">
        <f>21010</f>
        <v>21010</v>
      </c>
      <c r="L114" s="32" t="s">
        <v>996</v>
      </c>
      <c r="M114" s="31">
        <f>21200</f>
        <v>21200</v>
      </c>
      <c r="N114" s="32" t="s">
        <v>791</v>
      </c>
      <c r="O114" s="31">
        <f>20170</f>
        <v>20170</v>
      </c>
      <c r="P114" s="32" t="s">
        <v>787</v>
      </c>
      <c r="Q114" s="31">
        <f>21120</f>
        <v>21120</v>
      </c>
      <c r="R114" s="32" t="s">
        <v>791</v>
      </c>
      <c r="S114" s="33">
        <f>20693</f>
        <v>20693</v>
      </c>
      <c r="T114" s="30">
        <f>27394</f>
        <v>27394</v>
      </c>
      <c r="U114" s="30">
        <f>4970</f>
        <v>4970</v>
      </c>
      <c r="V114" s="30">
        <f>567657985</f>
        <v>567657985</v>
      </c>
      <c r="W114" s="30">
        <f>102794515</f>
        <v>102794515</v>
      </c>
      <c r="X114" s="34">
        <f>20</f>
        <v>20</v>
      </c>
    </row>
    <row r="115" spans="1:24" ht="13.5" customHeight="1" x14ac:dyDescent="0.15">
      <c r="A115" s="25" t="s">
        <v>1112</v>
      </c>
      <c r="B115" s="25" t="s">
        <v>378</v>
      </c>
      <c r="C115" s="25" t="s">
        <v>379</v>
      </c>
      <c r="D115" s="25" t="s">
        <v>380</v>
      </c>
      <c r="E115" s="26" t="s">
        <v>45</v>
      </c>
      <c r="F115" s="27" t="s">
        <v>45</v>
      </c>
      <c r="G115" s="28" t="s">
        <v>45</v>
      </c>
      <c r="H115" s="29"/>
      <c r="I115" s="29" t="s">
        <v>46</v>
      </c>
      <c r="J115" s="30">
        <v>1</v>
      </c>
      <c r="K115" s="31">
        <f>1942</f>
        <v>1942</v>
      </c>
      <c r="L115" s="32" t="s">
        <v>996</v>
      </c>
      <c r="M115" s="31">
        <f>1954</f>
        <v>1954</v>
      </c>
      <c r="N115" s="32" t="s">
        <v>996</v>
      </c>
      <c r="O115" s="31">
        <f>1828</f>
        <v>1828</v>
      </c>
      <c r="P115" s="32" t="s">
        <v>788</v>
      </c>
      <c r="Q115" s="31">
        <f>1927</f>
        <v>1927</v>
      </c>
      <c r="R115" s="32" t="s">
        <v>791</v>
      </c>
      <c r="S115" s="33">
        <f>1891.7</f>
        <v>1891.7</v>
      </c>
      <c r="T115" s="30">
        <f>618741</f>
        <v>618741</v>
      </c>
      <c r="U115" s="30">
        <f>535462</f>
        <v>535462</v>
      </c>
      <c r="V115" s="30">
        <f>1188284116</f>
        <v>1188284116</v>
      </c>
      <c r="W115" s="30">
        <f>1031159861</f>
        <v>1031159861</v>
      </c>
      <c r="X115" s="34">
        <f>20</f>
        <v>20</v>
      </c>
    </row>
    <row r="116" spans="1:24" ht="13.5" customHeight="1" x14ac:dyDescent="0.15">
      <c r="A116" s="25" t="s">
        <v>1112</v>
      </c>
      <c r="B116" s="25" t="s">
        <v>381</v>
      </c>
      <c r="C116" s="25" t="s">
        <v>382</v>
      </c>
      <c r="D116" s="25" t="s">
        <v>383</v>
      </c>
      <c r="E116" s="26" t="s">
        <v>45</v>
      </c>
      <c r="F116" s="27" t="s">
        <v>45</v>
      </c>
      <c r="G116" s="28" t="s">
        <v>45</v>
      </c>
      <c r="H116" s="29"/>
      <c r="I116" s="29" t="s">
        <v>46</v>
      </c>
      <c r="J116" s="30">
        <v>1</v>
      </c>
      <c r="K116" s="31">
        <f>21660</f>
        <v>21660</v>
      </c>
      <c r="L116" s="32" t="s">
        <v>996</v>
      </c>
      <c r="M116" s="31">
        <f>21840</f>
        <v>21840</v>
      </c>
      <c r="N116" s="32" t="s">
        <v>996</v>
      </c>
      <c r="O116" s="31">
        <f>20600</f>
        <v>20600</v>
      </c>
      <c r="P116" s="32" t="s">
        <v>56</v>
      </c>
      <c r="Q116" s="31">
        <f>21560</f>
        <v>21560</v>
      </c>
      <c r="R116" s="32" t="s">
        <v>791</v>
      </c>
      <c r="S116" s="33">
        <f>21208.5</f>
        <v>21208.5</v>
      </c>
      <c r="T116" s="30">
        <f>68817</f>
        <v>68817</v>
      </c>
      <c r="U116" s="30">
        <f>48848</f>
        <v>48848</v>
      </c>
      <c r="V116" s="30">
        <f>1452612987</f>
        <v>1452612987</v>
      </c>
      <c r="W116" s="30">
        <f>1031847612</f>
        <v>1031847612</v>
      </c>
      <c r="X116" s="34">
        <f>20</f>
        <v>20</v>
      </c>
    </row>
    <row r="117" spans="1:24" ht="13.5" customHeight="1" x14ac:dyDescent="0.15">
      <c r="A117" s="25" t="s">
        <v>1112</v>
      </c>
      <c r="B117" s="25" t="s">
        <v>384</v>
      </c>
      <c r="C117" s="25" t="s">
        <v>385</v>
      </c>
      <c r="D117" s="25" t="s">
        <v>386</v>
      </c>
      <c r="E117" s="26" t="s">
        <v>45</v>
      </c>
      <c r="F117" s="27" t="s">
        <v>45</v>
      </c>
      <c r="G117" s="28" t="s">
        <v>45</v>
      </c>
      <c r="H117" s="29"/>
      <c r="I117" s="29" t="s">
        <v>46</v>
      </c>
      <c r="J117" s="30">
        <v>10</v>
      </c>
      <c r="K117" s="31">
        <f>1917.5</f>
        <v>1917.5</v>
      </c>
      <c r="L117" s="32" t="s">
        <v>996</v>
      </c>
      <c r="M117" s="31">
        <f>1935</f>
        <v>1935</v>
      </c>
      <c r="N117" s="32" t="s">
        <v>255</v>
      </c>
      <c r="O117" s="31">
        <f>1879</f>
        <v>1879</v>
      </c>
      <c r="P117" s="32" t="s">
        <v>56</v>
      </c>
      <c r="Q117" s="31">
        <f>1915</f>
        <v>1915</v>
      </c>
      <c r="R117" s="32" t="s">
        <v>791</v>
      </c>
      <c r="S117" s="33">
        <f>1907.65</f>
        <v>1907.65</v>
      </c>
      <c r="T117" s="30">
        <f>3208660</f>
        <v>3208660</v>
      </c>
      <c r="U117" s="30">
        <f>754000</f>
        <v>754000</v>
      </c>
      <c r="V117" s="30">
        <f>6133519405</f>
        <v>6133519405</v>
      </c>
      <c r="W117" s="30">
        <f>1433342200</f>
        <v>1433342200</v>
      </c>
      <c r="X117" s="34">
        <f>20</f>
        <v>20</v>
      </c>
    </row>
    <row r="118" spans="1:24" ht="13.5" customHeight="1" x14ac:dyDescent="0.15">
      <c r="A118" s="25" t="s">
        <v>1112</v>
      </c>
      <c r="B118" s="25" t="s">
        <v>387</v>
      </c>
      <c r="C118" s="25" t="s">
        <v>388</v>
      </c>
      <c r="D118" s="25" t="s">
        <v>389</v>
      </c>
      <c r="E118" s="26" t="s">
        <v>45</v>
      </c>
      <c r="F118" s="27" t="s">
        <v>45</v>
      </c>
      <c r="G118" s="28" t="s">
        <v>45</v>
      </c>
      <c r="H118" s="29"/>
      <c r="I118" s="29" t="s">
        <v>46</v>
      </c>
      <c r="J118" s="30">
        <v>10</v>
      </c>
      <c r="K118" s="31">
        <f>1960</f>
        <v>1960</v>
      </c>
      <c r="L118" s="32" t="s">
        <v>1003</v>
      </c>
      <c r="M118" s="31">
        <f>1960</f>
        <v>1960</v>
      </c>
      <c r="N118" s="32" t="s">
        <v>1003</v>
      </c>
      <c r="O118" s="31">
        <f>1881</f>
        <v>1881</v>
      </c>
      <c r="P118" s="32" t="s">
        <v>56</v>
      </c>
      <c r="Q118" s="31">
        <f>1881</f>
        <v>1881</v>
      </c>
      <c r="R118" s="32" t="s">
        <v>56</v>
      </c>
      <c r="S118" s="33">
        <f>1916</f>
        <v>1916</v>
      </c>
      <c r="T118" s="30">
        <f>270</f>
        <v>270</v>
      </c>
      <c r="U118" s="30" t="str">
        <f>"－"</f>
        <v>－</v>
      </c>
      <c r="V118" s="30">
        <f>526160</f>
        <v>526160</v>
      </c>
      <c r="W118" s="30" t="str">
        <f>"－"</f>
        <v>－</v>
      </c>
      <c r="X118" s="34">
        <f>2</f>
        <v>2</v>
      </c>
    </row>
    <row r="119" spans="1:24" ht="13.5" customHeight="1" x14ac:dyDescent="0.15">
      <c r="A119" s="25" t="s">
        <v>1112</v>
      </c>
      <c r="B119" s="25" t="s">
        <v>390</v>
      </c>
      <c r="C119" s="25" t="s">
        <v>391</v>
      </c>
      <c r="D119" s="25" t="s">
        <v>392</v>
      </c>
      <c r="E119" s="26" t="s">
        <v>45</v>
      </c>
      <c r="F119" s="27" t="s">
        <v>45</v>
      </c>
      <c r="G119" s="28" t="s">
        <v>45</v>
      </c>
      <c r="H119" s="29"/>
      <c r="I119" s="29" t="s">
        <v>46</v>
      </c>
      <c r="J119" s="30">
        <v>10</v>
      </c>
      <c r="K119" s="31">
        <f>1919.5</f>
        <v>1919.5</v>
      </c>
      <c r="L119" s="32" t="s">
        <v>996</v>
      </c>
      <c r="M119" s="31">
        <f>1955.5</f>
        <v>1955.5</v>
      </c>
      <c r="N119" s="32" t="s">
        <v>255</v>
      </c>
      <c r="O119" s="31">
        <f>1888.5</f>
        <v>1888.5</v>
      </c>
      <c r="P119" s="32" t="s">
        <v>875</v>
      </c>
      <c r="Q119" s="31">
        <f>1935.5</f>
        <v>1935.5</v>
      </c>
      <c r="R119" s="32" t="s">
        <v>791</v>
      </c>
      <c r="S119" s="33">
        <f>1921.7</f>
        <v>1921.7</v>
      </c>
      <c r="T119" s="30">
        <f>1020100</f>
        <v>1020100</v>
      </c>
      <c r="U119" s="30">
        <f>193630</f>
        <v>193630</v>
      </c>
      <c r="V119" s="30">
        <f>1960784435</f>
        <v>1960784435</v>
      </c>
      <c r="W119" s="30">
        <f>369782440</f>
        <v>369782440</v>
      </c>
      <c r="X119" s="34">
        <f>20</f>
        <v>20</v>
      </c>
    </row>
    <row r="120" spans="1:24" ht="13.5" customHeight="1" x14ac:dyDescent="0.15">
      <c r="A120" s="25" t="s">
        <v>1112</v>
      </c>
      <c r="B120" s="25" t="s">
        <v>393</v>
      </c>
      <c r="C120" s="25" t="s">
        <v>1061</v>
      </c>
      <c r="D120" s="25" t="s">
        <v>1062</v>
      </c>
      <c r="E120" s="26" t="s">
        <v>45</v>
      </c>
      <c r="F120" s="27" t="s">
        <v>45</v>
      </c>
      <c r="G120" s="28" t="s">
        <v>45</v>
      </c>
      <c r="H120" s="29"/>
      <c r="I120" s="29" t="s">
        <v>46</v>
      </c>
      <c r="J120" s="30">
        <v>1</v>
      </c>
      <c r="K120" s="31">
        <f>21475</f>
        <v>21475</v>
      </c>
      <c r="L120" s="32" t="s">
        <v>996</v>
      </c>
      <c r="M120" s="31">
        <f>21675</f>
        <v>21675</v>
      </c>
      <c r="N120" s="32" t="s">
        <v>996</v>
      </c>
      <c r="O120" s="31">
        <f>20400</f>
        <v>20400</v>
      </c>
      <c r="P120" s="32" t="s">
        <v>787</v>
      </c>
      <c r="Q120" s="31">
        <f>21290</f>
        <v>21290</v>
      </c>
      <c r="R120" s="32" t="s">
        <v>791</v>
      </c>
      <c r="S120" s="33">
        <f>20961.39</f>
        <v>20961.39</v>
      </c>
      <c r="T120" s="30">
        <f>21019</f>
        <v>21019</v>
      </c>
      <c r="U120" s="30">
        <f>10520</f>
        <v>10520</v>
      </c>
      <c r="V120" s="30">
        <f>440058690</f>
        <v>440058690</v>
      </c>
      <c r="W120" s="30">
        <f>217953360</f>
        <v>217953360</v>
      </c>
      <c r="X120" s="34">
        <f>18</f>
        <v>18</v>
      </c>
    </row>
    <row r="121" spans="1:24" ht="13.5" customHeight="1" x14ac:dyDescent="0.15">
      <c r="A121" s="25" t="s">
        <v>1112</v>
      </c>
      <c r="B121" s="25" t="s">
        <v>396</v>
      </c>
      <c r="C121" s="25" t="s">
        <v>397</v>
      </c>
      <c r="D121" s="25" t="s">
        <v>398</v>
      </c>
      <c r="E121" s="26" t="s">
        <v>45</v>
      </c>
      <c r="F121" s="27" t="s">
        <v>45</v>
      </c>
      <c r="G121" s="28" t="s">
        <v>45</v>
      </c>
      <c r="H121" s="29"/>
      <c r="I121" s="29" t="s">
        <v>46</v>
      </c>
      <c r="J121" s="30">
        <v>100</v>
      </c>
      <c r="K121" s="31">
        <f>234.8</f>
        <v>234.8</v>
      </c>
      <c r="L121" s="32" t="s">
        <v>996</v>
      </c>
      <c r="M121" s="31">
        <f>250.7</f>
        <v>250.7</v>
      </c>
      <c r="N121" s="32" t="s">
        <v>791</v>
      </c>
      <c r="O121" s="31">
        <f>226.5</f>
        <v>226.5</v>
      </c>
      <c r="P121" s="32" t="s">
        <v>793</v>
      </c>
      <c r="Q121" s="31">
        <f>247.6</f>
        <v>247.6</v>
      </c>
      <c r="R121" s="32" t="s">
        <v>791</v>
      </c>
      <c r="S121" s="33">
        <f>235.73</f>
        <v>235.73</v>
      </c>
      <c r="T121" s="30">
        <f>90925900</f>
        <v>90925900</v>
      </c>
      <c r="U121" s="30">
        <f>8670400</f>
        <v>8670400</v>
      </c>
      <c r="V121" s="30">
        <f>21605426622</f>
        <v>21605426622</v>
      </c>
      <c r="W121" s="30">
        <f>2042593542</f>
        <v>2042593542</v>
      </c>
      <c r="X121" s="34">
        <f>20</f>
        <v>20</v>
      </c>
    </row>
    <row r="122" spans="1:24" ht="13.5" customHeight="1" x14ac:dyDescent="0.15">
      <c r="A122" s="25" t="s">
        <v>1112</v>
      </c>
      <c r="B122" s="25" t="s">
        <v>399</v>
      </c>
      <c r="C122" s="25" t="s">
        <v>400</v>
      </c>
      <c r="D122" s="25" t="s">
        <v>401</v>
      </c>
      <c r="E122" s="26" t="s">
        <v>45</v>
      </c>
      <c r="F122" s="27" t="s">
        <v>45</v>
      </c>
      <c r="G122" s="28" t="s">
        <v>45</v>
      </c>
      <c r="H122" s="29"/>
      <c r="I122" s="29" t="s">
        <v>46</v>
      </c>
      <c r="J122" s="30">
        <v>1</v>
      </c>
      <c r="K122" s="31">
        <f>34140</f>
        <v>34140</v>
      </c>
      <c r="L122" s="32" t="s">
        <v>996</v>
      </c>
      <c r="M122" s="31">
        <f>34350</f>
        <v>34350</v>
      </c>
      <c r="N122" s="32" t="s">
        <v>996</v>
      </c>
      <c r="O122" s="31">
        <f>32690</f>
        <v>32690</v>
      </c>
      <c r="P122" s="32" t="s">
        <v>56</v>
      </c>
      <c r="Q122" s="31">
        <f>33640</f>
        <v>33640</v>
      </c>
      <c r="R122" s="32" t="s">
        <v>791</v>
      </c>
      <c r="S122" s="33">
        <f>33487.5</f>
        <v>33487.5</v>
      </c>
      <c r="T122" s="30">
        <f>5917</f>
        <v>5917</v>
      </c>
      <c r="U122" s="30">
        <f>3002</f>
        <v>3002</v>
      </c>
      <c r="V122" s="30">
        <f>199741650</f>
        <v>199741650</v>
      </c>
      <c r="W122" s="30">
        <f>101547890</f>
        <v>101547890</v>
      </c>
      <c r="X122" s="34">
        <f>20</f>
        <v>20</v>
      </c>
    </row>
    <row r="123" spans="1:24" ht="13.5" customHeight="1" x14ac:dyDescent="0.15">
      <c r="A123" s="25" t="s">
        <v>1112</v>
      </c>
      <c r="B123" s="25" t="s">
        <v>402</v>
      </c>
      <c r="C123" s="25" t="s">
        <v>403</v>
      </c>
      <c r="D123" s="25" t="s">
        <v>404</v>
      </c>
      <c r="E123" s="26" t="s">
        <v>45</v>
      </c>
      <c r="F123" s="27" t="s">
        <v>45</v>
      </c>
      <c r="G123" s="28" t="s">
        <v>45</v>
      </c>
      <c r="H123" s="29"/>
      <c r="I123" s="29" t="s">
        <v>46</v>
      </c>
      <c r="J123" s="30">
        <v>1</v>
      </c>
      <c r="K123" s="31">
        <f>14305</f>
        <v>14305</v>
      </c>
      <c r="L123" s="32" t="s">
        <v>996</v>
      </c>
      <c r="M123" s="31">
        <f>15350</f>
        <v>15350</v>
      </c>
      <c r="N123" s="32" t="s">
        <v>791</v>
      </c>
      <c r="O123" s="31">
        <f>14205</f>
        <v>14205</v>
      </c>
      <c r="P123" s="32" t="s">
        <v>788</v>
      </c>
      <c r="Q123" s="31">
        <f>15235</f>
        <v>15235</v>
      </c>
      <c r="R123" s="32" t="s">
        <v>791</v>
      </c>
      <c r="S123" s="33">
        <f>14663</f>
        <v>14663</v>
      </c>
      <c r="T123" s="30">
        <f>18962</f>
        <v>18962</v>
      </c>
      <c r="U123" s="30" t="str">
        <f>"－"</f>
        <v>－</v>
      </c>
      <c r="V123" s="30">
        <f>276690865</f>
        <v>276690865</v>
      </c>
      <c r="W123" s="30" t="str">
        <f>"－"</f>
        <v>－</v>
      </c>
      <c r="X123" s="34">
        <f>20</f>
        <v>20</v>
      </c>
    </row>
    <row r="124" spans="1:24" ht="13.5" customHeight="1" x14ac:dyDescent="0.15">
      <c r="A124" s="25" t="s">
        <v>1112</v>
      </c>
      <c r="B124" s="25" t="s">
        <v>405</v>
      </c>
      <c r="C124" s="25" t="s">
        <v>406</v>
      </c>
      <c r="D124" s="25" t="s">
        <v>407</v>
      </c>
      <c r="E124" s="26" t="s">
        <v>45</v>
      </c>
      <c r="F124" s="27" t="s">
        <v>45</v>
      </c>
      <c r="G124" s="28" t="s">
        <v>45</v>
      </c>
      <c r="H124" s="29"/>
      <c r="I124" s="29" t="s">
        <v>46</v>
      </c>
      <c r="J124" s="30">
        <v>1</v>
      </c>
      <c r="K124" s="31">
        <f>25630</f>
        <v>25630</v>
      </c>
      <c r="L124" s="32" t="s">
        <v>996</v>
      </c>
      <c r="M124" s="31">
        <f>25820</f>
        <v>25820</v>
      </c>
      <c r="N124" s="32" t="s">
        <v>996</v>
      </c>
      <c r="O124" s="31">
        <f>24000</f>
        <v>24000</v>
      </c>
      <c r="P124" s="32" t="s">
        <v>1005</v>
      </c>
      <c r="Q124" s="31">
        <f>25345</f>
        <v>25345</v>
      </c>
      <c r="R124" s="32" t="s">
        <v>791</v>
      </c>
      <c r="S124" s="33">
        <f>24971</f>
        <v>24971</v>
      </c>
      <c r="T124" s="30">
        <f>17583</f>
        <v>17583</v>
      </c>
      <c r="U124" s="30" t="str">
        <f>"－"</f>
        <v>－</v>
      </c>
      <c r="V124" s="30">
        <f>442859605</f>
        <v>442859605</v>
      </c>
      <c r="W124" s="30" t="str">
        <f>"－"</f>
        <v>－</v>
      </c>
      <c r="X124" s="34">
        <f>20</f>
        <v>20</v>
      </c>
    </row>
    <row r="125" spans="1:24" ht="13.5" customHeight="1" x14ac:dyDescent="0.15">
      <c r="A125" s="25" t="s">
        <v>1112</v>
      </c>
      <c r="B125" s="25" t="s">
        <v>408</v>
      </c>
      <c r="C125" s="25" t="s">
        <v>409</v>
      </c>
      <c r="D125" s="25" t="s">
        <v>410</v>
      </c>
      <c r="E125" s="26" t="s">
        <v>45</v>
      </c>
      <c r="F125" s="27" t="s">
        <v>45</v>
      </c>
      <c r="G125" s="28" t="s">
        <v>45</v>
      </c>
      <c r="H125" s="29"/>
      <c r="I125" s="29" t="s">
        <v>46</v>
      </c>
      <c r="J125" s="30">
        <v>1</v>
      </c>
      <c r="K125" s="31">
        <f>28560</f>
        <v>28560</v>
      </c>
      <c r="L125" s="32" t="s">
        <v>996</v>
      </c>
      <c r="M125" s="31">
        <f>28940</f>
        <v>28940</v>
      </c>
      <c r="N125" s="32" t="s">
        <v>996</v>
      </c>
      <c r="O125" s="31">
        <f>27010</f>
        <v>27010</v>
      </c>
      <c r="P125" s="32" t="s">
        <v>997</v>
      </c>
      <c r="Q125" s="31">
        <f>27890</f>
        <v>27890</v>
      </c>
      <c r="R125" s="32" t="s">
        <v>791</v>
      </c>
      <c r="S125" s="33">
        <f>27716.75</f>
        <v>27716.75</v>
      </c>
      <c r="T125" s="30">
        <f>4253</f>
        <v>4253</v>
      </c>
      <c r="U125" s="30" t="str">
        <f>"－"</f>
        <v>－</v>
      </c>
      <c r="V125" s="30">
        <f>117829880</f>
        <v>117829880</v>
      </c>
      <c r="W125" s="30" t="str">
        <f>"－"</f>
        <v>－</v>
      </c>
      <c r="X125" s="34">
        <f>20</f>
        <v>20</v>
      </c>
    </row>
    <row r="126" spans="1:24" ht="13.5" customHeight="1" x14ac:dyDescent="0.15">
      <c r="A126" s="25" t="s">
        <v>1112</v>
      </c>
      <c r="B126" s="25" t="s">
        <v>411</v>
      </c>
      <c r="C126" s="25" t="s">
        <v>412</v>
      </c>
      <c r="D126" s="25" t="s">
        <v>413</v>
      </c>
      <c r="E126" s="26" t="s">
        <v>45</v>
      </c>
      <c r="F126" s="27" t="s">
        <v>45</v>
      </c>
      <c r="G126" s="28" t="s">
        <v>45</v>
      </c>
      <c r="H126" s="29"/>
      <c r="I126" s="29" t="s">
        <v>46</v>
      </c>
      <c r="J126" s="30">
        <v>1</v>
      </c>
      <c r="K126" s="31">
        <f>27875</f>
        <v>27875</v>
      </c>
      <c r="L126" s="32" t="s">
        <v>996</v>
      </c>
      <c r="M126" s="31">
        <f>27935</f>
        <v>27935</v>
      </c>
      <c r="N126" s="32" t="s">
        <v>996</v>
      </c>
      <c r="O126" s="31">
        <f>25005</f>
        <v>25005</v>
      </c>
      <c r="P126" s="32" t="s">
        <v>56</v>
      </c>
      <c r="Q126" s="31">
        <f>26510</f>
        <v>26510</v>
      </c>
      <c r="R126" s="32" t="s">
        <v>791</v>
      </c>
      <c r="S126" s="33">
        <f>26133.75</f>
        <v>26133.75</v>
      </c>
      <c r="T126" s="30">
        <f>23135</f>
        <v>23135</v>
      </c>
      <c r="U126" s="30">
        <f>8203</f>
        <v>8203</v>
      </c>
      <c r="V126" s="30">
        <f>609672612</f>
        <v>609672612</v>
      </c>
      <c r="W126" s="30">
        <f>216962802</f>
        <v>216962802</v>
      </c>
      <c r="X126" s="34">
        <f>20</f>
        <v>20</v>
      </c>
    </row>
    <row r="127" spans="1:24" ht="13.5" customHeight="1" x14ac:dyDescent="0.15">
      <c r="A127" s="25" t="s">
        <v>1112</v>
      </c>
      <c r="B127" s="25" t="s">
        <v>414</v>
      </c>
      <c r="C127" s="25" t="s">
        <v>415</v>
      </c>
      <c r="D127" s="25" t="s">
        <v>416</v>
      </c>
      <c r="E127" s="26" t="s">
        <v>45</v>
      </c>
      <c r="F127" s="27" t="s">
        <v>45</v>
      </c>
      <c r="G127" s="28" t="s">
        <v>45</v>
      </c>
      <c r="H127" s="29"/>
      <c r="I127" s="29" t="s">
        <v>46</v>
      </c>
      <c r="J127" s="30">
        <v>1</v>
      </c>
      <c r="K127" s="31">
        <f>28600</f>
        <v>28600</v>
      </c>
      <c r="L127" s="32" t="s">
        <v>996</v>
      </c>
      <c r="M127" s="31">
        <f>28915</f>
        <v>28915</v>
      </c>
      <c r="N127" s="32" t="s">
        <v>78</v>
      </c>
      <c r="O127" s="31">
        <f>25660</f>
        <v>25660</v>
      </c>
      <c r="P127" s="32" t="s">
        <v>56</v>
      </c>
      <c r="Q127" s="31">
        <f>27635</f>
        <v>27635</v>
      </c>
      <c r="R127" s="32" t="s">
        <v>791</v>
      </c>
      <c r="S127" s="33">
        <f>27376.5</f>
        <v>27376.5</v>
      </c>
      <c r="T127" s="30">
        <f>19153</f>
        <v>19153</v>
      </c>
      <c r="U127" s="30">
        <f>2</f>
        <v>2</v>
      </c>
      <c r="V127" s="30">
        <f>526796220</f>
        <v>526796220</v>
      </c>
      <c r="W127" s="30">
        <f>52340</f>
        <v>52340</v>
      </c>
      <c r="X127" s="34">
        <f>20</f>
        <v>20</v>
      </c>
    </row>
    <row r="128" spans="1:24" ht="13.5" customHeight="1" x14ac:dyDescent="0.15">
      <c r="A128" s="25" t="s">
        <v>1112</v>
      </c>
      <c r="B128" s="25" t="s">
        <v>417</v>
      </c>
      <c r="C128" s="25" t="s">
        <v>418</v>
      </c>
      <c r="D128" s="25" t="s">
        <v>419</v>
      </c>
      <c r="E128" s="26" t="s">
        <v>45</v>
      </c>
      <c r="F128" s="27" t="s">
        <v>45</v>
      </c>
      <c r="G128" s="28" t="s">
        <v>45</v>
      </c>
      <c r="H128" s="29"/>
      <c r="I128" s="29" t="s">
        <v>46</v>
      </c>
      <c r="J128" s="30">
        <v>1</v>
      </c>
      <c r="K128" s="31">
        <f>21860</f>
        <v>21860</v>
      </c>
      <c r="L128" s="32" t="s">
        <v>996</v>
      </c>
      <c r="M128" s="31">
        <f>22660</f>
        <v>22660</v>
      </c>
      <c r="N128" s="32" t="s">
        <v>791</v>
      </c>
      <c r="O128" s="31">
        <f>20790</f>
        <v>20790</v>
      </c>
      <c r="P128" s="32" t="s">
        <v>56</v>
      </c>
      <c r="Q128" s="31">
        <f>22660</f>
        <v>22660</v>
      </c>
      <c r="R128" s="32" t="s">
        <v>791</v>
      </c>
      <c r="S128" s="33">
        <f>21729.5</f>
        <v>21729.5</v>
      </c>
      <c r="T128" s="30">
        <f>7300</f>
        <v>7300</v>
      </c>
      <c r="U128" s="30" t="str">
        <f>"－"</f>
        <v>－</v>
      </c>
      <c r="V128" s="30">
        <f>159807915</f>
        <v>159807915</v>
      </c>
      <c r="W128" s="30" t="str">
        <f>"－"</f>
        <v>－</v>
      </c>
      <c r="X128" s="34">
        <f>20</f>
        <v>20</v>
      </c>
    </row>
    <row r="129" spans="1:24" ht="13.5" customHeight="1" x14ac:dyDescent="0.15">
      <c r="A129" s="25" t="s">
        <v>1112</v>
      </c>
      <c r="B129" s="25" t="s">
        <v>420</v>
      </c>
      <c r="C129" s="25" t="s">
        <v>421</v>
      </c>
      <c r="D129" s="25" t="s">
        <v>422</v>
      </c>
      <c r="E129" s="26" t="s">
        <v>45</v>
      </c>
      <c r="F129" s="27" t="s">
        <v>45</v>
      </c>
      <c r="G129" s="28" t="s">
        <v>45</v>
      </c>
      <c r="H129" s="29"/>
      <c r="I129" s="29" t="s">
        <v>46</v>
      </c>
      <c r="J129" s="30">
        <v>1</v>
      </c>
      <c r="K129" s="31">
        <f>49600</f>
        <v>49600</v>
      </c>
      <c r="L129" s="32" t="s">
        <v>996</v>
      </c>
      <c r="M129" s="31">
        <f>50690</f>
        <v>50690</v>
      </c>
      <c r="N129" s="32" t="s">
        <v>996</v>
      </c>
      <c r="O129" s="31">
        <f>46260</f>
        <v>46260</v>
      </c>
      <c r="P129" s="32" t="s">
        <v>56</v>
      </c>
      <c r="Q129" s="31">
        <f>48300</f>
        <v>48300</v>
      </c>
      <c r="R129" s="32" t="s">
        <v>791</v>
      </c>
      <c r="S129" s="33">
        <f>48084</f>
        <v>48084</v>
      </c>
      <c r="T129" s="30">
        <f>10700</f>
        <v>10700</v>
      </c>
      <c r="U129" s="30" t="str">
        <f>"－"</f>
        <v>－</v>
      </c>
      <c r="V129" s="30">
        <f>518898520</f>
        <v>518898520</v>
      </c>
      <c r="W129" s="30" t="str">
        <f>"－"</f>
        <v>－</v>
      </c>
      <c r="X129" s="34">
        <f>20</f>
        <v>20</v>
      </c>
    </row>
    <row r="130" spans="1:24" ht="13.5" customHeight="1" x14ac:dyDescent="0.15">
      <c r="A130" s="25" t="s">
        <v>1112</v>
      </c>
      <c r="B130" s="25" t="s">
        <v>423</v>
      </c>
      <c r="C130" s="25" t="s">
        <v>424</v>
      </c>
      <c r="D130" s="25" t="s">
        <v>425</v>
      </c>
      <c r="E130" s="26" t="s">
        <v>45</v>
      </c>
      <c r="F130" s="27" t="s">
        <v>45</v>
      </c>
      <c r="G130" s="28" t="s">
        <v>45</v>
      </c>
      <c r="H130" s="29"/>
      <c r="I130" s="29" t="s">
        <v>46</v>
      </c>
      <c r="J130" s="30">
        <v>1</v>
      </c>
      <c r="K130" s="31">
        <f>33410</f>
        <v>33410</v>
      </c>
      <c r="L130" s="32" t="s">
        <v>996</v>
      </c>
      <c r="M130" s="31">
        <f>33680</f>
        <v>33680</v>
      </c>
      <c r="N130" s="32" t="s">
        <v>996</v>
      </c>
      <c r="O130" s="31">
        <f>31470</f>
        <v>31470</v>
      </c>
      <c r="P130" s="32" t="s">
        <v>787</v>
      </c>
      <c r="Q130" s="31">
        <f>32590</f>
        <v>32590</v>
      </c>
      <c r="R130" s="32" t="s">
        <v>791</v>
      </c>
      <c r="S130" s="33">
        <f>32505.5</f>
        <v>32505.5</v>
      </c>
      <c r="T130" s="30">
        <f>9923</f>
        <v>9923</v>
      </c>
      <c r="U130" s="30">
        <f>2001</f>
        <v>2001</v>
      </c>
      <c r="V130" s="30">
        <f>321398560</f>
        <v>321398560</v>
      </c>
      <c r="W130" s="30">
        <f>64987190</f>
        <v>64987190</v>
      </c>
      <c r="X130" s="34">
        <f>20</f>
        <v>20</v>
      </c>
    </row>
    <row r="131" spans="1:24" ht="13.5" customHeight="1" x14ac:dyDescent="0.15">
      <c r="A131" s="25" t="s">
        <v>1112</v>
      </c>
      <c r="B131" s="25" t="s">
        <v>426</v>
      </c>
      <c r="C131" s="25" t="s">
        <v>427</v>
      </c>
      <c r="D131" s="25" t="s">
        <v>428</v>
      </c>
      <c r="E131" s="26" t="s">
        <v>45</v>
      </c>
      <c r="F131" s="27" t="s">
        <v>45</v>
      </c>
      <c r="G131" s="28" t="s">
        <v>45</v>
      </c>
      <c r="H131" s="29"/>
      <c r="I131" s="29" t="s">
        <v>46</v>
      </c>
      <c r="J131" s="30">
        <v>1</v>
      </c>
      <c r="K131" s="31">
        <f>31150</f>
        <v>31150</v>
      </c>
      <c r="L131" s="32" t="s">
        <v>996</v>
      </c>
      <c r="M131" s="31">
        <f>31150</f>
        <v>31150</v>
      </c>
      <c r="N131" s="32" t="s">
        <v>996</v>
      </c>
      <c r="O131" s="31">
        <f>29690</f>
        <v>29690</v>
      </c>
      <c r="P131" s="32" t="s">
        <v>56</v>
      </c>
      <c r="Q131" s="31">
        <f>30560</f>
        <v>30560</v>
      </c>
      <c r="R131" s="32" t="s">
        <v>791</v>
      </c>
      <c r="S131" s="33">
        <f>30325.5</f>
        <v>30325.5</v>
      </c>
      <c r="T131" s="30">
        <f>7565</f>
        <v>7565</v>
      </c>
      <c r="U131" s="30">
        <f>2</f>
        <v>2</v>
      </c>
      <c r="V131" s="30">
        <f>231933770</f>
        <v>231933770</v>
      </c>
      <c r="W131" s="30">
        <f>61500</f>
        <v>61500</v>
      </c>
      <c r="X131" s="34">
        <f>20</f>
        <v>20</v>
      </c>
    </row>
    <row r="132" spans="1:24" ht="13.5" customHeight="1" x14ac:dyDescent="0.15">
      <c r="A132" s="25" t="s">
        <v>1112</v>
      </c>
      <c r="B132" s="25" t="s">
        <v>429</v>
      </c>
      <c r="C132" s="25" t="s">
        <v>430</v>
      </c>
      <c r="D132" s="25" t="s">
        <v>431</v>
      </c>
      <c r="E132" s="26" t="s">
        <v>45</v>
      </c>
      <c r="F132" s="27" t="s">
        <v>45</v>
      </c>
      <c r="G132" s="28" t="s">
        <v>45</v>
      </c>
      <c r="H132" s="29"/>
      <c r="I132" s="29" t="s">
        <v>46</v>
      </c>
      <c r="J132" s="30">
        <v>1</v>
      </c>
      <c r="K132" s="31">
        <f>7363</f>
        <v>7363</v>
      </c>
      <c r="L132" s="32" t="s">
        <v>996</v>
      </c>
      <c r="M132" s="31">
        <f>7467</f>
        <v>7467</v>
      </c>
      <c r="N132" s="32" t="s">
        <v>996</v>
      </c>
      <c r="O132" s="31">
        <f>6716</f>
        <v>6716</v>
      </c>
      <c r="P132" s="32" t="s">
        <v>788</v>
      </c>
      <c r="Q132" s="31">
        <f>7371</f>
        <v>7371</v>
      </c>
      <c r="R132" s="32" t="s">
        <v>791</v>
      </c>
      <c r="S132" s="33">
        <f>7140.9</f>
        <v>7140.9</v>
      </c>
      <c r="T132" s="30">
        <f>57314</f>
        <v>57314</v>
      </c>
      <c r="U132" s="30">
        <f>14000</f>
        <v>14000</v>
      </c>
      <c r="V132" s="30">
        <f>409518755</f>
        <v>409518755</v>
      </c>
      <c r="W132" s="30">
        <f>97777400</f>
        <v>97777400</v>
      </c>
      <c r="X132" s="34">
        <f>20</f>
        <v>20</v>
      </c>
    </row>
    <row r="133" spans="1:24" ht="13.5" customHeight="1" x14ac:dyDescent="0.15">
      <c r="A133" s="25" t="s">
        <v>1112</v>
      </c>
      <c r="B133" s="25" t="s">
        <v>432</v>
      </c>
      <c r="C133" s="25" t="s">
        <v>433</v>
      </c>
      <c r="D133" s="25" t="s">
        <v>434</v>
      </c>
      <c r="E133" s="26" t="s">
        <v>45</v>
      </c>
      <c r="F133" s="27" t="s">
        <v>45</v>
      </c>
      <c r="G133" s="28" t="s">
        <v>45</v>
      </c>
      <c r="H133" s="29"/>
      <c r="I133" s="29" t="s">
        <v>46</v>
      </c>
      <c r="J133" s="30">
        <v>1</v>
      </c>
      <c r="K133" s="31">
        <f>18150</f>
        <v>18150</v>
      </c>
      <c r="L133" s="32" t="s">
        <v>996</v>
      </c>
      <c r="M133" s="31">
        <f>18200</f>
        <v>18200</v>
      </c>
      <c r="N133" s="32" t="s">
        <v>996</v>
      </c>
      <c r="O133" s="31">
        <f>17130</f>
        <v>17130</v>
      </c>
      <c r="P133" s="32" t="s">
        <v>788</v>
      </c>
      <c r="Q133" s="31">
        <f>17925</f>
        <v>17925</v>
      </c>
      <c r="R133" s="32" t="s">
        <v>791</v>
      </c>
      <c r="S133" s="33">
        <f>17719</f>
        <v>17719</v>
      </c>
      <c r="T133" s="30">
        <f>7838</f>
        <v>7838</v>
      </c>
      <c r="U133" s="30" t="str">
        <f>"－"</f>
        <v>－</v>
      </c>
      <c r="V133" s="30">
        <f>139763425</f>
        <v>139763425</v>
      </c>
      <c r="W133" s="30" t="str">
        <f>"－"</f>
        <v>－</v>
      </c>
      <c r="X133" s="34">
        <f>20</f>
        <v>20</v>
      </c>
    </row>
    <row r="134" spans="1:24" ht="13.5" customHeight="1" x14ac:dyDescent="0.15">
      <c r="A134" s="25" t="s">
        <v>1112</v>
      </c>
      <c r="B134" s="25" t="s">
        <v>435</v>
      </c>
      <c r="C134" s="25" t="s">
        <v>436</v>
      </c>
      <c r="D134" s="25" t="s">
        <v>437</v>
      </c>
      <c r="E134" s="26" t="s">
        <v>45</v>
      </c>
      <c r="F134" s="27" t="s">
        <v>45</v>
      </c>
      <c r="G134" s="28" t="s">
        <v>45</v>
      </c>
      <c r="H134" s="29"/>
      <c r="I134" s="29" t="s">
        <v>46</v>
      </c>
      <c r="J134" s="30">
        <v>1</v>
      </c>
      <c r="K134" s="31">
        <f>70650</f>
        <v>70650</v>
      </c>
      <c r="L134" s="32" t="s">
        <v>996</v>
      </c>
      <c r="M134" s="31">
        <f>71610</f>
        <v>71610</v>
      </c>
      <c r="N134" s="32" t="s">
        <v>996</v>
      </c>
      <c r="O134" s="31">
        <f>65890</f>
        <v>65890</v>
      </c>
      <c r="P134" s="32" t="s">
        <v>56</v>
      </c>
      <c r="Q134" s="31">
        <f>71300</f>
        <v>71300</v>
      </c>
      <c r="R134" s="32" t="s">
        <v>791</v>
      </c>
      <c r="S134" s="33">
        <f>69294.5</f>
        <v>69294.5</v>
      </c>
      <c r="T134" s="30">
        <f>32527</f>
        <v>32527</v>
      </c>
      <c r="U134" s="30">
        <f>1537</f>
        <v>1537</v>
      </c>
      <c r="V134" s="30">
        <f>2253428375</f>
        <v>2253428375</v>
      </c>
      <c r="W134" s="30">
        <f>108091415</f>
        <v>108091415</v>
      </c>
      <c r="X134" s="34">
        <f>20</f>
        <v>20</v>
      </c>
    </row>
    <row r="135" spans="1:24" ht="13.5" customHeight="1" x14ac:dyDescent="0.15">
      <c r="A135" s="25" t="s">
        <v>1112</v>
      </c>
      <c r="B135" s="25" t="s">
        <v>438</v>
      </c>
      <c r="C135" s="25" t="s">
        <v>439</v>
      </c>
      <c r="D135" s="25" t="s">
        <v>440</v>
      </c>
      <c r="E135" s="26" t="s">
        <v>45</v>
      </c>
      <c r="F135" s="27" t="s">
        <v>45</v>
      </c>
      <c r="G135" s="28" t="s">
        <v>45</v>
      </c>
      <c r="H135" s="29"/>
      <c r="I135" s="29" t="s">
        <v>46</v>
      </c>
      <c r="J135" s="30">
        <v>1</v>
      </c>
      <c r="K135" s="31">
        <f>25840</f>
        <v>25840</v>
      </c>
      <c r="L135" s="32" t="s">
        <v>996</v>
      </c>
      <c r="M135" s="31">
        <f>25965</f>
        <v>25965</v>
      </c>
      <c r="N135" s="32" t="s">
        <v>791</v>
      </c>
      <c r="O135" s="31">
        <f>24900</f>
        <v>24900</v>
      </c>
      <c r="P135" s="32" t="s">
        <v>1005</v>
      </c>
      <c r="Q135" s="31">
        <f>25795</f>
        <v>25795</v>
      </c>
      <c r="R135" s="32" t="s">
        <v>791</v>
      </c>
      <c r="S135" s="33">
        <f>25440.5</f>
        <v>25440.5</v>
      </c>
      <c r="T135" s="30">
        <f>16138</f>
        <v>16138</v>
      </c>
      <c r="U135" s="30">
        <f>7900</f>
        <v>7900</v>
      </c>
      <c r="V135" s="30">
        <f>410245915</f>
        <v>410245915</v>
      </c>
      <c r="W135" s="30">
        <f>199866530</f>
        <v>199866530</v>
      </c>
      <c r="X135" s="34">
        <f>20</f>
        <v>20</v>
      </c>
    </row>
    <row r="136" spans="1:24" ht="13.5" customHeight="1" x14ac:dyDescent="0.15">
      <c r="A136" s="25" t="s">
        <v>1112</v>
      </c>
      <c r="B136" s="25" t="s">
        <v>441</v>
      </c>
      <c r="C136" s="25" t="s">
        <v>442</v>
      </c>
      <c r="D136" s="25" t="s">
        <v>443</v>
      </c>
      <c r="E136" s="26" t="s">
        <v>45</v>
      </c>
      <c r="F136" s="27" t="s">
        <v>45</v>
      </c>
      <c r="G136" s="28" t="s">
        <v>45</v>
      </c>
      <c r="H136" s="29"/>
      <c r="I136" s="29" t="s">
        <v>46</v>
      </c>
      <c r="J136" s="30">
        <v>1</v>
      </c>
      <c r="K136" s="31">
        <f>12185</f>
        <v>12185</v>
      </c>
      <c r="L136" s="32" t="s">
        <v>996</v>
      </c>
      <c r="M136" s="31">
        <f>13150</f>
        <v>13150</v>
      </c>
      <c r="N136" s="32" t="s">
        <v>791</v>
      </c>
      <c r="O136" s="31">
        <f>11880</f>
        <v>11880</v>
      </c>
      <c r="P136" s="32" t="s">
        <v>793</v>
      </c>
      <c r="Q136" s="31">
        <f>12990</f>
        <v>12990</v>
      </c>
      <c r="R136" s="32" t="s">
        <v>791</v>
      </c>
      <c r="S136" s="33">
        <f>12314</f>
        <v>12314</v>
      </c>
      <c r="T136" s="30">
        <f>74002</f>
        <v>74002</v>
      </c>
      <c r="U136" s="30">
        <f>803</f>
        <v>803</v>
      </c>
      <c r="V136" s="30">
        <f>920011659</f>
        <v>920011659</v>
      </c>
      <c r="W136" s="30">
        <f>10009444</f>
        <v>10009444</v>
      </c>
      <c r="X136" s="34">
        <f>20</f>
        <v>20</v>
      </c>
    </row>
    <row r="137" spans="1:24" ht="13.5" customHeight="1" x14ac:dyDescent="0.15">
      <c r="A137" s="25" t="s">
        <v>1112</v>
      </c>
      <c r="B137" s="25" t="s">
        <v>444</v>
      </c>
      <c r="C137" s="25" t="s">
        <v>445</v>
      </c>
      <c r="D137" s="25" t="s">
        <v>446</v>
      </c>
      <c r="E137" s="26" t="s">
        <v>45</v>
      </c>
      <c r="F137" s="27" t="s">
        <v>45</v>
      </c>
      <c r="G137" s="28" t="s">
        <v>45</v>
      </c>
      <c r="H137" s="29"/>
      <c r="I137" s="29" t="s">
        <v>46</v>
      </c>
      <c r="J137" s="30">
        <v>1</v>
      </c>
      <c r="K137" s="31">
        <f>17925</f>
        <v>17925</v>
      </c>
      <c r="L137" s="32" t="s">
        <v>996</v>
      </c>
      <c r="M137" s="31">
        <f>18355</f>
        <v>18355</v>
      </c>
      <c r="N137" s="32" t="s">
        <v>784</v>
      </c>
      <c r="O137" s="31">
        <f>17250</f>
        <v>17250</v>
      </c>
      <c r="P137" s="32" t="s">
        <v>1005</v>
      </c>
      <c r="Q137" s="31">
        <f>18270</f>
        <v>18270</v>
      </c>
      <c r="R137" s="32" t="s">
        <v>791</v>
      </c>
      <c r="S137" s="33">
        <f>17792.5</f>
        <v>17792.5</v>
      </c>
      <c r="T137" s="30">
        <f>8855</f>
        <v>8855</v>
      </c>
      <c r="U137" s="30" t="str">
        <f>"－"</f>
        <v>－</v>
      </c>
      <c r="V137" s="30">
        <f>158919800</f>
        <v>158919800</v>
      </c>
      <c r="W137" s="30" t="str">
        <f>"－"</f>
        <v>－</v>
      </c>
      <c r="X137" s="34">
        <f>20</f>
        <v>20</v>
      </c>
    </row>
    <row r="138" spans="1:24" ht="13.5" customHeight="1" x14ac:dyDescent="0.15">
      <c r="A138" s="25" t="s">
        <v>1112</v>
      </c>
      <c r="B138" s="25" t="s">
        <v>447</v>
      </c>
      <c r="C138" s="25" t="s">
        <v>448</v>
      </c>
      <c r="D138" s="25" t="s">
        <v>449</v>
      </c>
      <c r="E138" s="26" t="s">
        <v>45</v>
      </c>
      <c r="F138" s="27" t="s">
        <v>45</v>
      </c>
      <c r="G138" s="28" t="s">
        <v>45</v>
      </c>
      <c r="H138" s="29"/>
      <c r="I138" s="29" t="s">
        <v>46</v>
      </c>
      <c r="J138" s="30">
        <v>1</v>
      </c>
      <c r="K138" s="31">
        <f>31510</f>
        <v>31510</v>
      </c>
      <c r="L138" s="32" t="s">
        <v>996</v>
      </c>
      <c r="M138" s="31">
        <f>31590</f>
        <v>31590</v>
      </c>
      <c r="N138" s="32" t="s">
        <v>996</v>
      </c>
      <c r="O138" s="31">
        <f>29640</f>
        <v>29640</v>
      </c>
      <c r="P138" s="32" t="s">
        <v>788</v>
      </c>
      <c r="Q138" s="31">
        <f>31190</f>
        <v>31190</v>
      </c>
      <c r="R138" s="32" t="s">
        <v>791</v>
      </c>
      <c r="S138" s="33">
        <f>30753</f>
        <v>30753</v>
      </c>
      <c r="T138" s="30">
        <f>3693</f>
        <v>3693</v>
      </c>
      <c r="U138" s="30" t="str">
        <f>"－"</f>
        <v>－</v>
      </c>
      <c r="V138" s="30">
        <f>115000795</f>
        <v>115000795</v>
      </c>
      <c r="W138" s="30" t="str">
        <f>"－"</f>
        <v>－</v>
      </c>
      <c r="X138" s="34">
        <f>20</f>
        <v>20</v>
      </c>
    </row>
    <row r="139" spans="1:24" ht="13.5" customHeight="1" x14ac:dyDescent="0.15">
      <c r="A139" s="25" t="s">
        <v>1112</v>
      </c>
      <c r="B139" s="25" t="s">
        <v>450</v>
      </c>
      <c r="C139" s="25" t="s">
        <v>1063</v>
      </c>
      <c r="D139" s="25" t="s">
        <v>1064</v>
      </c>
      <c r="E139" s="26" t="s">
        <v>45</v>
      </c>
      <c r="F139" s="27" t="s">
        <v>45</v>
      </c>
      <c r="G139" s="28" t="s">
        <v>45</v>
      </c>
      <c r="H139" s="29"/>
      <c r="I139" s="29" t="s">
        <v>46</v>
      </c>
      <c r="J139" s="30">
        <v>10</v>
      </c>
      <c r="K139" s="31">
        <f>1564</f>
        <v>1564</v>
      </c>
      <c r="L139" s="32" t="s">
        <v>996</v>
      </c>
      <c r="M139" s="31">
        <f>1591</f>
        <v>1591</v>
      </c>
      <c r="N139" s="32" t="s">
        <v>791</v>
      </c>
      <c r="O139" s="31">
        <f>1477</f>
        <v>1477</v>
      </c>
      <c r="P139" s="32" t="s">
        <v>1005</v>
      </c>
      <c r="Q139" s="31">
        <f>1587.5</f>
        <v>1587.5</v>
      </c>
      <c r="R139" s="32" t="s">
        <v>791</v>
      </c>
      <c r="S139" s="33">
        <f>1548.03</f>
        <v>1548.03</v>
      </c>
      <c r="T139" s="30">
        <f>853830</f>
        <v>853830</v>
      </c>
      <c r="U139" s="30">
        <f>215000</f>
        <v>215000</v>
      </c>
      <c r="V139" s="30">
        <f>1318327880</f>
        <v>1318327880</v>
      </c>
      <c r="W139" s="30">
        <f>328224000</f>
        <v>328224000</v>
      </c>
      <c r="X139" s="34">
        <f>20</f>
        <v>20</v>
      </c>
    </row>
    <row r="140" spans="1:24" ht="13.5" customHeight="1" x14ac:dyDescent="0.15">
      <c r="A140" s="25" t="s">
        <v>1112</v>
      </c>
      <c r="B140" s="25" t="s">
        <v>453</v>
      </c>
      <c r="C140" s="25" t="s">
        <v>1065</v>
      </c>
      <c r="D140" s="25" t="s">
        <v>1066</v>
      </c>
      <c r="E140" s="26" t="s">
        <v>45</v>
      </c>
      <c r="F140" s="27" t="s">
        <v>45</v>
      </c>
      <c r="G140" s="28" t="s">
        <v>45</v>
      </c>
      <c r="H140" s="29"/>
      <c r="I140" s="29" t="s">
        <v>46</v>
      </c>
      <c r="J140" s="30">
        <v>10</v>
      </c>
      <c r="K140" s="31">
        <f>2742</f>
        <v>2742</v>
      </c>
      <c r="L140" s="32" t="s">
        <v>996</v>
      </c>
      <c r="M140" s="31">
        <f>2749.5</f>
        <v>2749.5</v>
      </c>
      <c r="N140" s="32" t="s">
        <v>996</v>
      </c>
      <c r="O140" s="31">
        <f>2537</f>
        <v>2537</v>
      </c>
      <c r="P140" s="32" t="s">
        <v>787</v>
      </c>
      <c r="Q140" s="31">
        <f>2659</f>
        <v>2659</v>
      </c>
      <c r="R140" s="32" t="s">
        <v>791</v>
      </c>
      <c r="S140" s="33">
        <f>2624.13</f>
        <v>2624.13</v>
      </c>
      <c r="T140" s="30">
        <f>16690</f>
        <v>16690</v>
      </c>
      <c r="U140" s="30" t="str">
        <f>"－"</f>
        <v>－</v>
      </c>
      <c r="V140" s="30">
        <f>43627800</f>
        <v>43627800</v>
      </c>
      <c r="W140" s="30" t="str">
        <f>"－"</f>
        <v>－</v>
      </c>
      <c r="X140" s="34">
        <f>16</f>
        <v>16</v>
      </c>
    </row>
    <row r="141" spans="1:24" ht="13.5" customHeight="1" x14ac:dyDescent="0.15">
      <c r="A141" s="25" t="s">
        <v>1112</v>
      </c>
      <c r="B141" s="25" t="s">
        <v>456</v>
      </c>
      <c r="C141" s="25" t="s">
        <v>1067</v>
      </c>
      <c r="D141" s="25" t="s">
        <v>1068</v>
      </c>
      <c r="E141" s="26" t="s">
        <v>45</v>
      </c>
      <c r="F141" s="27" t="s">
        <v>45</v>
      </c>
      <c r="G141" s="28" t="s">
        <v>45</v>
      </c>
      <c r="H141" s="29"/>
      <c r="I141" s="29" t="s">
        <v>46</v>
      </c>
      <c r="J141" s="30">
        <v>10</v>
      </c>
      <c r="K141" s="31">
        <f>2968</f>
        <v>2968</v>
      </c>
      <c r="L141" s="32" t="s">
        <v>996</v>
      </c>
      <c r="M141" s="31">
        <f>2976.5</f>
        <v>2976.5</v>
      </c>
      <c r="N141" s="32" t="s">
        <v>996</v>
      </c>
      <c r="O141" s="31">
        <f>2765</f>
        <v>2765</v>
      </c>
      <c r="P141" s="32" t="s">
        <v>787</v>
      </c>
      <c r="Q141" s="31">
        <f>2912.5</f>
        <v>2912.5</v>
      </c>
      <c r="R141" s="32" t="s">
        <v>791</v>
      </c>
      <c r="S141" s="33">
        <f>2859.78</f>
        <v>2859.78</v>
      </c>
      <c r="T141" s="30">
        <f>40560</f>
        <v>40560</v>
      </c>
      <c r="U141" s="30" t="str">
        <f>"－"</f>
        <v>－</v>
      </c>
      <c r="V141" s="30">
        <f>117615405</f>
        <v>117615405</v>
      </c>
      <c r="W141" s="30" t="str">
        <f>"－"</f>
        <v>－</v>
      </c>
      <c r="X141" s="34">
        <f>18</f>
        <v>18</v>
      </c>
    </row>
    <row r="142" spans="1:24" ht="13.5" customHeight="1" x14ac:dyDescent="0.15">
      <c r="A142" s="25" t="s">
        <v>1112</v>
      </c>
      <c r="B142" s="25" t="s">
        <v>459</v>
      </c>
      <c r="C142" s="25" t="s">
        <v>1069</v>
      </c>
      <c r="D142" s="25" t="s">
        <v>1070</v>
      </c>
      <c r="E142" s="26" t="s">
        <v>45</v>
      </c>
      <c r="F142" s="27" t="s">
        <v>45</v>
      </c>
      <c r="G142" s="28" t="s">
        <v>45</v>
      </c>
      <c r="H142" s="29"/>
      <c r="I142" s="29" t="s">
        <v>46</v>
      </c>
      <c r="J142" s="30">
        <v>10</v>
      </c>
      <c r="K142" s="31">
        <f>1879</f>
        <v>1879</v>
      </c>
      <c r="L142" s="32" t="s">
        <v>996</v>
      </c>
      <c r="M142" s="31">
        <f>1882</f>
        <v>1882</v>
      </c>
      <c r="N142" s="32" t="s">
        <v>996</v>
      </c>
      <c r="O142" s="31">
        <f>1735</f>
        <v>1735</v>
      </c>
      <c r="P142" s="32" t="s">
        <v>787</v>
      </c>
      <c r="Q142" s="31">
        <f>1825</f>
        <v>1825</v>
      </c>
      <c r="R142" s="32" t="s">
        <v>791</v>
      </c>
      <c r="S142" s="33">
        <f>1790.48</f>
        <v>1790.48</v>
      </c>
      <c r="T142" s="30">
        <f>52710</f>
        <v>52710</v>
      </c>
      <c r="U142" s="30" t="str">
        <f>"－"</f>
        <v>－</v>
      </c>
      <c r="V142" s="30">
        <f>94888290</f>
        <v>94888290</v>
      </c>
      <c r="W142" s="30" t="str">
        <f>"－"</f>
        <v>－</v>
      </c>
      <c r="X142" s="34">
        <f>20</f>
        <v>20</v>
      </c>
    </row>
    <row r="143" spans="1:24" ht="13.5" customHeight="1" x14ac:dyDescent="0.15">
      <c r="A143" s="25" t="s">
        <v>1112</v>
      </c>
      <c r="B143" s="25" t="s">
        <v>462</v>
      </c>
      <c r="C143" s="25" t="s">
        <v>463</v>
      </c>
      <c r="D143" s="25" t="s">
        <v>464</v>
      </c>
      <c r="E143" s="26" t="s">
        <v>45</v>
      </c>
      <c r="F143" s="27" t="s">
        <v>45</v>
      </c>
      <c r="G143" s="28" t="s">
        <v>45</v>
      </c>
      <c r="H143" s="29"/>
      <c r="I143" s="29" t="s">
        <v>46</v>
      </c>
      <c r="J143" s="30">
        <v>10</v>
      </c>
      <c r="K143" s="31">
        <f>463.9</f>
        <v>463.9</v>
      </c>
      <c r="L143" s="32" t="s">
        <v>996</v>
      </c>
      <c r="M143" s="31">
        <f>469</f>
        <v>469</v>
      </c>
      <c r="N143" s="32" t="s">
        <v>791</v>
      </c>
      <c r="O143" s="31">
        <f>446.3</f>
        <v>446.3</v>
      </c>
      <c r="P143" s="32" t="s">
        <v>787</v>
      </c>
      <c r="Q143" s="31">
        <f>468.7</f>
        <v>468.7</v>
      </c>
      <c r="R143" s="32" t="s">
        <v>791</v>
      </c>
      <c r="S143" s="33">
        <f>458.38</f>
        <v>458.38</v>
      </c>
      <c r="T143" s="30">
        <f>40211990</f>
        <v>40211990</v>
      </c>
      <c r="U143" s="30">
        <f>727770</f>
        <v>727770</v>
      </c>
      <c r="V143" s="30">
        <f>18447719513</f>
        <v>18447719513</v>
      </c>
      <c r="W143" s="30">
        <f>334974674</f>
        <v>334974674</v>
      </c>
      <c r="X143" s="34">
        <f>20</f>
        <v>20</v>
      </c>
    </row>
    <row r="144" spans="1:24" ht="13.5" customHeight="1" x14ac:dyDescent="0.15">
      <c r="A144" s="25" t="s">
        <v>1112</v>
      </c>
      <c r="B144" s="25" t="s">
        <v>465</v>
      </c>
      <c r="C144" s="25" t="s">
        <v>466</v>
      </c>
      <c r="D144" s="25" t="s">
        <v>467</v>
      </c>
      <c r="E144" s="26" t="s">
        <v>45</v>
      </c>
      <c r="F144" s="27" t="s">
        <v>45</v>
      </c>
      <c r="G144" s="28" t="s">
        <v>45</v>
      </c>
      <c r="H144" s="29"/>
      <c r="I144" s="29" t="s">
        <v>46</v>
      </c>
      <c r="J144" s="30">
        <v>10</v>
      </c>
      <c r="K144" s="31">
        <f>289.8</f>
        <v>289.8</v>
      </c>
      <c r="L144" s="32" t="s">
        <v>996</v>
      </c>
      <c r="M144" s="31">
        <f>290.5</f>
        <v>290.5</v>
      </c>
      <c r="N144" s="32" t="s">
        <v>785</v>
      </c>
      <c r="O144" s="31">
        <f>271.8</f>
        <v>271.8</v>
      </c>
      <c r="P144" s="32" t="s">
        <v>997</v>
      </c>
      <c r="Q144" s="31">
        <f>280.3</f>
        <v>280.3</v>
      </c>
      <c r="R144" s="32" t="s">
        <v>791</v>
      </c>
      <c r="S144" s="33">
        <f>281.18</f>
        <v>281.18</v>
      </c>
      <c r="T144" s="30">
        <f>108164810</f>
        <v>108164810</v>
      </c>
      <c r="U144" s="30">
        <f>103898890</f>
        <v>103898890</v>
      </c>
      <c r="V144" s="30">
        <f>30801300625</f>
        <v>30801300625</v>
      </c>
      <c r="W144" s="30">
        <f>29605404800</f>
        <v>29605404800</v>
      </c>
      <c r="X144" s="34">
        <f>20</f>
        <v>20</v>
      </c>
    </row>
    <row r="145" spans="1:24" ht="13.5" customHeight="1" x14ac:dyDescent="0.15">
      <c r="A145" s="25" t="s">
        <v>1112</v>
      </c>
      <c r="B145" s="25" t="s">
        <v>468</v>
      </c>
      <c r="C145" s="25" t="s">
        <v>1120</v>
      </c>
      <c r="D145" s="25" t="s">
        <v>470</v>
      </c>
      <c r="E145" s="26" t="s">
        <v>45</v>
      </c>
      <c r="F145" s="27" t="s">
        <v>45</v>
      </c>
      <c r="G145" s="28" t="s">
        <v>45</v>
      </c>
      <c r="H145" s="29"/>
      <c r="I145" s="29" t="s">
        <v>46</v>
      </c>
      <c r="J145" s="30">
        <v>1</v>
      </c>
      <c r="K145" s="31">
        <f>3995</f>
        <v>3995</v>
      </c>
      <c r="L145" s="32" t="s">
        <v>996</v>
      </c>
      <c r="M145" s="31">
        <f>4040</f>
        <v>4040</v>
      </c>
      <c r="N145" s="32" t="s">
        <v>791</v>
      </c>
      <c r="O145" s="31">
        <f>3840</f>
        <v>3840</v>
      </c>
      <c r="P145" s="32" t="s">
        <v>787</v>
      </c>
      <c r="Q145" s="31">
        <f>4040</f>
        <v>4040</v>
      </c>
      <c r="R145" s="32" t="s">
        <v>791</v>
      </c>
      <c r="S145" s="33">
        <f>3955.5</f>
        <v>3955.5</v>
      </c>
      <c r="T145" s="30">
        <f>66778</f>
        <v>66778</v>
      </c>
      <c r="U145" s="30">
        <f>16110</f>
        <v>16110</v>
      </c>
      <c r="V145" s="30">
        <f>265038816</f>
        <v>265038816</v>
      </c>
      <c r="W145" s="30">
        <f>63662151</f>
        <v>63662151</v>
      </c>
      <c r="X145" s="34">
        <f>20</f>
        <v>20</v>
      </c>
    </row>
    <row r="146" spans="1:24" ht="13.5" customHeight="1" x14ac:dyDescent="0.15">
      <c r="A146" s="25" t="s">
        <v>1112</v>
      </c>
      <c r="B146" s="25" t="s">
        <v>471</v>
      </c>
      <c r="C146" s="25" t="s">
        <v>472</v>
      </c>
      <c r="D146" s="25" t="s">
        <v>473</v>
      </c>
      <c r="E146" s="26" t="s">
        <v>45</v>
      </c>
      <c r="F146" s="27" t="s">
        <v>45</v>
      </c>
      <c r="G146" s="28" t="s">
        <v>45</v>
      </c>
      <c r="H146" s="29"/>
      <c r="I146" s="29" t="s">
        <v>46</v>
      </c>
      <c r="J146" s="30">
        <v>1</v>
      </c>
      <c r="K146" s="31">
        <f>2403</f>
        <v>2403</v>
      </c>
      <c r="L146" s="32" t="s">
        <v>996</v>
      </c>
      <c r="M146" s="31">
        <f>2506</f>
        <v>2506</v>
      </c>
      <c r="N146" s="32" t="s">
        <v>791</v>
      </c>
      <c r="O146" s="31">
        <f>2330</f>
        <v>2330</v>
      </c>
      <c r="P146" s="32" t="s">
        <v>794</v>
      </c>
      <c r="Q146" s="31">
        <f>2499</f>
        <v>2499</v>
      </c>
      <c r="R146" s="32" t="s">
        <v>791</v>
      </c>
      <c r="S146" s="33">
        <f>2406.35</f>
        <v>2406.35</v>
      </c>
      <c r="T146" s="30">
        <f>107110</f>
        <v>107110</v>
      </c>
      <c r="U146" s="30">
        <f>31221</f>
        <v>31221</v>
      </c>
      <c r="V146" s="30">
        <f>258571629</f>
        <v>258571629</v>
      </c>
      <c r="W146" s="30">
        <f>74982006</f>
        <v>74982006</v>
      </c>
      <c r="X146" s="34">
        <f>20</f>
        <v>20</v>
      </c>
    </row>
    <row r="147" spans="1:24" ht="13.5" customHeight="1" x14ac:dyDescent="0.15">
      <c r="A147" s="25" t="s">
        <v>1112</v>
      </c>
      <c r="B147" s="25" t="s">
        <v>474</v>
      </c>
      <c r="C147" s="25" t="s">
        <v>475</v>
      </c>
      <c r="D147" s="25" t="s">
        <v>476</v>
      </c>
      <c r="E147" s="26" t="s">
        <v>45</v>
      </c>
      <c r="F147" s="27" t="s">
        <v>45</v>
      </c>
      <c r="G147" s="28" t="s">
        <v>45</v>
      </c>
      <c r="H147" s="29"/>
      <c r="I147" s="29" t="s">
        <v>46</v>
      </c>
      <c r="J147" s="30">
        <v>1</v>
      </c>
      <c r="K147" s="31">
        <f>2755</f>
        <v>2755</v>
      </c>
      <c r="L147" s="32" t="s">
        <v>996</v>
      </c>
      <c r="M147" s="31">
        <f>2840</f>
        <v>2840</v>
      </c>
      <c r="N147" s="32" t="s">
        <v>789</v>
      </c>
      <c r="O147" s="31">
        <f>2702</f>
        <v>2702</v>
      </c>
      <c r="P147" s="32" t="s">
        <v>997</v>
      </c>
      <c r="Q147" s="31">
        <f>2782</f>
        <v>2782</v>
      </c>
      <c r="R147" s="32" t="s">
        <v>791</v>
      </c>
      <c r="S147" s="33">
        <f>2765.1</f>
        <v>2765.1</v>
      </c>
      <c r="T147" s="30">
        <f>151322</f>
        <v>151322</v>
      </c>
      <c r="U147" s="30">
        <f>24907</f>
        <v>24907</v>
      </c>
      <c r="V147" s="30">
        <f>420394960</f>
        <v>420394960</v>
      </c>
      <c r="W147" s="30">
        <f>70467107</f>
        <v>70467107</v>
      </c>
      <c r="X147" s="34">
        <f>20</f>
        <v>20</v>
      </c>
    </row>
    <row r="148" spans="1:24" ht="13.5" customHeight="1" x14ac:dyDescent="0.15">
      <c r="A148" s="25" t="s">
        <v>1112</v>
      </c>
      <c r="B148" s="25" t="s">
        <v>477</v>
      </c>
      <c r="C148" s="25" t="s">
        <v>478</v>
      </c>
      <c r="D148" s="25" t="s">
        <v>479</v>
      </c>
      <c r="E148" s="26" t="s">
        <v>45</v>
      </c>
      <c r="F148" s="27" t="s">
        <v>45</v>
      </c>
      <c r="G148" s="28" t="s">
        <v>45</v>
      </c>
      <c r="H148" s="29"/>
      <c r="I148" s="29" t="s">
        <v>46</v>
      </c>
      <c r="J148" s="30">
        <v>1</v>
      </c>
      <c r="K148" s="31">
        <f>10720</f>
        <v>10720</v>
      </c>
      <c r="L148" s="32" t="s">
        <v>996</v>
      </c>
      <c r="M148" s="31">
        <f>10800</f>
        <v>10800</v>
      </c>
      <c r="N148" s="32" t="s">
        <v>255</v>
      </c>
      <c r="O148" s="31">
        <f>10455</f>
        <v>10455</v>
      </c>
      <c r="P148" s="32" t="s">
        <v>875</v>
      </c>
      <c r="Q148" s="31">
        <f>10705</f>
        <v>10705</v>
      </c>
      <c r="R148" s="32" t="s">
        <v>791</v>
      </c>
      <c r="S148" s="33">
        <f>10654</f>
        <v>10654</v>
      </c>
      <c r="T148" s="30">
        <f>67897</f>
        <v>67897</v>
      </c>
      <c r="U148" s="30">
        <f>15067</f>
        <v>15067</v>
      </c>
      <c r="V148" s="30">
        <f>722594658</f>
        <v>722594658</v>
      </c>
      <c r="W148" s="30">
        <f>159627143</f>
        <v>159627143</v>
      </c>
      <c r="X148" s="34">
        <f>20</f>
        <v>20</v>
      </c>
    </row>
    <row r="149" spans="1:24" ht="13.5" customHeight="1" x14ac:dyDescent="0.15">
      <c r="A149" s="25" t="s">
        <v>1112</v>
      </c>
      <c r="B149" s="25" t="s">
        <v>480</v>
      </c>
      <c r="C149" s="25" t="s">
        <v>481</v>
      </c>
      <c r="D149" s="25" t="s">
        <v>482</v>
      </c>
      <c r="E149" s="26" t="s">
        <v>45</v>
      </c>
      <c r="F149" s="27" t="s">
        <v>45</v>
      </c>
      <c r="G149" s="28" t="s">
        <v>45</v>
      </c>
      <c r="H149" s="29"/>
      <c r="I149" s="29" t="s">
        <v>46</v>
      </c>
      <c r="J149" s="30">
        <v>1</v>
      </c>
      <c r="K149" s="31">
        <f>2485</f>
        <v>2485</v>
      </c>
      <c r="L149" s="32" t="s">
        <v>996</v>
      </c>
      <c r="M149" s="31">
        <f>2785</f>
        <v>2785</v>
      </c>
      <c r="N149" s="32" t="s">
        <v>791</v>
      </c>
      <c r="O149" s="31">
        <f>2470</f>
        <v>2470</v>
      </c>
      <c r="P149" s="32" t="s">
        <v>785</v>
      </c>
      <c r="Q149" s="31">
        <f>2778</f>
        <v>2778</v>
      </c>
      <c r="R149" s="32" t="s">
        <v>791</v>
      </c>
      <c r="S149" s="33">
        <f>2594.3</f>
        <v>2594.3000000000002</v>
      </c>
      <c r="T149" s="30">
        <f>6412161</f>
        <v>6412161</v>
      </c>
      <c r="U149" s="30">
        <f>129</f>
        <v>129</v>
      </c>
      <c r="V149" s="30">
        <f>16693472452</f>
        <v>16693472452</v>
      </c>
      <c r="W149" s="30">
        <f>335784</f>
        <v>335784</v>
      </c>
      <c r="X149" s="34">
        <f>20</f>
        <v>20</v>
      </c>
    </row>
    <row r="150" spans="1:24" ht="13.5" customHeight="1" x14ac:dyDescent="0.15">
      <c r="A150" s="25" t="s">
        <v>1112</v>
      </c>
      <c r="B150" s="25" t="s">
        <v>483</v>
      </c>
      <c r="C150" s="25" t="s">
        <v>484</v>
      </c>
      <c r="D150" s="25" t="s">
        <v>485</v>
      </c>
      <c r="E150" s="26" t="s">
        <v>45</v>
      </c>
      <c r="F150" s="27" t="s">
        <v>45</v>
      </c>
      <c r="G150" s="28" t="s">
        <v>45</v>
      </c>
      <c r="H150" s="29"/>
      <c r="I150" s="29" t="s">
        <v>46</v>
      </c>
      <c r="J150" s="30">
        <v>1</v>
      </c>
      <c r="K150" s="31">
        <f>26025</f>
        <v>26025</v>
      </c>
      <c r="L150" s="32" t="s">
        <v>996</v>
      </c>
      <c r="M150" s="31">
        <f>26140</f>
        <v>26140</v>
      </c>
      <c r="N150" s="32" t="s">
        <v>784</v>
      </c>
      <c r="O150" s="31">
        <f>25340</f>
        <v>25340</v>
      </c>
      <c r="P150" s="32" t="s">
        <v>1005</v>
      </c>
      <c r="Q150" s="31">
        <f>26005</f>
        <v>26005</v>
      </c>
      <c r="R150" s="32" t="s">
        <v>791</v>
      </c>
      <c r="S150" s="33">
        <f>25814.25</f>
        <v>25814.25</v>
      </c>
      <c r="T150" s="30">
        <f>4907</f>
        <v>4907</v>
      </c>
      <c r="U150" s="30" t="str">
        <f>"－"</f>
        <v>－</v>
      </c>
      <c r="V150" s="30">
        <f>126698555</f>
        <v>126698555</v>
      </c>
      <c r="W150" s="30" t="str">
        <f>"－"</f>
        <v>－</v>
      </c>
      <c r="X150" s="34">
        <f>20</f>
        <v>20</v>
      </c>
    </row>
    <row r="151" spans="1:24" ht="13.5" customHeight="1" x14ac:dyDescent="0.15">
      <c r="A151" s="25" t="s">
        <v>1112</v>
      </c>
      <c r="B151" s="25" t="s">
        <v>486</v>
      </c>
      <c r="C151" s="25" t="s">
        <v>487</v>
      </c>
      <c r="D151" s="25" t="s">
        <v>488</v>
      </c>
      <c r="E151" s="26" t="s">
        <v>45</v>
      </c>
      <c r="F151" s="27" t="s">
        <v>45</v>
      </c>
      <c r="G151" s="28" t="s">
        <v>45</v>
      </c>
      <c r="H151" s="29"/>
      <c r="I151" s="29" t="s">
        <v>46</v>
      </c>
      <c r="J151" s="30">
        <v>10</v>
      </c>
      <c r="K151" s="31">
        <f>3025</f>
        <v>3025</v>
      </c>
      <c r="L151" s="32" t="s">
        <v>996</v>
      </c>
      <c r="M151" s="31">
        <f>3256</f>
        <v>3256</v>
      </c>
      <c r="N151" s="32" t="s">
        <v>80</v>
      </c>
      <c r="O151" s="31">
        <f>2971.5</f>
        <v>2971.5</v>
      </c>
      <c r="P151" s="32" t="s">
        <v>787</v>
      </c>
      <c r="Q151" s="31">
        <f>3160</f>
        <v>3160</v>
      </c>
      <c r="R151" s="32" t="s">
        <v>791</v>
      </c>
      <c r="S151" s="33">
        <f>3127.15</f>
        <v>3127.15</v>
      </c>
      <c r="T151" s="30">
        <f>16940</f>
        <v>16940</v>
      </c>
      <c r="U151" s="30" t="str">
        <f>"－"</f>
        <v>－</v>
      </c>
      <c r="V151" s="30">
        <f>52983785</f>
        <v>52983785</v>
      </c>
      <c r="W151" s="30" t="str">
        <f>"－"</f>
        <v>－</v>
      </c>
      <c r="X151" s="34">
        <f>20</f>
        <v>20</v>
      </c>
    </row>
    <row r="152" spans="1:24" ht="13.5" customHeight="1" x14ac:dyDescent="0.15">
      <c r="A152" s="25" t="s">
        <v>1112</v>
      </c>
      <c r="B152" s="25" t="s">
        <v>489</v>
      </c>
      <c r="C152" s="25" t="s">
        <v>490</v>
      </c>
      <c r="D152" s="25" t="s">
        <v>491</v>
      </c>
      <c r="E152" s="26" t="s">
        <v>45</v>
      </c>
      <c r="F152" s="27" t="s">
        <v>45</v>
      </c>
      <c r="G152" s="28" t="s">
        <v>45</v>
      </c>
      <c r="H152" s="29"/>
      <c r="I152" s="29" t="s">
        <v>46</v>
      </c>
      <c r="J152" s="30">
        <v>1</v>
      </c>
      <c r="K152" s="31">
        <f>13175</f>
        <v>13175</v>
      </c>
      <c r="L152" s="32" t="s">
        <v>996</v>
      </c>
      <c r="M152" s="31">
        <f>13300</f>
        <v>13300</v>
      </c>
      <c r="N152" s="32" t="s">
        <v>78</v>
      </c>
      <c r="O152" s="31">
        <f>12050</f>
        <v>12050</v>
      </c>
      <c r="P152" s="32" t="s">
        <v>997</v>
      </c>
      <c r="Q152" s="31">
        <f>12175</f>
        <v>12175</v>
      </c>
      <c r="R152" s="32" t="s">
        <v>791</v>
      </c>
      <c r="S152" s="33">
        <f>12590.25</f>
        <v>12590.25</v>
      </c>
      <c r="T152" s="30">
        <f>2334</f>
        <v>2334</v>
      </c>
      <c r="U152" s="30" t="str">
        <f>"－"</f>
        <v>－</v>
      </c>
      <c r="V152" s="30">
        <f>29156630</f>
        <v>29156630</v>
      </c>
      <c r="W152" s="30" t="str">
        <f>"－"</f>
        <v>－</v>
      </c>
      <c r="X152" s="34">
        <f>20</f>
        <v>20</v>
      </c>
    </row>
    <row r="153" spans="1:24" ht="13.5" customHeight="1" x14ac:dyDescent="0.15">
      <c r="A153" s="25" t="s">
        <v>1112</v>
      </c>
      <c r="B153" s="25" t="s">
        <v>492</v>
      </c>
      <c r="C153" s="25" t="s">
        <v>493</v>
      </c>
      <c r="D153" s="25" t="s">
        <v>494</v>
      </c>
      <c r="E153" s="26" t="s">
        <v>45</v>
      </c>
      <c r="F153" s="27" t="s">
        <v>45</v>
      </c>
      <c r="G153" s="28" t="s">
        <v>45</v>
      </c>
      <c r="H153" s="29"/>
      <c r="I153" s="29" t="s">
        <v>46</v>
      </c>
      <c r="J153" s="30">
        <v>1</v>
      </c>
      <c r="K153" s="31">
        <f>17575</f>
        <v>17575</v>
      </c>
      <c r="L153" s="32" t="s">
        <v>996</v>
      </c>
      <c r="M153" s="31">
        <f>17650</f>
        <v>17650</v>
      </c>
      <c r="N153" s="32" t="s">
        <v>996</v>
      </c>
      <c r="O153" s="31">
        <f>15970</f>
        <v>15970</v>
      </c>
      <c r="P153" s="32" t="s">
        <v>997</v>
      </c>
      <c r="Q153" s="31">
        <f>16260</f>
        <v>16260</v>
      </c>
      <c r="R153" s="32" t="s">
        <v>791</v>
      </c>
      <c r="S153" s="33">
        <f>16953.25</f>
        <v>16953.25</v>
      </c>
      <c r="T153" s="30">
        <f>1925</f>
        <v>1925</v>
      </c>
      <c r="U153" s="30" t="str">
        <f>"－"</f>
        <v>－</v>
      </c>
      <c r="V153" s="30">
        <f>32146135</f>
        <v>32146135</v>
      </c>
      <c r="W153" s="30" t="str">
        <f>"－"</f>
        <v>－</v>
      </c>
      <c r="X153" s="34">
        <f>20</f>
        <v>20</v>
      </c>
    </row>
    <row r="154" spans="1:24" ht="13.5" customHeight="1" x14ac:dyDescent="0.15">
      <c r="A154" s="25" t="s">
        <v>1112</v>
      </c>
      <c r="B154" s="25" t="s">
        <v>495</v>
      </c>
      <c r="C154" s="25" t="s">
        <v>496</v>
      </c>
      <c r="D154" s="25" t="s">
        <v>497</v>
      </c>
      <c r="E154" s="26" t="s">
        <v>45</v>
      </c>
      <c r="F154" s="27" t="s">
        <v>45</v>
      </c>
      <c r="G154" s="28" t="s">
        <v>45</v>
      </c>
      <c r="H154" s="29"/>
      <c r="I154" s="29" t="s">
        <v>46</v>
      </c>
      <c r="J154" s="30">
        <v>1</v>
      </c>
      <c r="K154" s="31">
        <f>18350</f>
        <v>18350</v>
      </c>
      <c r="L154" s="32" t="s">
        <v>78</v>
      </c>
      <c r="M154" s="31">
        <f>18805</f>
        <v>18805</v>
      </c>
      <c r="N154" s="32" t="s">
        <v>786</v>
      </c>
      <c r="O154" s="31">
        <f>18350</f>
        <v>18350</v>
      </c>
      <c r="P154" s="32" t="s">
        <v>78</v>
      </c>
      <c r="Q154" s="31">
        <f>18745</f>
        <v>18745</v>
      </c>
      <c r="R154" s="32" t="s">
        <v>255</v>
      </c>
      <c r="S154" s="33">
        <f>18695</f>
        <v>18695</v>
      </c>
      <c r="T154" s="30">
        <f>76</f>
        <v>76</v>
      </c>
      <c r="U154" s="30" t="str">
        <f>"－"</f>
        <v>－</v>
      </c>
      <c r="V154" s="30">
        <f>1409945</f>
        <v>1409945</v>
      </c>
      <c r="W154" s="30" t="str">
        <f>"－"</f>
        <v>－</v>
      </c>
      <c r="X154" s="34">
        <f>7</f>
        <v>7</v>
      </c>
    </row>
    <row r="155" spans="1:24" ht="13.5" customHeight="1" x14ac:dyDescent="0.15">
      <c r="A155" s="25" t="s">
        <v>1112</v>
      </c>
      <c r="B155" s="25" t="s">
        <v>498</v>
      </c>
      <c r="C155" s="25" t="s">
        <v>499</v>
      </c>
      <c r="D155" s="25" t="s">
        <v>500</v>
      </c>
      <c r="E155" s="26" t="s">
        <v>45</v>
      </c>
      <c r="F155" s="27" t="s">
        <v>45</v>
      </c>
      <c r="G155" s="28" t="s">
        <v>45</v>
      </c>
      <c r="H155" s="29"/>
      <c r="I155" s="29" t="s">
        <v>46</v>
      </c>
      <c r="J155" s="30">
        <v>10</v>
      </c>
      <c r="K155" s="31">
        <f>52900</f>
        <v>52900</v>
      </c>
      <c r="L155" s="32" t="s">
        <v>996</v>
      </c>
      <c r="M155" s="31">
        <f>53050</f>
        <v>53050</v>
      </c>
      <c r="N155" s="32" t="s">
        <v>996</v>
      </c>
      <c r="O155" s="31">
        <f>50580</f>
        <v>50580</v>
      </c>
      <c r="P155" s="32" t="s">
        <v>997</v>
      </c>
      <c r="Q155" s="31">
        <f>52050</f>
        <v>52050</v>
      </c>
      <c r="R155" s="32" t="s">
        <v>791</v>
      </c>
      <c r="S155" s="33">
        <f>51911.5</f>
        <v>51911.5</v>
      </c>
      <c r="T155" s="30">
        <f>12330</f>
        <v>12330</v>
      </c>
      <c r="U155" s="30">
        <f>9710</f>
        <v>9710</v>
      </c>
      <c r="V155" s="30">
        <f>642588205</f>
        <v>642588205</v>
      </c>
      <c r="W155" s="30">
        <f>507144405</f>
        <v>507144405</v>
      </c>
      <c r="X155" s="34">
        <f>20</f>
        <v>20</v>
      </c>
    </row>
    <row r="156" spans="1:24" ht="13.5" customHeight="1" x14ac:dyDescent="0.15">
      <c r="A156" s="25" t="s">
        <v>1112</v>
      </c>
      <c r="B156" s="25" t="s">
        <v>501</v>
      </c>
      <c r="C156" s="25" t="s">
        <v>1121</v>
      </c>
      <c r="D156" s="25" t="s">
        <v>503</v>
      </c>
      <c r="E156" s="26" t="s">
        <v>45</v>
      </c>
      <c r="F156" s="27" t="s">
        <v>45</v>
      </c>
      <c r="G156" s="28" t="s">
        <v>45</v>
      </c>
      <c r="H156" s="29"/>
      <c r="I156" s="29" t="s">
        <v>46</v>
      </c>
      <c r="J156" s="30">
        <v>100</v>
      </c>
      <c r="K156" s="31">
        <f>310</f>
        <v>310</v>
      </c>
      <c r="L156" s="32" t="s">
        <v>996</v>
      </c>
      <c r="M156" s="31">
        <f>331.7</f>
        <v>331.7</v>
      </c>
      <c r="N156" s="32" t="s">
        <v>785</v>
      </c>
      <c r="O156" s="31">
        <f>288</f>
        <v>288</v>
      </c>
      <c r="P156" s="32" t="s">
        <v>875</v>
      </c>
      <c r="Q156" s="31">
        <f>303.5</f>
        <v>303.5</v>
      </c>
      <c r="R156" s="32" t="s">
        <v>791</v>
      </c>
      <c r="S156" s="33">
        <f>301.64</f>
        <v>301.64</v>
      </c>
      <c r="T156" s="30">
        <f>66183800</f>
        <v>66183800</v>
      </c>
      <c r="U156" s="30">
        <f>847900</f>
        <v>847900</v>
      </c>
      <c r="V156" s="30">
        <f>20189802185</f>
        <v>20189802185</v>
      </c>
      <c r="W156" s="30">
        <f>254376945</f>
        <v>254376945</v>
      </c>
      <c r="X156" s="34">
        <f>20</f>
        <v>20</v>
      </c>
    </row>
    <row r="157" spans="1:24" ht="13.5" customHeight="1" x14ac:dyDescent="0.15">
      <c r="A157" s="25" t="s">
        <v>1112</v>
      </c>
      <c r="B157" s="25" t="s">
        <v>504</v>
      </c>
      <c r="C157" s="25" t="s">
        <v>1122</v>
      </c>
      <c r="D157" s="25" t="s">
        <v>506</v>
      </c>
      <c r="E157" s="26" t="s">
        <v>45</v>
      </c>
      <c r="F157" s="27" t="s">
        <v>45</v>
      </c>
      <c r="G157" s="28" t="s">
        <v>45</v>
      </c>
      <c r="H157" s="29"/>
      <c r="I157" s="29" t="s">
        <v>46</v>
      </c>
      <c r="J157" s="30">
        <v>10</v>
      </c>
      <c r="K157" s="31">
        <f>42310</f>
        <v>42310</v>
      </c>
      <c r="L157" s="32" t="s">
        <v>996</v>
      </c>
      <c r="M157" s="31">
        <f>42730</f>
        <v>42730</v>
      </c>
      <c r="N157" s="32" t="s">
        <v>791</v>
      </c>
      <c r="O157" s="31">
        <f>40140</f>
        <v>40140</v>
      </c>
      <c r="P157" s="32" t="s">
        <v>1005</v>
      </c>
      <c r="Q157" s="31">
        <f>42730</f>
        <v>42730</v>
      </c>
      <c r="R157" s="32" t="s">
        <v>791</v>
      </c>
      <c r="S157" s="33">
        <f>41712.22</f>
        <v>41712.22</v>
      </c>
      <c r="T157" s="30">
        <f>3290</f>
        <v>3290</v>
      </c>
      <c r="U157" s="30" t="str">
        <f t="shared" ref="U157:U174" si="2">"－"</f>
        <v>－</v>
      </c>
      <c r="V157" s="30">
        <f>137572100</f>
        <v>137572100</v>
      </c>
      <c r="W157" s="30" t="str">
        <f t="shared" ref="W157:W174" si="3">"－"</f>
        <v>－</v>
      </c>
      <c r="X157" s="34">
        <f>18</f>
        <v>18</v>
      </c>
    </row>
    <row r="158" spans="1:24" ht="13.5" customHeight="1" x14ac:dyDescent="0.15">
      <c r="A158" s="25" t="s">
        <v>1112</v>
      </c>
      <c r="B158" s="25" t="s">
        <v>507</v>
      </c>
      <c r="C158" s="25" t="s">
        <v>508</v>
      </c>
      <c r="D158" s="25" t="s">
        <v>1123</v>
      </c>
      <c r="E158" s="26" t="s">
        <v>45</v>
      </c>
      <c r="F158" s="27" t="s">
        <v>45</v>
      </c>
      <c r="G158" s="28" t="s">
        <v>45</v>
      </c>
      <c r="H158" s="29"/>
      <c r="I158" s="29" t="s">
        <v>46</v>
      </c>
      <c r="J158" s="30">
        <v>10</v>
      </c>
      <c r="K158" s="31">
        <f>4539</f>
        <v>4539</v>
      </c>
      <c r="L158" s="32" t="s">
        <v>996</v>
      </c>
      <c r="M158" s="31">
        <f>4600</f>
        <v>4600</v>
      </c>
      <c r="N158" s="32" t="s">
        <v>791</v>
      </c>
      <c r="O158" s="31">
        <f>4378</f>
        <v>4378</v>
      </c>
      <c r="P158" s="32" t="s">
        <v>787</v>
      </c>
      <c r="Q158" s="31">
        <f>4600</f>
        <v>4600</v>
      </c>
      <c r="R158" s="32" t="s">
        <v>791</v>
      </c>
      <c r="S158" s="33">
        <f>4494.35</f>
        <v>4494.3500000000004</v>
      </c>
      <c r="T158" s="30">
        <f>56560</f>
        <v>56560</v>
      </c>
      <c r="U158" s="30" t="str">
        <f t="shared" si="2"/>
        <v>－</v>
      </c>
      <c r="V158" s="30">
        <f>254592290</f>
        <v>254592290</v>
      </c>
      <c r="W158" s="30" t="str">
        <f t="shared" si="3"/>
        <v>－</v>
      </c>
      <c r="X158" s="34">
        <f>20</f>
        <v>20</v>
      </c>
    </row>
    <row r="159" spans="1:24" ht="13.5" customHeight="1" x14ac:dyDescent="0.15">
      <c r="A159" s="25" t="s">
        <v>1112</v>
      </c>
      <c r="B159" s="25" t="s">
        <v>510</v>
      </c>
      <c r="C159" s="25" t="s">
        <v>1124</v>
      </c>
      <c r="D159" s="25" t="s">
        <v>1125</v>
      </c>
      <c r="E159" s="26" t="s">
        <v>45</v>
      </c>
      <c r="F159" s="27" t="s">
        <v>45</v>
      </c>
      <c r="G159" s="28" t="s">
        <v>45</v>
      </c>
      <c r="H159" s="29"/>
      <c r="I159" s="29" t="s">
        <v>46</v>
      </c>
      <c r="J159" s="30">
        <v>10</v>
      </c>
      <c r="K159" s="31">
        <f>1816</f>
        <v>1816</v>
      </c>
      <c r="L159" s="32" t="s">
        <v>996</v>
      </c>
      <c r="M159" s="31">
        <f>1889</f>
        <v>1889</v>
      </c>
      <c r="N159" s="32" t="s">
        <v>791</v>
      </c>
      <c r="O159" s="31">
        <f>1760</f>
        <v>1760</v>
      </c>
      <c r="P159" s="32" t="s">
        <v>787</v>
      </c>
      <c r="Q159" s="31">
        <f>1881</f>
        <v>1881</v>
      </c>
      <c r="R159" s="32" t="s">
        <v>791</v>
      </c>
      <c r="S159" s="33">
        <f>1811.55</f>
        <v>1811.55</v>
      </c>
      <c r="T159" s="30">
        <f>141920</f>
        <v>141920</v>
      </c>
      <c r="U159" s="30" t="str">
        <f t="shared" si="2"/>
        <v>－</v>
      </c>
      <c r="V159" s="30">
        <f>259961420</f>
        <v>259961420</v>
      </c>
      <c r="W159" s="30" t="str">
        <f t="shared" si="3"/>
        <v>－</v>
      </c>
      <c r="X159" s="34">
        <f>20</f>
        <v>20</v>
      </c>
    </row>
    <row r="160" spans="1:24" ht="13.5" customHeight="1" x14ac:dyDescent="0.15">
      <c r="A160" s="25" t="s">
        <v>1112</v>
      </c>
      <c r="B160" s="25" t="s">
        <v>513</v>
      </c>
      <c r="C160" s="25" t="s">
        <v>514</v>
      </c>
      <c r="D160" s="25" t="s">
        <v>515</v>
      </c>
      <c r="E160" s="26" t="s">
        <v>45</v>
      </c>
      <c r="F160" s="27" t="s">
        <v>45</v>
      </c>
      <c r="G160" s="28" t="s">
        <v>45</v>
      </c>
      <c r="H160" s="29"/>
      <c r="I160" s="29" t="s">
        <v>46</v>
      </c>
      <c r="J160" s="30">
        <v>100</v>
      </c>
      <c r="K160" s="31">
        <f>225</f>
        <v>225</v>
      </c>
      <c r="L160" s="32" t="s">
        <v>996</v>
      </c>
      <c r="M160" s="31">
        <f>236.3</f>
        <v>236.3</v>
      </c>
      <c r="N160" s="32" t="s">
        <v>790</v>
      </c>
      <c r="O160" s="31">
        <f>224.1</f>
        <v>224.1</v>
      </c>
      <c r="P160" s="32" t="s">
        <v>996</v>
      </c>
      <c r="Q160" s="31">
        <f>227.5</f>
        <v>227.5</v>
      </c>
      <c r="R160" s="32" t="s">
        <v>791</v>
      </c>
      <c r="S160" s="33">
        <f>229.16</f>
        <v>229.16</v>
      </c>
      <c r="T160" s="30">
        <f>99300</f>
        <v>99300</v>
      </c>
      <c r="U160" s="30" t="str">
        <f t="shared" si="2"/>
        <v>－</v>
      </c>
      <c r="V160" s="30">
        <f>22726800</f>
        <v>22726800</v>
      </c>
      <c r="W160" s="30" t="str">
        <f t="shared" si="3"/>
        <v>－</v>
      </c>
      <c r="X160" s="34">
        <f>19</f>
        <v>19</v>
      </c>
    </row>
    <row r="161" spans="1:24" ht="13.5" customHeight="1" x14ac:dyDescent="0.15">
      <c r="A161" s="25" t="s">
        <v>1112</v>
      </c>
      <c r="B161" s="25" t="s">
        <v>516</v>
      </c>
      <c r="C161" s="25" t="s">
        <v>517</v>
      </c>
      <c r="D161" s="25" t="s">
        <v>518</v>
      </c>
      <c r="E161" s="26" t="s">
        <v>45</v>
      </c>
      <c r="F161" s="27" t="s">
        <v>45</v>
      </c>
      <c r="G161" s="28" t="s">
        <v>45</v>
      </c>
      <c r="H161" s="29"/>
      <c r="I161" s="29" t="s">
        <v>46</v>
      </c>
      <c r="J161" s="30">
        <v>10</v>
      </c>
      <c r="K161" s="31">
        <f>1545.5</f>
        <v>1545.5</v>
      </c>
      <c r="L161" s="32" t="s">
        <v>996</v>
      </c>
      <c r="M161" s="31">
        <f>1643</f>
        <v>1643</v>
      </c>
      <c r="N161" s="32" t="s">
        <v>786</v>
      </c>
      <c r="O161" s="31">
        <f>1490.5</f>
        <v>1490.5</v>
      </c>
      <c r="P161" s="32" t="s">
        <v>1005</v>
      </c>
      <c r="Q161" s="31">
        <f>1597.5</f>
        <v>1597.5</v>
      </c>
      <c r="R161" s="32" t="s">
        <v>791</v>
      </c>
      <c r="S161" s="33">
        <f>1556.97</f>
        <v>1556.97</v>
      </c>
      <c r="T161" s="30">
        <f>6220</f>
        <v>6220</v>
      </c>
      <c r="U161" s="30" t="str">
        <f t="shared" si="2"/>
        <v>－</v>
      </c>
      <c r="V161" s="30">
        <f>9776795</f>
        <v>9776795</v>
      </c>
      <c r="W161" s="30" t="str">
        <f t="shared" si="3"/>
        <v>－</v>
      </c>
      <c r="X161" s="34">
        <f>17</f>
        <v>17</v>
      </c>
    </row>
    <row r="162" spans="1:24" ht="13.5" customHeight="1" x14ac:dyDescent="0.15">
      <c r="A162" s="25" t="s">
        <v>1112</v>
      </c>
      <c r="B162" s="25" t="s">
        <v>519</v>
      </c>
      <c r="C162" s="25" t="s">
        <v>520</v>
      </c>
      <c r="D162" s="25" t="s">
        <v>521</v>
      </c>
      <c r="E162" s="26" t="s">
        <v>45</v>
      </c>
      <c r="F162" s="27" t="s">
        <v>45</v>
      </c>
      <c r="G162" s="28" t="s">
        <v>45</v>
      </c>
      <c r="H162" s="29"/>
      <c r="I162" s="29" t="s">
        <v>46</v>
      </c>
      <c r="J162" s="30">
        <v>10</v>
      </c>
      <c r="K162" s="31">
        <f>508.1</f>
        <v>508.1</v>
      </c>
      <c r="L162" s="32" t="s">
        <v>996</v>
      </c>
      <c r="M162" s="31">
        <f>562</f>
        <v>562</v>
      </c>
      <c r="N162" s="32" t="s">
        <v>791</v>
      </c>
      <c r="O162" s="31">
        <f>502.8</f>
        <v>502.8</v>
      </c>
      <c r="P162" s="32" t="s">
        <v>788</v>
      </c>
      <c r="Q162" s="31">
        <f>562</f>
        <v>562</v>
      </c>
      <c r="R162" s="32" t="s">
        <v>791</v>
      </c>
      <c r="S162" s="33">
        <f>525.15</f>
        <v>525.15</v>
      </c>
      <c r="T162" s="30">
        <f>88580</f>
        <v>88580</v>
      </c>
      <c r="U162" s="30" t="str">
        <f t="shared" si="2"/>
        <v>－</v>
      </c>
      <c r="V162" s="30">
        <f>47216625</f>
        <v>47216625</v>
      </c>
      <c r="W162" s="30" t="str">
        <f t="shared" si="3"/>
        <v>－</v>
      </c>
      <c r="X162" s="34">
        <f>20</f>
        <v>20</v>
      </c>
    </row>
    <row r="163" spans="1:24" ht="13.5" customHeight="1" x14ac:dyDescent="0.15">
      <c r="A163" s="25" t="s">
        <v>1112</v>
      </c>
      <c r="B163" s="25" t="s">
        <v>522</v>
      </c>
      <c r="C163" s="25" t="s">
        <v>523</v>
      </c>
      <c r="D163" s="25" t="s">
        <v>524</v>
      </c>
      <c r="E163" s="26" t="s">
        <v>45</v>
      </c>
      <c r="F163" s="27" t="s">
        <v>45</v>
      </c>
      <c r="G163" s="28" t="s">
        <v>45</v>
      </c>
      <c r="H163" s="29"/>
      <c r="I163" s="29" t="s">
        <v>46</v>
      </c>
      <c r="J163" s="30">
        <v>10</v>
      </c>
      <c r="K163" s="31">
        <f>2063</f>
        <v>2063</v>
      </c>
      <c r="L163" s="32" t="s">
        <v>996</v>
      </c>
      <c r="M163" s="31">
        <f>2089</f>
        <v>2089</v>
      </c>
      <c r="N163" s="32" t="s">
        <v>791</v>
      </c>
      <c r="O163" s="31">
        <f>1966</f>
        <v>1966</v>
      </c>
      <c r="P163" s="32" t="s">
        <v>787</v>
      </c>
      <c r="Q163" s="31">
        <f>2081.5</f>
        <v>2081.5</v>
      </c>
      <c r="R163" s="32" t="s">
        <v>791</v>
      </c>
      <c r="S163" s="33">
        <f>2019.58</f>
        <v>2019.58</v>
      </c>
      <c r="T163" s="30">
        <f>5900</f>
        <v>5900</v>
      </c>
      <c r="U163" s="30" t="str">
        <f t="shared" si="2"/>
        <v>－</v>
      </c>
      <c r="V163" s="30">
        <f>11977300</f>
        <v>11977300</v>
      </c>
      <c r="W163" s="30" t="str">
        <f t="shared" si="3"/>
        <v>－</v>
      </c>
      <c r="X163" s="34">
        <f>18</f>
        <v>18</v>
      </c>
    </row>
    <row r="164" spans="1:24" ht="13.5" customHeight="1" x14ac:dyDescent="0.15">
      <c r="A164" s="25" t="s">
        <v>1112</v>
      </c>
      <c r="B164" s="25" t="s">
        <v>525</v>
      </c>
      <c r="C164" s="25" t="s">
        <v>526</v>
      </c>
      <c r="D164" s="25" t="s">
        <v>527</v>
      </c>
      <c r="E164" s="26" t="s">
        <v>45</v>
      </c>
      <c r="F164" s="27" t="s">
        <v>45</v>
      </c>
      <c r="G164" s="28" t="s">
        <v>45</v>
      </c>
      <c r="H164" s="29"/>
      <c r="I164" s="29" t="s">
        <v>46</v>
      </c>
      <c r="J164" s="30">
        <v>10</v>
      </c>
      <c r="K164" s="31">
        <f>953.9</f>
        <v>953.9</v>
      </c>
      <c r="L164" s="32" t="s">
        <v>996</v>
      </c>
      <c r="M164" s="31">
        <f>1027</f>
        <v>1027</v>
      </c>
      <c r="N164" s="32" t="s">
        <v>789</v>
      </c>
      <c r="O164" s="31">
        <f>908.9</f>
        <v>908.9</v>
      </c>
      <c r="P164" s="32" t="s">
        <v>56</v>
      </c>
      <c r="Q164" s="31">
        <f>979.6</f>
        <v>979.6</v>
      </c>
      <c r="R164" s="32" t="s">
        <v>791</v>
      </c>
      <c r="S164" s="33">
        <f>965.81</f>
        <v>965.81</v>
      </c>
      <c r="T164" s="30">
        <f>81050</f>
        <v>81050</v>
      </c>
      <c r="U164" s="30" t="str">
        <f t="shared" si="2"/>
        <v>－</v>
      </c>
      <c r="V164" s="30">
        <f>78733277</f>
        <v>78733277</v>
      </c>
      <c r="W164" s="30" t="str">
        <f t="shared" si="3"/>
        <v>－</v>
      </c>
      <c r="X164" s="34">
        <f>20</f>
        <v>20</v>
      </c>
    </row>
    <row r="165" spans="1:24" ht="13.5" customHeight="1" x14ac:dyDescent="0.15">
      <c r="A165" s="25" t="s">
        <v>1112</v>
      </c>
      <c r="B165" s="25" t="s">
        <v>528</v>
      </c>
      <c r="C165" s="25" t="s">
        <v>529</v>
      </c>
      <c r="D165" s="25" t="s">
        <v>530</v>
      </c>
      <c r="E165" s="26" t="s">
        <v>45</v>
      </c>
      <c r="F165" s="27" t="s">
        <v>45</v>
      </c>
      <c r="G165" s="28" t="s">
        <v>45</v>
      </c>
      <c r="H165" s="29"/>
      <c r="I165" s="29" t="s">
        <v>46</v>
      </c>
      <c r="J165" s="30">
        <v>10</v>
      </c>
      <c r="K165" s="31">
        <f>664.6</f>
        <v>664.6</v>
      </c>
      <c r="L165" s="32" t="s">
        <v>996</v>
      </c>
      <c r="M165" s="31">
        <f>728.9</f>
        <v>728.9</v>
      </c>
      <c r="N165" s="32" t="s">
        <v>789</v>
      </c>
      <c r="O165" s="31">
        <f>621.8</f>
        <v>621.79999999999995</v>
      </c>
      <c r="P165" s="32" t="s">
        <v>56</v>
      </c>
      <c r="Q165" s="31">
        <f>675.1</f>
        <v>675.1</v>
      </c>
      <c r="R165" s="32" t="s">
        <v>791</v>
      </c>
      <c r="S165" s="33">
        <f>672.96</f>
        <v>672.96</v>
      </c>
      <c r="T165" s="30">
        <f>355110</f>
        <v>355110</v>
      </c>
      <c r="U165" s="30" t="str">
        <f t="shared" si="2"/>
        <v>－</v>
      </c>
      <c r="V165" s="30">
        <f>242777109</f>
        <v>242777109</v>
      </c>
      <c r="W165" s="30" t="str">
        <f t="shared" si="3"/>
        <v>－</v>
      </c>
      <c r="X165" s="34">
        <f>20</f>
        <v>20</v>
      </c>
    </row>
    <row r="166" spans="1:24" ht="13.5" customHeight="1" x14ac:dyDescent="0.15">
      <c r="A166" s="25" t="s">
        <v>1112</v>
      </c>
      <c r="B166" s="25" t="s">
        <v>531</v>
      </c>
      <c r="C166" s="25" t="s">
        <v>532</v>
      </c>
      <c r="D166" s="25" t="s">
        <v>533</v>
      </c>
      <c r="E166" s="26" t="s">
        <v>45</v>
      </c>
      <c r="F166" s="27" t="s">
        <v>45</v>
      </c>
      <c r="G166" s="28" t="s">
        <v>45</v>
      </c>
      <c r="H166" s="29"/>
      <c r="I166" s="29" t="s">
        <v>46</v>
      </c>
      <c r="J166" s="30">
        <v>100</v>
      </c>
      <c r="K166" s="31">
        <f>1.3</f>
        <v>1.3</v>
      </c>
      <c r="L166" s="32" t="s">
        <v>996</v>
      </c>
      <c r="M166" s="31">
        <f>1.3</f>
        <v>1.3</v>
      </c>
      <c r="N166" s="32" t="s">
        <v>996</v>
      </c>
      <c r="O166" s="31">
        <f>1.1</f>
        <v>1.1000000000000001</v>
      </c>
      <c r="P166" s="32" t="s">
        <v>875</v>
      </c>
      <c r="Q166" s="31">
        <f>1.2</f>
        <v>1.2</v>
      </c>
      <c r="R166" s="32" t="s">
        <v>791</v>
      </c>
      <c r="S166" s="33">
        <f>1.22</f>
        <v>1.22</v>
      </c>
      <c r="T166" s="30">
        <f>1300979900</f>
        <v>1300979900</v>
      </c>
      <c r="U166" s="30" t="str">
        <f t="shared" si="2"/>
        <v>－</v>
      </c>
      <c r="V166" s="30">
        <f>1571718670</f>
        <v>1571718670</v>
      </c>
      <c r="W166" s="30" t="str">
        <f t="shared" si="3"/>
        <v>－</v>
      </c>
      <c r="X166" s="34">
        <f>20</f>
        <v>20</v>
      </c>
    </row>
    <row r="167" spans="1:24" ht="13.5" customHeight="1" x14ac:dyDescent="0.15">
      <c r="A167" s="25" t="s">
        <v>1112</v>
      </c>
      <c r="B167" s="25" t="s">
        <v>534</v>
      </c>
      <c r="C167" s="25" t="s">
        <v>535</v>
      </c>
      <c r="D167" s="25" t="s">
        <v>536</v>
      </c>
      <c r="E167" s="26" t="s">
        <v>45</v>
      </c>
      <c r="F167" s="27" t="s">
        <v>45</v>
      </c>
      <c r="G167" s="28" t="s">
        <v>45</v>
      </c>
      <c r="H167" s="29"/>
      <c r="I167" s="29" t="s">
        <v>46</v>
      </c>
      <c r="J167" s="30">
        <v>10</v>
      </c>
      <c r="K167" s="31">
        <f>1201</f>
        <v>1201</v>
      </c>
      <c r="L167" s="32" t="s">
        <v>996</v>
      </c>
      <c r="M167" s="31">
        <f>1343</f>
        <v>1343</v>
      </c>
      <c r="N167" s="32" t="s">
        <v>791</v>
      </c>
      <c r="O167" s="31">
        <f>1195.5</f>
        <v>1195.5</v>
      </c>
      <c r="P167" s="32" t="s">
        <v>785</v>
      </c>
      <c r="Q167" s="31">
        <f>1341</f>
        <v>1341</v>
      </c>
      <c r="R167" s="32" t="s">
        <v>791</v>
      </c>
      <c r="S167" s="33">
        <f>1253.7</f>
        <v>1253.7</v>
      </c>
      <c r="T167" s="30">
        <f>66990</f>
        <v>66990</v>
      </c>
      <c r="U167" s="30" t="str">
        <f t="shared" si="2"/>
        <v>－</v>
      </c>
      <c r="V167" s="30">
        <f>85303870</f>
        <v>85303870</v>
      </c>
      <c r="W167" s="30" t="str">
        <f t="shared" si="3"/>
        <v>－</v>
      </c>
      <c r="X167" s="34">
        <f>20</f>
        <v>20</v>
      </c>
    </row>
    <row r="168" spans="1:24" ht="13.5" customHeight="1" x14ac:dyDescent="0.15">
      <c r="A168" s="25" t="s">
        <v>1112</v>
      </c>
      <c r="B168" s="25" t="s">
        <v>537</v>
      </c>
      <c r="C168" s="25" t="s">
        <v>538</v>
      </c>
      <c r="D168" s="25" t="s">
        <v>539</v>
      </c>
      <c r="E168" s="26" t="s">
        <v>45</v>
      </c>
      <c r="F168" s="27" t="s">
        <v>45</v>
      </c>
      <c r="G168" s="28" t="s">
        <v>45</v>
      </c>
      <c r="H168" s="29"/>
      <c r="I168" s="29" t="s">
        <v>46</v>
      </c>
      <c r="J168" s="30">
        <v>1</v>
      </c>
      <c r="K168" s="31">
        <f>6891</f>
        <v>6891</v>
      </c>
      <c r="L168" s="32" t="s">
        <v>996</v>
      </c>
      <c r="M168" s="31">
        <f>8078</f>
        <v>8078</v>
      </c>
      <c r="N168" s="32" t="s">
        <v>791</v>
      </c>
      <c r="O168" s="31">
        <f>6891</f>
        <v>6891</v>
      </c>
      <c r="P168" s="32" t="s">
        <v>996</v>
      </c>
      <c r="Q168" s="31">
        <f>8077</f>
        <v>8077</v>
      </c>
      <c r="R168" s="32" t="s">
        <v>791</v>
      </c>
      <c r="S168" s="33">
        <f>7499.79</f>
        <v>7499.79</v>
      </c>
      <c r="T168" s="30">
        <f>943</f>
        <v>943</v>
      </c>
      <c r="U168" s="30" t="str">
        <f t="shared" si="2"/>
        <v>－</v>
      </c>
      <c r="V168" s="30">
        <f>7235310</f>
        <v>7235310</v>
      </c>
      <c r="W168" s="30" t="str">
        <f t="shared" si="3"/>
        <v>－</v>
      </c>
      <c r="X168" s="34">
        <f>14</f>
        <v>14</v>
      </c>
    </row>
    <row r="169" spans="1:24" ht="13.5" customHeight="1" x14ac:dyDescent="0.15">
      <c r="A169" s="25" t="s">
        <v>1112</v>
      </c>
      <c r="B169" s="25" t="s">
        <v>540</v>
      </c>
      <c r="C169" s="25" t="s">
        <v>541</v>
      </c>
      <c r="D169" s="25" t="s">
        <v>542</v>
      </c>
      <c r="E169" s="26" t="s">
        <v>45</v>
      </c>
      <c r="F169" s="27" t="s">
        <v>45</v>
      </c>
      <c r="G169" s="28" t="s">
        <v>45</v>
      </c>
      <c r="H169" s="29"/>
      <c r="I169" s="29" t="s">
        <v>46</v>
      </c>
      <c r="J169" s="30">
        <v>100</v>
      </c>
      <c r="K169" s="31">
        <f>419.7</f>
        <v>419.7</v>
      </c>
      <c r="L169" s="32" t="s">
        <v>996</v>
      </c>
      <c r="M169" s="31">
        <f>426</f>
        <v>426</v>
      </c>
      <c r="N169" s="32" t="s">
        <v>794</v>
      </c>
      <c r="O169" s="31">
        <f>407.5</f>
        <v>407.5</v>
      </c>
      <c r="P169" s="32" t="s">
        <v>787</v>
      </c>
      <c r="Q169" s="31">
        <f>424</f>
        <v>424</v>
      </c>
      <c r="R169" s="32" t="s">
        <v>791</v>
      </c>
      <c r="S169" s="33">
        <f>417.88</f>
        <v>417.88</v>
      </c>
      <c r="T169" s="30">
        <f>77400</f>
        <v>77400</v>
      </c>
      <c r="U169" s="30" t="str">
        <f t="shared" si="2"/>
        <v>－</v>
      </c>
      <c r="V169" s="30">
        <f>32209930</f>
        <v>32209930</v>
      </c>
      <c r="W169" s="30" t="str">
        <f t="shared" si="3"/>
        <v>－</v>
      </c>
      <c r="X169" s="34">
        <f>20</f>
        <v>20</v>
      </c>
    </row>
    <row r="170" spans="1:24" ht="13.5" customHeight="1" x14ac:dyDescent="0.15">
      <c r="A170" s="25" t="s">
        <v>1112</v>
      </c>
      <c r="B170" s="25" t="s">
        <v>543</v>
      </c>
      <c r="C170" s="25" t="s">
        <v>544</v>
      </c>
      <c r="D170" s="25" t="s">
        <v>545</v>
      </c>
      <c r="E170" s="26" t="s">
        <v>45</v>
      </c>
      <c r="F170" s="27" t="s">
        <v>45</v>
      </c>
      <c r="G170" s="28" t="s">
        <v>45</v>
      </c>
      <c r="H170" s="29"/>
      <c r="I170" s="29" t="s">
        <v>46</v>
      </c>
      <c r="J170" s="30">
        <v>10</v>
      </c>
      <c r="K170" s="31">
        <f>4818</f>
        <v>4818</v>
      </c>
      <c r="L170" s="32" t="s">
        <v>996</v>
      </c>
      <c r="M170" s="31">
        <f>4990</f>
        <v>4990</v>
      </c>
      <c r="N170" s="32" t="s">
        <v>791</v>
      </c>
      <c r="O170" s="31">
        <f>4689</f>
        <v>4689</v>
      </c>
      <c r="P170" s="32" t="s">
        <v>787</v>
      </c>
      <c r="Q170" s="31">
        <f>4956</f>
        <v>4956</v>
      </c>
      <c r="R170" s="32" t="s">
        <v>791</v>
      </c>
      <c r="S170" s="33">
        <f>4817.05</f>
        <v>4817.05</v>
      </c>
      <c r="T170" s="30">
        <f>36400</f>
        <v>36400</v>
      </c>
      <c r="U170" s="30" t="str">
        <f t="shared" si="2"/>
        <v>－</v>
      </c>
      <c r="V170" s="30">
        <f>175821710</f>
        <v>175821710</v>
      </c>
      <c r="W170" s="30" t="str">
        <f t="shared" si="3"/>
        <v>－</v>
      </c>
      <c r="X170" s="34">
        <f>20</f>
        <v>20</v>
      </c>
    </row>
    <row r="171" spans="1:24" ht="13.5" customHeight="1" x14ac:dyDescent="0.15">
      <c r="A171" s="25" t="s">
        <v>1112</v>
      </c>
      <c r="B171" s="25" t="s">
        <v>546</v>
      </c>
      <c r="C171" s="25" t="s">
        <v>547</v>
      </c>
      <c r="D171" s="25" t="s">
        <v>548</v>
      </c>
      <c r="E171" s="26" t="s">
        <v>45</v>
      </c>
      <c r="F171" s="27" t="s">
        <v>45</v>
      </c>
      <c r="G171" s="28" t="s">
        <v>45</v>
      </c>
      <c r="H171" s="29"/>
      <c r="I171" s="29" t="s">
        <v>46</v>
      </c>
      <c r="J171" s="30">
        <v>10</v>
      </c>
      <c r="K171" s="31">
        <f>2763</f>
        <v>2763</v>
      </c>
      <c r="L171" s="32" t="s">
        <v>996</v>
      </c>
      <c r="M171" s="31">
        <f>2930</f>
        <v>2930</v>
      </c>
      <c r="N171" s="32" t="s">
        <v>786</v>
      </c>
      <c r="O171" s="31">
        <f>2702</f>
        <v>2702</v>
      </c>
      <c r="P171" s="32" t="s">
        <v>787</v>
      </c>
      <c r="Q171" s="31">
        <f>2882</f>
        <v>2882</v>
      </c>
      <c r="R171" s="32" t="s">
        <v>791</v>
      </c>
      <c r="S171" s="33">
        <f>2778.25</f>
        <v>2778.25</v>
      </c>
      <c r="T171" s="30">
        <f>25340</f>
        <v>25340</v>
      </c>
      <c r="U171" s="30" t="str">
        <f t="shared" si="2"/>
        <v>－</v>
      </c>
      <c r="V171" s="30">
        <f>71196460</f>
        <v>71196460</v>
      </c>
      <c r="W171" s="30" t="str">
        <f t="shared" si="3"/>
        <v>－</v>
      </c>
      <c r="X171" s="34">
        <f>20</f>
        <v>20</v>
      </c>
    </row>
    <row r="172" spans="1:24" ht="13.5" customHeight="1" x14ac:dyDescent="0.15">
      <c r="A172" s="25" t="s">
        <v>1112</v>
      </c>
      <c r="B172" s="25" t="s">
        <v>549</v>
      </c>
      <c r="C172" s="25" t="s">
        <v>550</v>
      </c>
      <c r="D172" s="25" t="s">
        <v>551</v>
      </c>
      <c r="E172" s="26" t="s">
        <v>45</v>
      </c>
      <c r="F172" s="27" t="s">
        <v>45</v>
      </c>
      <c r="G172" s="28" t="s">
        <v>45</v>
      </c>
      <c r="H172" s="29"/>
      <c r="I172" s="29" t="s">
        <v>46</v>
      </c>
      <c r="J172" s="30">
        <v>100</v>
      </c>
      <c r="K172" s="31">
        <f>90</f>
        <v>90</v>
      </c>
      <c r="L172" s="32" t="s">
        <v>996</v>
      </c>
      <c r="M172" s="31">
        <f>104.5</f>
        <v>104.5</v>
      </c>
      <c r="N172" s="32" t="s">
        <v>789</v>
      </c>
      <c r="O172" s="31">
        <f>82.2</f>
        <v>82.2</v>
      </c>
      <c r="P172" s="32" t="s">
        <v>56</v>
      </c>
      <c r="Q172" s="31">
        <f>93.6</f>
        <v>93.6</v>
      </c>
      <c r="R172" s="32" t="s">
        <v>791</v>
      </c>
      <c r="S172" s="33">
        <f>91.94</f>
        <v>91.94</v>
      </c>
      <c r="T172" s="30">
        <f>22307600</f>
        <v>22307600</v>
      </c>
      <c r="U172" s="30" t="str">
        <f t="shared" si="2"/>
        <v>－</v>
      </c>
      <c r="V172" s="30">
        <f>2089746260</f>
        <v>2089746260</v>
      </c>
      <c r="W172" s="30" t="str">
        <f t="shared" si="3"/>
        <v>－</v>
      </c>
      <c r="X172" s="34">
        <f>20</f>
        <v>20</v>
      </c>
    </row>
    <row r="173" spans="1:24" ht="13.5" customHeight="1" x14ac:dyDescent="0.15">
      <c r="A173" s="25" t="s">
        <v>1112</v>
      </c>
      <c r="B173" s="25" t="s">
        <v>552</v>
      </c>
      <c r="C173" s="25" t="s">
        <v>553</v>
      </c>
      <c r="D173" s="25" t="s">
        <v>554</v>
      </c>
      <c r="E173" s="26" t="s">
        <v>45</v>
      </c>
      <c r="F173" s="27" t="s">
        <v>45</v>
      </c>
      <c r="G173" s="28" t="s">
        <v>45</v>
      </c>
      <c r="H173" s="29"/>
      <c r="I173" s="29" t="s">
        <v>46</v>
      </c>
      <c r="J173" s="30">
        <v>100</v>
      </c>
      <c r="K173" s="31">
        <f>175.4</f>
        <v>175.4</v>
      </c>
      <c r="L173" s="32" t="s">
        <v>996</v>
      </c>
      <c r="M173" s="31">
        <f>192.5</f>
        <v>192.5</v>
      </c>
      <c r="N173" s="32" t="s">
        <v>80</v>
      </c>
      <c r="O173" s="31">
        <f>157.1</f>
        <v>157.1</v>
      </c>
      <c r="P173" s="32" t="s">
        <v>56</v>
      </c>
      <c r="Q173" s="31">
        <f>174.5</f>
        <v>174.5</v>
      </c>
      <c r="R173" s="32" t="s">
        <v>791</v>
      </c>
      <c r="S173" s="33">
        <f>174.17</f>
        <v>174.17</v>
      </c>
      <c r="T173" s="30">
        <f>3191700</f>
        <v>3191700</v>
      </c>
      <c r="U173" s="30" t="str">
        <f t="shared" si="2"/>
        <v>－</v>
      </c>
      <c r="V173" s="30">
        <f>562442690</f>
        <v>562442690</v>
      </c>
      <c r="W173" s="30" t="str">
        <f t="shared" si="3"/>
        <v>－</v>
      </c>
      <c r="X173" s="34">
        <f>20</f>
        <v>20</v>
      </c>
    </row>
    <row r="174" spans="1:24" ht="13.5" customHeight="1" x14ac:dyDescent="0.15">
      <c r="A174" s="25" t="s">
        <v>1112</v>
      </c>
      <c r="B174" s="25" t="s">
        <v>555</v>
      </c>
      <c r="C174" s="25" t="s">
        <v>556</v>
      </c>
      <c r="D174" s="25" t="s">
        <v>557</v>
      </c>
      <c r="E174" s="26" t="s">
        <v>45</v>
      </c>
      <c r="F174" s="27" t="s">
        <v>45</v>
      </c>
      <c r="G174" s="28" t="s">
        <v>45</v>
      </c>
      <c r="H174" s="29"/>
      <c r="I174" s="29" t="s">
        <v>46</v>
      </c>
      <c r="J174" s="30">
        <v>10</v>
      </c>
      <c r="K174" s="31">
        <f>4653</f>
        <v>4653</v>
      </c>
      <c r="L174" s="32" t="s">
        <v>996</v>
      </c>
      <c r="M174" s="31">
        <f>4856</f>
        <v>4856</v>
      </c>
      <c r="N174" s="32" t="s">
        <v>789</v>
      </c>
      <c r="O174" s="31">
        <f>4450</f>
        <v>4450</v>
      </c>
      <c r="P174" s="32" t="s">
        <v>56</v>
      </c>
      <c r="Q174" s="31">
        <f>4650</f>
        <v>4650</v>
      </c>
      <c r="R174" s="32" t="s">
        <v>791</v>
      </c>
      <c r="S174" s="33">
        <f>4678.3</f>
        <v>4678.3</v>
      </c>
      <c r="T174" s="30">
        <f>11120</f>
        <v>11120</v>
      </c>
      <c r="U174" s="30" t="str">
        <f t="shared" si="2"/>
        <v>－</v>
      </c>
      <c r="V174" s="30">
        <f>52107610</f>
        <v>52107610</v>
      </c>
      <c r="W174" s="30" t="str">
        <f t="shared" si="3"/>
        <v>－</v>
      </c>
      <c r="X174" s="34">
        <f>20</f>
        <v>20</v>
      </c>
    </row>
    <row r="175" spans="1:24" ht="13.5" customHeight="1" x14ac:dyDescent="0.15">
      <c r="A175" s="25" t="s">
        <v>1112</v>
      </c>
      <c r="B175" s="25" t="s">
        <v>558</v>
      </c>
      <c r="C175" s="25" t="s">
        <v>559</v>
      </c>
      <c r="D175" s="25" t="s">
        <v>1126</v>
      </c>
      <c r="E175" s="26" t="s">
        <v>45</v>
      </c>
      <c r="F175" s="27" t="s">
        <v>45</v>
      </c>
      <c r="G175" s="28" t="s">
        <v>45</v>
      </c>
      <c r="H175" s="29"/>
      <c r="I175" s="29" t="s">
        <v>46</v>
      </c>
      <c r="J175" s="30">
        <v>10</v>
      </c>
      <c r="K175" s="31">
        <f>2525</f>
        <v>2525</v>
      </c>
      <c r="L175" s="32" t="s">
        <v>996</v>
      </c>
      <c r="M175" s="31">
        <f>2529</f>
        <v>2529</v>
      </c>
      <c r="N175" s="32" t="s">
        <v>996</v>
      </c>
      <c r="O175" s="31">
        <f>2406</f>
        <v>2406</v>
      </c>
      <c r="P175" s="32" t="s">
        <v>56</v>
      </c>
      <c r="Q175" s="31">
        <f>2500</f>
        <v>2500</v>
      </c>
      <c r="R175" s="32" t="s">
        <v>791</v>
      </c>
      <c r="S175" s="33">
        <f>2471.5</f>
        <v>2471.5</v>
      </c>
      <c r="T175" s="30">
        <f>457660</f>
        <v>457660</v>
      </c>
      <c r="U175" s="30">
        <f>309810</f>
        <v>309810</v>
      </c>
      <c r="V175" s="30">
        <f>1124152864</f>
        <v>1124152864</v>
      </c>
      <c r="W175" s="30">
        <f>757119174</f>
        <v>757119174</v>
      </c>
      <c r="X175" s="34">
        <f>20</f>
        <v>20</v>
      </c>
    </row>
    <row r="176" spans="1:24" ht="13.5" customHeight="1" x14ac:dyDescent="0.15">
      <c r="A176" s="25" t="s">
        <v>1112</v>
      </c>
      <c r="B176" s="25" t="s">
        <v>561</v>
      </c>
      <c r="C176" s="25" t="s">
        <v>1127</v>
      </c>
      <c r="D176" s="25" t="s">
        <v>1128</v>
      </c>
      <c r="E176" s="26" t="s">
        <v>45</v>
      </c>
      <c r="F176" s="27" t="s">
        <v>45</v>
      </c>
      <c r="G176" s="28" t="s">
        <v>45</v>
      </c>
      <c r="H176" s="29"/>
      <c r="I176" s="29" t="s">
        <v>46</v>
      </c>
      <c r="J176" s="30">
        <v>10</v>
      </c>
      <c r="K176" s="31">
        <f>330.4</f>
        <v>330.4</v>
      </c>
      <c r="L176" s="32" t="s">
        <v>996</v>
      </c>
      <c r="M176" s="31">
        <f>368.5</f>
        <v>368.5</v>
      </c>
      <c r="N176" s="32" t="s">
        <v>791</v>
      </c>
      <c r="O176" s="31">
        <f>328.1</f>
        <v>328.1</v>
      </c>
      <c r="P176" s="32" t="s">
        <v>785</v>
      </c>
      <c r="Q176" s="31">
        <f>367.7</f>
        <v>367.7</v>
      </c>
      <c r="R176" s="32" t="s">
        <v>791</v>
      </c>
      <c r="S176" s="33">
        <f>343.72</f>
        <v>343.72</v>
      </c>
      <c r="T176" s="30">
        <f>32027680</f>
        <v>32027680</v>
      </c>
      <c r="U176" s="30">
        <f>8950</f>
        <v>8950</v>
      </c>
      <c r="V176" s="30">
        <f>10996859688</f>
        <v>10996859688</v>
      </c>
      <c r="W176" s="30">
        <f>3227189</f>
        <v>3227189</v>
      </c>
      <c r="X176" s="34">
        <f>20</f>
        <v>20</v>
      </c>
    </row>
    <row r="177" spans="1:24" ht="13.5" customHeight="1" x14ac:dyDescent="0.15">
      <c r="A177" s="25" t="s">
        <v>1112</v>
      </c>
      <c r="B177" s="25" t="s">
        <v>564</v>
      </c>
      <c r="C177" s="25" t="s">
        <v>565</v>
      </c>
      <c r="D177" s="25" t="s">
        <v>566</v>
      </c>
      <c r="E177" s="26" t="s">
        <v>45</v>
      </c>
      <c r="F177" s="27" t="s">
        <v>45</v>
      </c>
      <c r="G177" s="28" t="s">
        <v>45</v>
      </c>
      <c r="H177" s="29"/>
      <c r="I177" s="29" t="s">
        <v>567</v>
      </c>
      <c r="J177" s="30">
        <v>1</v>
      </c>
      <c r="K177" s="31">
        <f>5520</f>
        <v>5520</v>
      </c>
      <c r="L177" s="32" t="s">
        <v>996</v>
      </c>
      <c r="M177" s="31">
        <f>6190</f>
        <v>6190</v>
      </c>
      <c r="N177" s="32" t="s">
        <v>791</v>
      </c>
      <c r="O177" s="31">
        <f>5100</f>
        <v>5100</v>
      </c>
      <c r="P177" s="32" t="s">
        <v>1003</v>
      </c>
      <c r="Q177" s="31">
        <f>6110</f>
        <v>6110</v>
      </c>
      <c r="R177" s="32" t="s">
        <v>791</v>
      </c>
      <c r="S177" s="33">
        <f>5491.5</f>
        <v>5491.5</v>
      </c>
      <c r="T177" s="30">
        <f>58348</f>
        <v>58348</v>
      </c>
      <c r="U177" s="30">
        <f>2</f>
        <v>2</v>
      </c>
      <c r="V177" s="30">
        <f>324138830</f>
        <v>324138830</v>
      </c>
      <c r="W177" s="30">
        <f>10510</f>
        <v>10510</v>
      </c>
      <c r="X177" s="34">
        <f>20</f>
        <v>20</v>
      </c>
    </row>
    <row r="178" spans="1:24" ht="13.5" customHeight="1" x14ac:dyDescent="0.15">
      <c r="A178" s="25" t="s">
        <v>1112</v>
      </c>
      <c r="B178" s="25" t="s">
        <v>568</v>
      </c>
      <c r="C178" s="25" t="s">
        <v>569</v>
      </c>
      <c r="D178" s="25" t="s">
        <v>570</v>
      </c>
      <c r="E178" s="26" t="s">
        <v>45</v>
      </c>
      <c r="F178" s="27" t="s">
        <v>45</v>
      </c>
      <c r="G178" s="28" t="s">
        <v>45</v>
      </c>
      <c r="H178" s="29"/>
      <c r="I178" s="29" t="s">
        <v>567</v>
      </c>
      <c r="J178" s="30">
        <v>1</v>
      </c>
      <c r="K178" s="31">
        <f>8272</f>
        <v>8272</v>
      </c>
      <c r="L178" s="32" t="s">
        <v>996</v>
      </c>
      <c r="M178" s="31">
        <f>8660</f>
        <v>8660</v>
      </c>
      <c r="N178" s="32" t="s">
        <v>1003</v>
      </c>
      <c r="O178" s="31">
        <f>7620</f>
        <v>7620</v>
      </c>
      <c r="P178" s="32" t="s">
        <v>791</v>
      </c>
      <c r="Q178" s="31">
        <f>7710</f>
        <v>7710</v>
      </c>
      <c r="R178" s="32" t="s">
        <v>791</v>
      </c>
      <c r="S178" s="33">
        <f>8106.15</f>
        <v>8106.15</v>
      </c>
      <c r="T178" s="30">
        <f>6910</f>
        <v>6910</v>
      </c>
      <c r="U178" s="30" t="str">
        <f>"－"</f>
        <v>－</v>
      </c>
      <c r="V178" s="30">
        <f>56041486</f>
        <v>56041486</v>
      </c>
      <c r="W178" s="30" t="str">
        <f>"－"</f>
        <v>－</v>
      </c>
      <c r="X178" s="34">
        <f>20</f>
        <v>20</v>
      </c>
    </row>
    <row r="179" spans="1:24" ht="13.5" customHeight="1" x14ac:dyDescent="0.15">
      <c r="A179" s="25" t="s">
        <v>1112</v>
      </c>
      <c r="B179" s="25" t="s">
        <v>571</v>
      </c>
      <c r="C179" s="25" t="s">
        <v>572</v>
      </c>
      <c r="D179" s="25" t="s">
        <v>573</v>
      </c>
      <c r="E179" s="26" t="s">
        <v>45</v>
      </c>
      <c r="F179" s="27" t="s">
        <v>45</v>
      </c>
      <c r="G179" s="28" t="s">
        <v>45</v>
      </c>
      <c r="H179" s="29"/>
      <c r="I179" s="29" t="s">
        <v>567</v>
      </c>
      <c r="J179" s="30">
        <v>1</v>
      </c>
      <c r="K179" s="31">
        <f>12485</f>
        <v>12485</v>
      </c>
      <c r="L179" s="32" t="s">
        <v>996</v>
      </c>
      <c r="M179" s="31">
        <f>13150</f>
        <v>13150</v>
      </c>
      <c r="N179" s="32" t="s">
        <v>791</v>
      </c>
      <c r="O179" s="31">
        <f>11765</f>
        <v>11765</v>
      </c>
      <c r="P179" s="32" t="s">
        <v>1003</v>
      </c>
      <c r="Q179" s="31">
        <f>12875</f>
        <v>12875</v>
      </c>
      <c r="R179" s="32" t="s">
        <v>791</v>
      </c>
      <c r="S179" s="33">
        <f>12532.5</f>
        <v>12532.5</v>
      </c>
      <c r="T179" s="30">
        <f>371</f>
        <v>371</v>
      </c>
      <c r="U179" s="30" t="str">
        <f>"－"</f>
        <v>－</v>
      </c>
      <c r="V179" s="30">
        <f>4666305</f>
        <v>4666305</v>
      </c>
      <c r="W179" s="30" t="str">
        <f>"－"</f>
        <v>－</v>
      </c>
      <c r="X179" s="34">
        <f>16</f>
        <v>16</v>
      </c>
    </row>
    <row r="180" spans="1:24" ht="13.5" customHeight="1" x14ac:dyDescent="0.15">
      <c r="A180" s="25" t="s">
        <v>1112</v>
      </c>
      <c r="B180" s="25" t="s">
        <v>574</v>
      </c>
      <c r="C180" s="25" t="s">
        <v>575</v>
      </c>
      <c r="D180" s="25" t="s">
        <v>576</v>
      </c>
      <c r="E180" s="26" t="s">
        <v>45</v>
      </c>
      <c r="F180" s="27" t="s">
        <v>45</v>
      </c>
      <c r="G180" s="28" t="s">
        <v>45</v>
      </c>
      <c r="H180" s="29"/>
      <c r="I180" s="29" t="s">
        <v>567</v>
      </c>
      <c r="J180" s="30">
        <v>1</v>
      </c>
      <c r="K180" s="31">
        <f>7800</f>
        <v>7800</v>
      </c>
      <c r="L180" s="32" t="s">
        <v>996</v>
      </c>
      <c r="M180" s="31">
        <f>8099</f>
        <v>8099</v>
      </c>
      <c r="N180" s="32" t="s">
        <v>1003</v>
      </c>
      <c r="O180" s="31">
        <f>7650</f>
        <v>7650</v>
      </c>
      <c r="P180" s="32" t="s">
        <v>1005</v>
      </c>
      <c r="Q180" s="31">
        <f>7870</f>
        <v>7870</v>
      </c>
      <c r="R180" s="32" t="s">
        <v>791</v>
      </c>
      <c r="S180" s="33">
        <f>7894.35</f>
        <v>7894.35</v>
      </c>
      <c r="T180" s="30">
        <f>13324</f>
        <v>13324</v>
      </c>
      <c r="U180" s="30">
        <f>2000</f>
        <v>2000</v>
      </c>
      <c r="V180" s="30">
        <f>105266826</f>
        <v>105266826</v>
      </c>
      <c r="W180" s="30">
        <f>15888000</f>
        <v>15888000</v>
      </c>
      <c r="X180" s="34">
        <f>20</f>
        <v>20</v>
      </c>
    </row>
    <row r="181" spans="1:24" ht="13.5" customHeight="1" x14ac:dyDescent="0.15">
      <c r="A181" s="25" t="s">
        <v>1112</v>
      </c>
      <c r="B181" s="25" t="s">
        <v>577</v>
      </c>
      <c r="C181" s="25" t="s">
        <v>578</v>
      </c>
      <c r="D181" s="25" t="s">
        <v>579</v>
      </c>
      <c r="E181" s="26" t="s">
        <v>45</v>
      </c>
      <c r="F181" s="27" t="s">
        <v>45</v>
      </c>
      <c r="G181" s="28" t="s">
        <v>45</v>
      </c>
      <c r="H181" s="29"/>
      <c r="I181" s="29" t="s">
        <v>567</v>
      </c>
      <c r="J181" s="30">
        <v>1</v>
      </c>
      <c r="K181" s="31">
        <f>33200</f>
        <v>33200</v>
      </c>
      <c r="L181" s="32" t="s">
        <v>996</v>
      </c>
      <c r="M181" s="31">
        <f>33690</f>
        <v>33690</v>
      </c>
      <c r="N181" s="32" t="s">
        <v>784</v>
      </c>
      <c r="O181" s="31">
        <f>31750</f>
        <v>31750</v>
      </c>
      <c r="P181" s="32" t="s">
        <v>787</v>
      </c>
      <c r="Q181" s="31">
        <f>33350</f>
        <v>33350</v>
      </c>
      <c r="R181" s="32" t="s">
        <v>791</v>
      </c>
      <c r="S181" s="33">
        <f>32912.5</f>
        <v>32912.5</v>
      </c>
      <c r="T181" s="30">
        <f>43443</f>
        <v>43443</v>
      </c>
      <c r="U181" s="30">
        <f>17</f>
        <v>17</v>
      </c>
      <c r="V181" s="30">
        <f>1424598340</f>
        <v>1424598340</v>
      </c>
      <c r="W181" s="30">
        <f>560870</f>
        <v>560870</v>
      </c>
      <c r="X181" s="34">
        <f>20</f>
        <v>20</v>
      </c>
    </row>
    <row r="182" spans="1:24" ht="13.5" customHeight="1" x14ac:dyDescent="0.15">
      <c r="A182" s="25" t="s">
        <v>1112</v>
      </c>
      <c r="B182" s="25" t="s">
        <v>580</v>
      </c>
      <c r="C182" s="25" t="s">
        <v>581</v>
      </c>
      <c r="D182" s="25" t="s">
        <v>582</v>
      </c>
      <c r="E182" s="26" t="s">
        <v>45</v>
      </c>
      <c r="F182" s="27" t="s">
        <v>45</v>
      </c>
      <c r="G182" s="28" t="s">
        <v>45</v>
      </c>
      <c r="H182" s="29"/>
      <c r="I182" s="29" t="s">
        <v>567</v>
      </c>
      <c r="J182" s="30">
        <v>1</v>
      </c>
      <c r="K182" s="31">
        <f>3785</f>
        <v>3785</v>
      </c>
      <c r="L182" s="32" t="s">
        <v>996</v>
      </c>
      <c r="M182" s="31">
        <f>3885</f>
        <v>3885</v>
      </c>
      <c r="N182" s="32" t="s">
        <v>787</v>
      </c>
      <c r="O182" s="31">
        <f>3770</f>
        <v>3770</v>
      </c>
      <c r="P182" s="32" t="s">
        <v>78</v>
      </c>
      <c r="Q182" s="31">
        <f>3805</f>
        <v>3805</v>
      </c>
      <c r="R182" s="32" t="s">
        <v>791</v>
      </c>
      <c r="S182" s="33">
        <f>3819.75</f>
        <v>3819.75</v>
      </c>
      <c r="T182" s="30">
        <f>4346</f>
        <v>4346</v>
      </c>
      <c r="U182" s="30" t="str">
        <f>"－"</f>
        <v>－</v>
      </c>
      <c r="V182" s="30">
        <f>16605440</f>
        <v>16605440</v>
      </c>
      <c r="W182" s="30" t="str">
        <f>"－"</f>
        <v>－</v>
      </c>
      <c r="X182" s="34">
        <f>20</f>
        <v>20</v>
      </c>
    </row>
    <row r="183" spans="1:24" ht="13.5" customHeight="1" x14ac:dyDescent="0.15">
      <c r="A183" s="25" t="s">
        <v>1112</v>
      </c>
      <c r="B183" s="25" t="s">
        <v>583</v>
      </c>
      <c r="C183" s="25" t="s">
        <v>584</v>
      </c>
      <c r="D183" s="25" t="s">
        <v>585</v>
      </c>
      <c r="E183" s="26" t="s">
        <v>45</v>
      </c>
      <c r="F183" s="27" t="s">
        <v>45</v>
      </c>
      <c r="G183" s="28" t="s">
        <v>45</v>
      </c>
      <c r="H183" s="29"/>
      <c r="I183" s="29" t="s">
        <v>567</v>
      </c>
      <c r="J183" s="30">
        <v>1</v>
      </c>
      <c r="K183" s="31">
        <f>1368</f>
        <v>1368</v>
      </c>
      <c r="L183" s="32" t="s">
        <v>996</v>
      </c>
      <c r="M183" s="31">
        <f>1663</f>
        <v>1663</v>
      </c>
      <c r="N183" s="32" t="s">
        <v>791</v>
      </c>
      <c r="O183" s="31">
        <f>1356</f>
        <v>1356</v>
      </c>
      <c r="P183" s="32" t="s">
        <v>785</v>
      </c>
      <c r="Q183" s="31">
        <f>1659</f>
        <v>1659</v>
      </c>
      <c r="R183" s="32" t="s">
        <v>791</v>
      </c>
      <c r="S183" s="33">
        <f>1469.35</f>
        <v>1469.35</v>
      </c>
      <c r="T183" s="30">
        <f>17037982</f>
        <v>17037982</v>
      </c>
      <c r="U183" s="30">
        <f>2531</f>
        <v>2531</v>
      </c>
      <c r="V183" s="30">
        <f>25328744802</f>
        <v>25328744802</v>
      </c>
      <c r="W183" s="30">
        <f>3632418</f>
        <v>3632418</v>
      </c>
      <c r="X183" s="34">
        <f>20</f>
        <v>20</v>
      </c>
    </row>
    <row r="184" spans="1:24" ht="13.5" customHeight="1" x14ac:dyDescent="0.15">
      <c r="A184" s="25" t="s">
        <v>1112</v>
      </c>
      <c r="B184" s="25" t="s">
        <v>586</v>
      </c>
      <c r="C184" s="25" t="s">
        <v>587</v>
      </c>
      <c r="D184" s="25" t="s">
        <v>588</v>
      </c>
      <c r="E184" s="26" t="s">
        <v>45</v>
      </c>
      <c r="F184" s="27" t="s">
        <v>45</v>
      </c>
      <c r="G184" s="28" t="s">
        <v>45</v>
      </c>
      <c r="H184" s="29"/>
      <c r="I184" s="29" t="s">
        <v>567</v>
      </c>
      <c r="J184" s="30">
        <v>1</v>
      </c>
      <c r="K184" s="31">
        <f>1328</f>
        <v>1328</v>
      </c>
      <c r="L184" s="32" t="s">
        <v>996</v>
      </c>
      <c r="M184" s="31">
        <f>1333</f>
        <v>1333</v>
      </c>
      <c r="N184" s="32" t="s">
        <v>785</v>
      </c>
      <c r="O184" s="31">
        <f>1199</f>
        <v>1199</v>
      </c>
      <c r="P184" s="32" t="s">
        <v>791</v>
      </c>
      <c r="Q184" s="31">
        <f>1203</f>
        <v>1203</v>
      </c>
      <c r="R184" s="32" t="s">
        <v>791</v>
      </c>
      <c r="S184" s="33">
        <f>1279.25</f>
        <v>1279.25</v>
      </c>
      <c r="T184" s="30">
        <f>2174709</f>
        <v>2174709</v>
      </c>
      <c r="U184" s="30">
        <f>1194</f>
        <v>1194</v>
      </c>
      <c r="V184" s="30">
        <f>2763933525</f>
        <v>2763933525</v>
      </c>
      <c r="W184" s="30">
        <f>1518033</f>
        <v>1518033</v>
      </c>
      <c r="X184" s="34">
        <f>20</f>
        <v>20</v>
      </c>
    </row>
    <row r="185" spans="1:24" ht="13.5" customHeight="1" x14ac:dyDescent="0.15">
      <c r="A185" s="25" t="s">
        <v>1112</v>
      </c>
      <c r="B185" s="25" t="s">
        <v>589</v>
      </c>
      <c r="C185" s="25" t="s">
        <v>590</v>
      </c>
      <c r="D185" s="25" t="s">
        <v>591</v>
      </c>
      <c r="E185" s="26" t="s">
        <v>45</v>
      </c>
      <c r="F185" s="27" t="s">
        <v>45</v>
      </c>
      <c r="G185" s="28" t="s">
        <v>45</v>
      </c>
      <c r="H185" s="29"/>
      <c r="I185" s="29" t="s">
        <v>567</v>
      </c>
      <c r="J185" s="30">
        <v>1</v>
      </c>
      <c r="K185" s="31">
        <f>25050</f>
        <v>25050</v>
      </c>
      <c r="L185" s="32" t="s">
        <v>996</v>
      </c>
      <c r="M185" s="31">
        <f>26430</f>
        <v>26430</v>
      </c>
      <c r="N185" s="32" t="s">
        <v>255</v>
      </c>
      <c r="O185" s="31">
        <f>24015</f>
        <v>24015</v>
      </c>
      <c r="P185" s="32" t="s">
        <v>875</v>
      </c>
      <c r="Q185" s="31">
        <f>26225</f>
        <v>26225</v>
      </c>
      <c r="R185" s="32" t="s">
        <v>791</v>
      </c>
      <c r="S185" s="33">
        <f>25373.75</f>
        <v>25373.75</v>
      </c>
      <c r="T185" s="30">
        <f>69892</f>
        <v>69892</v>
      </c>
      <c r="U185" s="30">
        <f>118</f>
        <v>118</v>
      </c>
      <c r="V185" s="30">
        <f>1792665560</f>
        <v>1792665560</v>
      </c>
      <c r="W185" s="30">
        <f>2919375</f>
        <v>2919375</v>
      </c>
      <c r="X185" s="34">
        <f>20</f>
        <v>20</v>
      </c>
    </row>
    <row r="186" spans="1:24" ht="13.5" customHeight="1" x14ac:dyDescent="0.15">
      <c r="A186" s="25" t="s">
        <v>1112</v>
      </c>
      <c r="B186" s="25" t="s">
        <v>592</v>
      </c>
      <c r="C186" s="25" t="s">
        <v>593</v>
      </c>
      <c r="D186" s="25" t="s">
        <v>594</v>
      </c>
      <c r="E186" s="26" t="s">
        <v>45</v>
      </c>
      <c r="F186" s="27" t="s">
        <v>45</v>
      </c>
      <c r="G186" s="28" t="s">
        <v>45</v>
      </c>
      <c r="H186" s="29"/>
      <c r="I186" s="29" t="s">
        <v>567</v>
      </c>
      <c r="J186" s="30">
        <v>1</v>
      </c>
      <c r="K186" s="31">
        <f>2831</f>
        <v>2831</v>
      </c>
      <c r="L186" s="32" t="s">
        <v>996</v>
      </c>
      <c r="M186" s="31">
        <f>2895</f>
        <v>2895</v>
      </c>
      <c r="N186" s="32" t="s">
        <v>875</v>
      </c>
      <c r="O186" s="31">
        <f>2751</f>
        <v>2751</v>
      </c>
      <c r="P186" s="32" t="s">
        <v>791</v>
      </c>
      <c r="Q186" s="31">
        <f>2766</f>
        <v>2766</v>
      </c>
      <c r="R186" s="32" t="s">
        <v>791</v>
      </c>
      <c r="S186" s="33">
        <f>2815.1</f>
        <v>2815.1</v>
      </c>
      <c r="T186" s="30">
        <f>308307</f>
        <v>308307</v>
      </c>
      <c r="U186" s="30">
        <f>100</f>
        <v>100</v>
      </c>
      <c r="V186" s="30">
        <f>866166797</f>
        <v>866166797</v>
      </c>
      <c r="W186" s="30">
        <f>284700</f>
        <v>284700</v>
      </c>
      <c r="X186" s="34">
        <f>20</f>
        <v>20</v>
      </c>
    </row>
    <row r="187" spans="1:24" ht="13.5" customHeight="1" x14ac:dyDescent="0.15">
      <c r="A187" s="25" t="s">
        <v>1112</v>
      </c>
      <c r="B187" s="25" t="s">
        <v>595</v>
      </c>
      <c r="C187" s="25" t="s">
        <v>596</v>
      </c>
      <c r="D187" s="25" t="s">
        <v>597</v>
      </c>
      <c r="E187" s="26" t="s">
        <v>45</v>
      </c>
      <c r="F187" s="27" t="s">
        <v>45</v>
      </c>
      <c r="G187" s="28" t="s">
        <v>45</v>
      </c>
      <c r="H187" s="29"/>
      <c r="I187" s="29" t="s">
        <v>567</v>
      </c>
      <c r="J187" s="30">
        <v>1</v>
      </c>
      <c r="K187" s="31">
        <f>8855</f>
        <v>8855</v>
      </c>
      <c r="L187" s="32" t="s">
        <v>996</v>
      </c>
      <c r="M187" s="31">
        <f>8870</f>
        <v>8870</v>
      </c>
      <c r="N187" s="32" t="s">
        <v>996</v>
      </c>
      <c r="O187" s="31">
        <f>8035</f>
        <v>8035</v>
      </c>
      <c r="P187" s="32" t="s">
        <v>997</v>
      </c>
      <c r="Q187" s="31">
        <f>8318</f>
        <v>8318</v>
      </c>
      <c r="R187" s="32" t="s">
        <v>791</v>
      </c>
      <c r="S187" s="33">
        <f>8399.05</f>
        <v>8399.0499999999993</v>
      </c>
      <c r="T187" s="30">
        <f>33740</f>
        <v>33740</v>
      </c>
      <c r="U187" s="30">
        <f>8</f>
        <v>8</v>
      </c>
      <c r="V187" s="30">
        <f>283321521</f>
        <v>283321521</v>
      </c>
      <c r="W187" s="30">
        <f>68367</f>
        <v>68367</v>
      </c>
      <c r="X187" s="34">
        <f>20</f>
        <v>20</v>
      </c>
    </row>
    <row r="188" spans="1:24" ht="13.5" customHeight="1" x14ac:dyDescent="0.15">
      <c r="A188" s="25" t="s">
        <v>1112</v>
      </c>
      <c r="B188" s="25" t="s">
        <v>598</v>
      </c>
      <c r="C188" s="25" t="s">
        <v>599</v>
      </c>
      <c r="D188" s="25" t="s">
        <v>600</v>
      </c>
      <c r="E188" s="26" t="s">
        <v>45</v>
      </c>
      <c r="F188" s="27" t="s">
        <v>45</v>
      </c>
      <c r="G188" s="28" t="s">
        <v>45</v>
      </c>
      <c r="H188" s="29"/>
      <c r="I188" s="29" t="s">
        <v>567</v>
      </c>
      <c r="J188" s="30">
        <v>1</v>
      </c>
      <c r="K188" s="31">
        <f>17295</f>
        <v>17295</v>
      </c>
      <c r="L188" s="32" t="s">
        <v>996</v>
      </c>
      <c r="M188" s="31">
        <f>17600</f>
        <v>17600</v>
      </c>
      <c r="N188" s="32" t="s">
        <v>791</v>
      </c>
      <c r="O188" s="31">
        <f>16500</f>
        <v>16500</v>
      </c>
      <c r="P188" s="32" t="s">
        <v>1005</v>
      </c>
      <c r="Q188" s="31">
        <f>17600</f>
        <v>17600</v>
      </c>
      <c r="R188" s="32" t="s">
        <v>791</v>
      </c>
      <c r="S188" s="33">
        <f>17085</f>
        <v>17085</v>
      </c>
      <c r="T188" s="30">
        <f>312</f>
        <v>312</v>
      </c>
      <c r="U188" s="30" t="str">
        <f>"－"</f>
        <v>－</v>
      </c>
      <c r="V188" s="30">
        <f>5332870</f>
        <v>5332870</v>
      </c>
      <c r="W188" s="30" t="str">
        <f>"－"</f>
        <v>－</v>
      </c>
      <c r="X188" s="34">
        <f>16</f>
        <v>16</v>
      </c>
    </row>
    <row r="189" spans="1:24" ht="13.5" customHeight="1" x14ac:dyDescent="0.15">
      <c r="A189" s="25" t="s">
        <v>1112</v>
      </c>
      <c r="B189" s="25" t="s">
        <v>601</v>
      </c>
      <c r="C189" s="25" t="s">
        <v>602</v>
      </c>
      <c r="D189" s="25" t="s">
        <v>603</v>
      </c>
      <c r="E189" s="26" t="s">
        <v>45</v>
      </c>
      <c r="F189" s="27" t="s">
        <v>45</v>
      </c>
      <c r="G189" s="28" t="s">
        <v>45</v>
      </c>
      <c r="H189" s="29"/>
      <c r="I189" s="29" t="s">
        <v>567</v>
      </c>
      <c r="J189" s="30">
        <v>1</v>
      </c>
      <c r="K189" s="31">
        <f>25610</f>
        <v>25610</v>
      </c>
      <c r="L189" s="32" t="s">
        <v>996</v>
      </c>
      <c r="M189" s="31">
        <f>25985</f>
        <v>25985</v>
      </c>
      <c r="N189" s="32" t="s">
        <v>786</v>
      </c>
      <c r="O189" s="31">
        <f>24555</f>
        <v>24555</v>
      </c>
      <c r="P189" s="32" t="s">
        <v>1005</v>
      </c>
      <c r="Q189" s="31">
        <f>25885</f>
        <v>25885</v>
      </c>
      <c r="R189" s="32" t="s">
        <v>791</v>
      </c>
      <c r="S189" s="33">
        <f>25325.75</f>
        <v>25325.75</v>
      </c>
      <c r="T189" s="30">
        <f>15892</f>
        <v>15892</v>
      </c>
      <c r="U189" s="30">
        <f>2</f>
        <v>2</v>
      </c>
      <c r="V189" s="30">
        <f>403540610</f>
        <v>403540610</v>
      </c>
      <c r="W189" s="30">
        <f>50600</f>
        <v>50600</v>
      </c>
      <c r="X189" s="34">
        <f>20</f>
        <v>20</v>
      </c>
    </row>
    <row r="190" spans="1:24" ht="13.5" customHeight="1" x14ac:dyDescent="0.15">
      <c r="A190" s="25" t="s">
        <v>1112</v>
      </c>
      <c r="B190" s="25" t="s">
        <v>604</v>
      </c>
      <c r="C190" s="25" t="s">
        <v>605</v>
      </c>
      <c r="D190" s="25" t="s">
        <v>606</v>
      </c>
      <c r="E190" s="26" t="s">
        <v>45</v>
      </c>
      <c r="F190" s="27" t="s">
        <v>45</v>
      </c>
      <c r="G190" s="28" t="s">
        <v>45</v>
      </c>
      <c r="H190" s="29"/>
      <c r="I190" s="29" t="s">
        <v>567</v>
      </c>
      <c r="J190" s="30">
        <v>1</v>
      </c>
      <c r="K190" s="31">
        <f>15890</f>
        <v>15890</v>
      </c>
      <c r="L190" s="32" t="s">
        <v>996</v>
      </c>
      <c r="M190" s="31">
        <f>16300</f>
        <v>16300</v>
      </c>
      <c r="N190" s="32" t="s">
        <v>997</v>
      </c>
      <c r="O190" s="31">
        <f>15645</f>
        <v>15645</v>
      </c>
      <c r="P190" s="32" t="s">
        <v>794</v>
      </c>
      <c r="Q190" s="31">
        <f>16295</f>
        <v>16295</v>
      </c>
      <c r="R190" s="32" t="s">
        <v>791</v>
      </c>
      <c r="S190" s="33">
        <f>16088.24</f>
        <v>16088.24</v>
      </c>
      <c r="T190" s="30">
        <f>285</f>
        <v>285</v>
      </c>
      <c r="U190" s="30" t="str">
        <f t="shared" ref="U190:U203" si="4">"－"</f>
        <v>－</v>
      </c>
      <c r="V190" s="30">
        <f>4610340</f>
        <v>4610340</v>
      </c>
      <c r="W190" s="30" t="str">
        <f t="shared" ref="W190:W203" si="5">"－"</f>
        <v>－</v>
      </c>
      <c r="X190" s="34">
        <f>17</f>
        <v>17</v>
      </c>
    </row>
    <row r="191" spans="1:24" ht="13.5" customHeight="1" x14ac:dyDescent="0.15">
      <c r="A191" s="25" t="s">
        <v>1112</v>
      </c>
      <c r="B191" s="25" t="s">
        <v>607</v>
      </c>
      <c r="C191" s="25" t="s">
        <v>608</v>
      </c>
      <c r="D191" s="25" t="s">
        <v>609</v>
      </c>
      <c r="E191" s="26" t="s">
        <v>45</v>
      </c>
      <c r="F191" s="27" t="s">
        <v>45</v>
      </c>
      <c r="G191" s="28" t="s">
        <v>45</v>
      </c>
      <c r="H191" s="29"/>
      <c r="I191" s="29" t="s">
        <v>567</v>
      </c>
      <c r="J191" s="30">
        <v>1</v>
      </c>
      <c r="K191" s="31">
        <f>22880</f>
        <v>22880</v>
      </c>
      <c r="L191" s="32" t="s">
        <v>996</v>
      </c>
      <c r="M191" s="31">
        <f>23190</f>
        <v>23190</v>
      </c>
      <c r="N191" s="32" t="s">
        <v>785</v>
      </c>
      <c r="O191" s="31">
        <f>21385</f>
        <v>21385</v>
      </c>
      <c r="P191" s="32" t="s">
        <v>1005</v>
      </c>
      <c r="Q191" s="31">
        <f>23025</f>
        <v>23025</v>
      </c>
      <c r="R191" s="32" t="s">
        <v>791</v>
      </c>
      <c r="S191" s="33">
        <f>22488.5</f>
        <v>22488.5</v>
      </c>
      <c r="T191" s="30">
        <f>80536</f>
        <v>80536</v>
      </c>
      <c r="U191" s="30" t="str">
        <f t="shared" si="4"/>
        <v>－</v>
      </c>
      <c r="V191" s="30">
        <f>1819107490</f>
        <v>1819107490</v>
      </c>
      <c r="W191" s="30" t="str">
        <f t="shared" si="5"/>
        <v>－</v>
      </c>
      <c r="X191" s="34">
        <f>20</f>
        <v>20</v>
      </c>
    </row>
    <row r="192" spans="1:24" ht="13.5" customHeight="1" x14ac:dyDescent="0.15">
      <c r="A192" s="25" t="s">
        <v>1112</v>
      </c>
      <c r="B192" s="25" t="s">
        <v>610</v>
      </c>
      <c r="C192" s="25" t="s">
        <v>611</v>
      </c>
      <c r="D192" s="25" t="s">
        <v>612</v>
      </c>
      <c r="E192" s="26" t="s">
        <v>45</v>
      </c>
      <c r="F192" s="27" t="s">
        <v>45</v>
      </c>
      <c r="G192" s="28" t="s">
        <v>45</v>
      </c>
      <c r="H192" s="29"/>
      <c r="I192" s="29" t="s">
        <v>567</v>
      </c>
      <c r="J192" s="30">
        <v>1</v>
      </c>
      <c r="K192" s="31">
        <f>4315</f>
        <v>4315</v>
      </c>
      <c r="L192" s="32" t="s">
        <v>996</v>
      </c>
      <c r="M192" s="31">
        <f>4315</f>
        <v>4315</v>
      </c>
      <c r="N192" s="32" t="s">
        <v>996</v>
      </c>
      <c r="O192" s="31">
        <f>3970</f>
        <v>3970</v>
      </c>
      <c r="P192" s="32" t="s">
        <v>788</v>
      </c>
      <c r="Q192" s="31">
        <f>4045</f>
        <v>4045</v>
      </c>
      <c r="R192" s="32" t="s">
        <v>791</v>
      </c>
      <c r="S192" s="33">
        <f>4078.75</f>
        <v>4078.75</v>
      </c>
      <c r="T192" s="30">
        <f>5434</f>
        <v>5434</v>
      </c>
      <c r="U192" s="30" t="str">
        <f t="shared" si="4"/>
        <v>－</v>
      </c>
      <c r="V192" s="30">
        <f>22339560</f>
        <v>22339560</v>
      </c>
      <c r="W192" s="30" t="str">
        <f t="shared" si="5"/>
        <v>－</v>
      </c>
      <c r="X192" s="34">
        <f>20</f>
        <v>20</v>
      </c>
    </row>
    <row r="193" spans="1:24" ht="13.5" customHeight="1" x14ac:dyDescent="0.15">
      <c r="A193" s="25" t="s">
        <v>1112</v>
      </c>
      <c r="B193" s="25" t="s">
        <v>613</v>
      </c>
      <c r="C193" s="25" t="s">
        <v>614</v>
      </c>
      <c r="D193" s="25" t="s">
        <v>615</v>
      </c>
      <c r="E193" s="26" t="s">
        <v>45</v>
      </c>
      <c r="F193" s="27" t="s">
        <v>45</v>
      </c>
      <c r="G193" s="28" t="s">
        <v>45</v>
      </c>
      <c r="H193" s="29"/>
      <c r="I193" s="29" t="s">
        <v>567</v>
      </c>
      <c r="J193" s="30">
        <v>1</v>
      </c>
      <c r="K193" s="31">
        <f>20530</f>
        <v>20530</v>
      </c>
      <c r="L193" s="32" t="s">
        <v>996</v>
      </c>
      <c r="M193" s="31">
        <f>21015</f>
        <v>21015</v>
      </c>
      <c r="N193" s="32" t="s">
        <v>791</v>
      </c>
      <c r="O193" s="31">
        <f>19355</f>
        <v>19355</v>
      </c>
      <c r="P193" s="32" t="s">
        <v>787</v>
      </c>
      <c r="Q193" s="31">
        <f>21015</f>
        <v>21015</v>
      </c>
      <c r="R193" s="32" t="s">
        <v>791</v>
      </c>
      <c r="S193" s="33">
        <f>20311.25</f>
        <v>20311.25</v>
      </c>
      <c r="T193" s="30">
        <f>2800</f>
        <v>2800</v>
      </c>
      <c r="U193" s="30" t="str">
        <f t="shared" si="4"/>
        <v>－</v>
      </c>
      <c r="V193" s="30">
        <f>56335135</f>
        <v>56335135</v>
      </c>
      <c r="W193" s="30" t="str">
        <f t="shared" si="5"/>
        <v>－</v>
      </c>
      <c r="X193" s="34">
        <f>16</f>
        <v>16</v>
      </c>
    </row>
    <row r="194" spans="1:24" ht="13.5" customHeight="1" x14ac:dyDescent="0.15">
      <c r="A194" s="25" t="s">
        <v>1112</v>
      </c>
      <c r="B194" s="25" t="s">
        <v>616</v>
      </c>
      <c r="C194" s="25" t="s">
        <v>617</v>
      </c>
      <c r="D194" s="25" t="s">
        <v>618</v>
      </c>
      <c r="E194" s="26" t="s">
        <v>45</v>
      </c>
      <c r="F194" s="27" t="s">
        <v>45</v>
      </c>
      <c r="G194" s="28" t="s">
        <v>45</v>
      </c>
      <c r="H194" s="29"/>
      <c r="I194" s="29" t="s">
        <v>567</v>
      </c>
      <c r="J194" s="30">
        <v>1</v>
      </c>
      <c r="K194" s="31">
        <f>15865</f>
        <v>15865</v>
      </c>
      <c r="L194" s="32" t="s">
        <v>784</v>
      </c>
      <c r="M194" s="31">
        <f>15865</f>
        <v>15865</v>
      </c>
      <c r="N194" s="32" t="s">
        <v>784</v>
      </c>
      <c r="O194" s="31">
        <f>15200</f>
        <v>15200</v>
      </c>
      <c r="P194" s="32" t="s">
        <v>787</v>
      </c>
      <c r="Q194" s="31">
        <f>15805</f>
        <v>15805</v>
      </c>
      <c r="R194" s="32" t="s">
        <v>791</v>
      </c>
      <c r="S194" s="33">
        <f>15601</f>
        <v>15601</v>
      </c>
      <c r="T194" s="30">
        <f>108</f>
        <v>108</v>
      </c>
      <c r="U194" s="30" t="str">
        <f t="shared" si="4"/>
        <v>－</v>
      </c>
      <c r="V194" s="30">
        <f>1675935</f>
        <v>1675935</v>
      </c>
      <c r="W194" s="30" t="str">
        <f t="shared" si="5"/>
        <v>－</v>
      </c>
      <c r="X194" s="34">
        <f>10</f>
        <v>10</v>
      </c>
    </row>
    <row r="195" spans="1:24" ht="13.5" customHeight="1" x14ac:dyDescent="0.15">
      <c r="A195" s="25" t="s">
        <v>1112</v>
      </c>
      <c r="B195" s="25" t="s">
        <v>619</v>
      </c>
      <c r="C195" s="25" t="s">
        <v>620</v>
      </c>
      <c r="D195" s="25" t="s">
        <v>621</v>
      </c>
      <c r="E195" s="26" t="s">
        <v>45</v>
      </c>
      <c r="F195" s="27" t="s">
        <v>45</v>
      </c>
      <c r="G195" s="28" t="s">
        <v>45</v>
      </c>
      <c r="H195" s="29"/>
      <c r="I195" s="29" t="s">
        <v>567</v>
      </c>
      <c r="J195" s="30">
        <v>1</v>
      </c>
      <c r="K195" s="31">
        <f>24345</f>
        <v>24345</v>
      </c>
      <c r="L195" s="32" t="s">
        <v>996</v>
      </c>
      <c r="M195" s="31">
        <f>24565</f>
        <v>24565</v>
      </c>
      <c r="N195" s="32" t="s">
        <v>791</v>
      </c>
      <c r="O195" s="31">
        <f>22510</f>
        <v>22510</v>
      </c>
      <c r="P195" s="32" t="s">
        <v>1005</v>
      </c>
      <c r="Q195" s="31">
        <f>24565</f>
        <v>24565</v>
      </c>
      <c r="R195" s="32" t="s">
        <v>791</v>
      </c>
      <c r="S195" s="33">
        <f>23803.44</f>
        <v>23803.439999999999</v>
      </c>
      <c r="T195" s="30">
        <f>195</f>
        <v>195</v>
      </c>
      <c r="U195" s="30" t="str">
        <f t="shared" si="4"/>
        <v>－</v>
      </c>
      <c r="V195" s="30">
        <f>4672815</f>
        <v>4672815</v>
      </c>
      <c r="W195" s="30" t="str">
        <f t="shared" si="5"/>
        <v>－</v>
      </c>
      <c r="X195" s="34">
        <f>16</f>
        <v>16</v>
      </c>
    </row>
    <row r="196" spans="1:24" ht="13.5" customHeight="1" x14ac:dyDescent="0.15">
      <c r="A196" s="25" t="s">
        <v>1112</v>
      </c>
      <c r="B196" s="25" t="s">
        <v>622</v>
      </c>
      <c r="C196" s="25" t="s">
        <v>623</v>
      </c>
      <c r="D196" s="25" t="s">
        <v>624</v>
      </c>
      <c r="E196" s="26" t="s">
        <v>45</v>
      </c>
      <c r="F196" s="27" t="s">
        <v>45</v>
      </c>
      <c r="G196" s="28" t="s">
        <v>45</v>
      </c>
      <c r="H196" s="29"/>
      <c r="I196" s="29" t="s">
        <v>567</v>
      </c>
      <c r="J196" s="30">
        <v>1</v>
      </c>
      <c r="K196" s="31">
        <f>17425</f>
        <v>17425</v>
      </c>
      <c r="L196" s="32" t="s">
        <v>788</v>
      </c>
      <c r="M196" s="31">
        <f>17425</f>
        <v>17425</v>
      </c>
      <c r="N196" s="32" t="s">
        <v>788</v>
      </c>
      <c r="O196" s="31">
        <f>17030</f>
        <v>17030</v>
      </c>
      <c r="P196" s="32" t="s">
        <v>788</v>
      </c>
      <c r="Q196" s="31">
        <f>17030</f>
        <v>17030</v>
      </c>
      <c r="R196" s="32" t="s">
        <v>788</v>
      </c>
      <c r="S196" s="33">
        <f>17030</f>
        <v>17030</v>
      </c>
      <c r="T196" s="30">
        <f>594</f>
        <v>594</v>
      </c>
      <c r="U196" s="30" t="str">
        <f t="shared" si="4"/>
        <v>－</v>
      </c>
      <c r="V196" s="30">
        <f>10133990</f>
        <v>10133990</v>
      </c>
      <c r="W196" s="30" t="str">
        <f t="shared" si="5"/>
        <v>－</v>
      </c>
      <c r="X196" s="34">
        <f>1</f>
        <v>1</v>
      </c>
    </row>
    <row r="197" spans="1:24" ht="13.5" customHeight="1" x14ac:dyDescent="0.15">
      <c r="A197" s="25" t="s">
        <v>1112</v>
      </c>
      <c r="B197" s="25" t="s">
        <v>625</v>
      </c>
      <c r="C197" s="25" t="s">
        <v>626</v>
      </c>
      <c r="D197" s="25" t="s">
        <v>627</v>
      </c>
      <c r="E197" s="26" t="s">
        <v>45</v>
      </c>
      <c r="F197" s="27" t="s">
        <v>45</v>
      </c>
      <c r="G197" s="28" t="s">
        <v>45</v>
      </c>
      <c r="H197" s="29"/>
      <c r="I197" s="29" t="s">
        <v>567</v>
      </c>
      <c r="J197" s="30">
        <v>1</v>
      </c>
      <c r="K197" s="31">
        <f>16200</f>
        <v>16200</v>
      </c>
      <c r="L197" s="32" t="s">
        <v>996</v>
      </c>
      <c r="M197" s="31">
        <f>16360</f>
        <v>16360</v>
      </c>
      <c r="N197" s="32" t="s">
        <v>791</v>
      </c>
      <c r="O197" s="31">
        <f>15605</f>
        <v>15605</v>
      </c>
      <c r="P197" s="32" t="s">
        <v>56</v>
      </c>
      <c r="Q197" s="31">
        <f>16360</f>
        <v>16360</v>
      </c>
      <c r="R197" s="32" t="s">
        <v>791</v>
      </c>
      <c r="S197" s="33">
        <f>15988.75</f>
        <v>15988.75</v>
      </c>
      <c r="T197" s="30">
        <f>1267</f>
        <v>1267</v>
      </c>
      <c r="U197" s="30" t="str">
        <f t="shared" si="4"/>
        <v>－</v>
      </c>
      <c r="V197" s="30">
        <f>20181295</f>
        <v>20181295</v>
      </c>
      <c r="W197" s="30" t="str">
        <f t="shared" si="5"/>
        <v>－</v>
      </c>
      <c r="X197" s="34">
        <f>20</f>
        <v>20</v>
      </c>
    </row>
    <row r="198" spans="1:24" ht="13.5" customHeight="1" x14ac:dyDescent="0.15">
      <c r="A198" s="25" t="s">
        <v>1112</v>
      </c>
      <c r="B198" s="25" t="s">
        <v>628</v>
      </c>
      <c r="C198" s="25" t="s">
        <v>629</v>
      </c>
      <c r="D198" s="25" t="s">
        <v>630</v>
      </c>
      <c r="E198" s="26" t="s">
        <v>45</v>
      </c>
      <c r="F198" s="27" t="s">
        <v>45</v>
      </c>
      <c r="G198" s="28" t="s">
        <v>45</v>
      </c>
      <c r="H198" s="29"/>
      <c r="I198" s="29" t="s">
        <v>567</v>
      </c>
      <c r="J198" s="30">
        <v>1</v>
      </c>
      <c r="K198" s="31">
        <f>18000</f>
        <v>18000</v>
      </c>
      <c r="L198" s="32" t="s">
        <v>785</v>
      </c>
      <c r="M198" s="31">
        <f>18445</f>
        <v>18445</v>
      </c>
      <c r="N198" s="32" t="s">
        <v>791</v>
      </c>
      <c r="O198" s="31">
        <f>17655</f>
        <v>17655</v>
      </c>
      <c r="P198" s="32" t="s">
        <v>875</v>
      </c>
      <c r="Q198" s="31">
        <f>18445</f>
        <v>18445</v>
      </c>
      <c r="R198" s="32" t="s">
        <v>791</v>
      </c>
      <c r="S198" s="33">
        <f>17947.86</f>
        <v>17947.86</v>
      </c>
      <c r="T198" s="30">
        <f>524</f>
        <v>524</v>
      </c>
      <c r="U198" s="30" t="str">
        <f t="shared" si="4"/>
        <v>－</v>
      </c>
      <c r="V198" s="30">
        <f>9623405</f>
        <v>9623405</v>
      </c>
      <c r="W198" s="30" t="str">
        <f t="shared" si="5"/>
        <v>－</v>
      </c>
      <c r="X198" s="34">
        <f>7</f>
        <v>7</v>
      </c>
    </row>
    <row r="199" spans="1:24" ht="13.5" customHeight="1" x14ac:dyDescent="0.15">
      <c r="A199" s="25" t="s">
        <v>1112</v>
      </c>
      <c r="B199" s="25" t="s">
        <v>631</v>
      </c>
      <c r="C199" s="25" t="s">
        <v>632</v>
      </c>
      <c r="D199" s="25" t="s">
        <v>633</v>
      </c>
      <c r="E199" s="26" t="s">
        <v>45</v>
      </c>
      <c r="F199" s="27" t="s">
        <v>45</v>
      </c>
      <c r="G199" s="28" t="s">
        <v>45</v>
      </c>
      <c r="H199" s="29"/>
      <c r="I199" s="29" t="s">
        <v>567</v>
      </c>
      <c r="J199" s="30">
        <v>1</v>
      </c>
      <c r="K199" s="31">
        <f>15790</f>
        <v>15790</v>
      </c>
      <c r="L199" s="32" t="s">
        <v>784</v>
      </c>
      <c r="M199" s="31">
        <f>15790</f>
        <v>15790</v>
      </c>
      <c r="N199" s="32" t="s">
        <v>784</v>
      </c>
      <c r="O199" s="31">
        <f>15665</f>
        <v>15665</v>
      </c>
      <c r="P199" s="32" t="s">
        <v>794</v>
      </c>
      <c r="Q199" s="31">
        <f>15665</f>
        <v>15665</v>
      </c>
      <c r="R199" s="32" t="s">
        <v>794</v>
      </c>
      <c r="S199" s="33">
        <f>15727.5</f>
        <v>15727.5</v>
      </c>
      <c r="T199" s="30">
        <f>21</f>
        <v>21</v>
      </c>
      <c r="U199" s="30" t="str">
        <f t="shared" si="4"/>
        <v>－</v>
      </c>
      <c r="V199" s="30">
        <f>331465</f>
        <v>331465</v>
      </c>
      <c r="W199" s="30" t="str">
        <f t="shared" si="5"/>
        <v>－</v>
      </c>
      <c r="X199" s="34">
        <f>2</f>
        <v>2</v>
      </c>
    </row>
    <row r="200" spans="1:24" ht="13.5" customHeight="1" x14ac:dyDescent="0.15">
      <c r="A200" s="25" t="s">
        <v>1112</v>
      </c>
      <c r="B200" s="25" t="s">
        <v>634</v>
      </c>
      <c r="C200" s="25" t="s">
        <v>635</v>
      </c>
      <c r="D200" s="25" t="s">
        <v>636</v>
      </c>
      <c r="E200" s="26" t="s">
        <v>45</v>
      </c>
      <c r="F200" s="27" t="s">
        <v>45</v>
      </c>
      <c r="G200" s="28" t="s">
        <v>45</v>
      </c>
      <c r="H200" s="29"/>
      <c r="I200" s="29" t="s">
        <v>567</v>
      </c>
      <c r="J200" s="30">
        <v>1</v>
      </c>
      <c r="K200" s="31">
        <f>10835</f>
        <v>10835</v>
      </c>
      <c r="L200" s="32" t="s">
        <v>996</v>
      </c>
      <c r="M200" s="31">
        <f>10835</f>
        <v>10835</v>
      </c>
      <c r="N200" s="32" t="s">
        <v>996</v>
      </c>
      <c r="O200" s="31">
        <f>10390</f>
        <v>10390</v>
      </c>
      <c r="P200" s="32" t="s">
        <v>788</v>
      </c>
      <c r="Q200" s="31">
        <f>10650</f>
        <v>10650</v>
      </c>
      <c r="R200" s="32" t="s">
        <v>791</v>
      </c>
      <c r="S200" s="33">
        <f>10559.67</f>
        <v>10559.67</v>
      </c>
      <c r="T200" s="30">
        <f>13479</f>
        <v>13479</v>
      </c>
      <c r="U200" s="30" t="str">
        <f t="shared" si="4"/>
        <v>－</v>
      </c>
      <c r="V200" s="30">
        <f>143254000</f>
        <v>143254000</v>
      </c>
      <c r="W200" s="30" t="str">
        <f t="shared" si="5"/>
        <v>－</v>
      </c>
      <c r="X200" s="34">
        <f>15</f>
        <v>15</v>
      </c>
    </row>
    <row r="201" spans="1:24" ht="13.5" customHeight="1" x14ac:dyDescent="0.15">
      <c r="A201" s="25" t="s">
        <v>1112</v>
      </c>
      <c r="B201" s="25" t="s">
        <v>637</v>
      </c>
      <c r="C201" s="25" t="s">
        <v>638</v>
      </c>
      <c r="D201" s="25" t="s">
        <v>639</v>
      </c>
      <c r="E201" s="26" t="s">
        <v>45</v>
      </c>
      <c r="F201" s="27" t="s">
        <v>45</v>
      </c>
      <c r="G201" s="28" t="s">
        <v>45</v>
      </c>
      <c r="H201" s="29"/>
      <c r="I201" s="29" t="s">
        <v>567</v>
      </c>
      <c r="J201" s="30">
        <v>1</v>
      </c>
      <c r="K201" s="31">
        <f>11860</f>
        <v>11860</v>
      </c>
      <c r="L201" s="32" t="s">
        <v>996</v>
      </c>
      <c r="M201" s="31">
        <f>11860</f>
        <v>11860</v>
      </c>
      <c r="N201" s="32" t="s">
        <v>996</v>
      </c>
      <c r="O201" s="31">
        <f>11395</f>
        <v>11395</v>
      </c>
      <c r="P201" s="32" t="s">
        <v>56</v>
      </c>
      <c r="Q201" s="31">
        <f>11795</f>
        <v>11795</v>
      </c>
      <c r="R201" s="32" t="s">
        <v>791</v>
      </c>
      <c r="S201" s="33">
        <f>11619.47</f>
        <v>11619.47</v>
      </c>
      <c r="T201" s="30">
        <f>26395</f>
        <v>26395</v>
      </c>
      <c r="U201" s="30" t="str">
        <f t="shared" si="4"/>
        <v>－</v>
      </c>
      <c r="V201" s="30">
        <f>306310000</f>
        <v>306310000</v>
      </c>
      <c r="W201" s="30" t="str">
        <f t="shared" si="5"/>
        <v>－</v>
      </c>
      <c r="X201" s="34">
        <f>19</f>
        <v>19</v>
      </c>
    </row>
    <row r="202" spans="1:24" ht="13.5" customHeight="1" x14ac:dyDescent="0.15">
      <c r="A202" s="25" t="s">
        <v>1112</v>
      </c>
      <c r="B202" s="25" t="s">
        <v>640</v>
      </c>
      <c r="C202" s="25" t="s">
        <v>641</v>
      </c>
      <c r="D202" s="25" t="s">
        <v>642</v>
      </c>
      <c r="E202" s="26" t="s">
        <v>45</v>
      </c>
      <c r="F202" s="27" t="s">
        <v>45</v>
      </c>
      <c r="G202" s="28" t="s">
        <v>45</v>
      </c>
      <c r="H202" s="29"/>
      <c r="I202" s="29" t="s">
        <v>567</v>
      </c>
      <c r="J202" s="30">
        <v>1</v>
      </c>
      <c r="K202" s="31">
        <f>11390</f>
        <v>11390</v>
      </c>
      <c r="L202" s="32" t="s">
        <v>785</v>
      </c>
      <c r="M202" s="31">
        <f>11410</f>
        <v>11410</v>
      </c>
      <c r="N202" s="32" t="s">
        <v>785</v>
      </c>
      <c r="O202" s="31">
        <f>11075</f>
        <v>11075</v>
      </c>
      <c r="P202" s="32" t="s">
        <v>787</v>
      </c>
      <c r="Q202" s="31">
        <f>11290</f>
        <v>11290</v>
      </c>
      <c r="R202" s="32" t="s">
        <v>997</v>
      </c>
      <c r="S202" s="33">
        <f>11206</f>
        <v>11206</v>
      </c>
      <c r="T202" s="30">
        <f>5592</f>
        <v>5592</v>
      </c>
      <c r="U202" s="30" t="str">
        <f t="shared" si="4"/>
        <v>－</v>
      </c>
      <c r="V202" s="30">
        <f>62496155</f>
        <v>62496155</v>
      </c>
      <c r="W202" s="30" t="str">
        <f t="shared" si="5"/>
        <v>－</v>
      </c>
      <c r="X202" s="34">
        <f>15</f>
        <v>15</v>
      </c>
    </row>
    <row r="203" spans="1:24" ht="13.5" customHeight="1" x14ac:dyDescent="0.15">
      <c r="A203" s="25" t="s">
        <v>1112</v>
      </c>
      <c r="B203" s="25" t="s">
        <v>899</v>
      </c>
      <c r="C203" s="25" t="s">
        <v>900</v>
      </c>
      <c r="D203" s="25" t="s">
        <v>901</v>
      </c>
      <c r="E203" s="26" t="s">
        <v>45</v>
      </c>
      <c r="F203" s="27" t="s">
        <v>45</v>
      </c>
      <c r="G203" s="28" t="s">
        <v>45</v>
      </c>
      <c r="H203" s="29"/>
      <c r="I203" s="29" t="s">
        <v>567</v>
      </c>
      <c r="J203" s="30">
        <v>1</v>
      </c>
      <c r="K203" s="31">
        <f>10910</f>
        <v>10910</v>
      </c>
      <c r="L203" s="32" t="s">
        <v>875</v>
      </c>
      <c r="M203" s="31">
        <f>11010</f>
        <v>11010</v>
      </c>
      <c r="N203" s="32" t="s">
        <v>998</v>
      </c>
      <c r="O203" s="31">
        <f>10910</f>
        <v>10910</v>
      </c>
      <c r="P203" s="32" t="s">
        <v>875</v>
      </c>
      <c r="Q203" s="31">
        <f>11010</f>
        <v>11010</v>
      </c>
      <c r="R203" s="32" t="s">
        <v>998</v>
      </c>
      <c r="S203" s="33">
        <f>10960</f>
        <v>10960</v>
      </c>
      <c r="T203" s="30">
        <f>870</f>
        <v>870</v>
      </c>
      <c r="U203" s="30" t="str">
        <f t="shared" si="4"/>
        <v>－</v>
      </c>
      <c r="V203" s="30">
        <f>9528700</f>
        <v>9528700</v>
      </c>
      <c r="W203" s="30" t="str">
        <f t="shared" si="5"/>
        <v>－</v>
      </c>
      <c r="X203" s="34">
        <f>2</f>
        <v>2</v>
      </c>
    </row>
    <row r="204" spans="1:24" ht="13.5" customHeight="1" x14ac:dyDescent="0.15">
      <c r="A204" s="25" t="s">
        <v>1112</v>
      </c>
      <c r="B204" s="25" t="s">
        <v>986</v>
      </c>
      <c r="C204" s="25" t="s">
        <v>987</v>
      </c>
      <c r="D204" s="25" t="s">
        <v>988</v>
      </c>
      <c r="E204" s="26" t="s">
        <v>45</v>
      </c>
      <c r="F204" s="27" t="s">
        <v>45</v>
      </c>
      <c r="G204" s="28" t="s">
        <v>45</v>
      </c>
      <c r="H204" s="29"/>
      <c r="I204" s="29" t="s">
        <v>46</v>
      </c>
      <c r="J204" s="30">
        <v>10</v>
      </c>
      <c r="K204" s="31">
        <f>2167.5</f>
        <v>2167.5</v>
      </c>
      <c r="L204" s="32" t="s">
        <v>996</v>
      </c>
      <c r="M204" s="31">
        <f>2184</f>
        <v>2184</v>
      </c>
      <c r="N204" s="32" t="s">
        <v>791</v>
      </c>
      <c r="O204" s="31">
        <f>2049.5</f>
        <v>2049.5</v>
      </c>
      <c r="P204" s="32" t="s">
        <v>1005</v>
      </c>
      <c r="Q204" s="31">
        <f>2184</f>
        <v>2184</v>
      </c>
      <c r="R204" s="32" t="s">
        <v>791</v>
      </c>
      <c r="S204" s="33">
        <f>2129.2</f>
        <v>2129.1999999999998</v>
      </c>
      <c r="T204" s="30">
        <f>271860</f>
        <v>271860</v>
      </c>
      <c r="U204" s="30">
        <f>230000</f>
        <v>230000</v>
      </c>
      <c r="V204" s="30">
        <f>585826223</f>
        <v>585826223</v>
      </c>
      <c r="W204" s="30">
        <f>496725963</f>
        <v>496725963</v>
      </c>
      <c r="X204" s="34">
        <f>20</f>
        <v>20</v>
      </c>
    </row>
    <row r="205" spans="1:24" ht="13.5" customHeight="1" x14ac:dyDescent="0.15">
      <c r="A205" s="25" t="s">
        <v>1112</v>
      </c>
      <c r="B205" s="25" t="s">
        <v>990</v>
      </c>
      <c r="C205" s="25" t="s">
        <v>991</v>
      </c>
      <c r="D205" s="25" t="s">
        <v>992</v>
      </c>
      <c r="E205" s="26" t="s">
        <v>45</v>
      </c>
      <c r="F205" s="27" t="s">
        <v>45</v>
      </c>
      <c r="G205" s="28" t="s">
        <v>45</v>
      </c>
      <c r="H205" s="29"/>
      <c r="I205" s="29" t="s">
        <v>46</v>
      </c>
      <c r="J205" s="30">
        <v>1</v>
      </c>
      <c r="K205" s="31">
        <f>1110</f>
        <v>1110</v>
      </c>
      <c r="L205" s="32" t="s">
        <v>996</v>
      </c>
      <c r="M205" s="31">
        <f>1123</f>
        <v>1123</v>
      </c>
      <c r="N205" s="32" t="s">
        <v>793</v>
      </c>
      <c r="O205" s="31">
        <f>1062</f>
        <v>1062</v>
      </c>
      <c r="P205" s="32" t="s">
        <v>1005</v>
      </c>
      <c r="Q205" s="31">
        <f>1116</f>
        <v>1116</v>
      </c>
      <c r="R205" s="32" t="s">
        <v>791</v>
      </c>
      <c r="S205" s="33">
        <f>1094.75</f>
        <v>1094.75</v>
      </c>
      <c r="T205" s="30">
        <f>886046</f>
        <v>886046</v>
      </c>
      <c r="U205" s="30">
        <f>207000</f>
        <v>207000</v>
      </c>
      <c r="V205" s="30">
        <f>973100855</f>
        <v>973100855</v>
      </c>
      <c r="W205" s="30">
        <f>229305690</f>
        <v>229305690</v>
      </c>
      <c r="X205" s="34">
        <f>20</f>
        <v>20</v>
      </c>
    </row>
    <row r="206" spans="1:24" ht="13.5" customHeight="1" x14ac:dyDescent="0.15">
      <c r="A206" s="25" t="s">
        <v>1112</v>
      </c>
      <c r="B206" s="25" t="s">
        <v>1006</v>
      </c>
      <c r="C206" s="25" t="s">
        <v>1007</v>
      </c>
      <c r="D206" s="25" t="s">
        <v>1008</v>
      </c>
      <c r="E206" s="26" t="s">
        <v>45</v>
      </c>
      <c r="F206" s="27" t="s">
        <v>45</v>
      </c>
      <c r="G206" s="28" t="s">
        <v>45</v>
      </c>
      <c r="H206" s="29"/>
      <c r="I206" s="29" t="s">
        <v>46</v>
      </c>
      <c r="J206" s="30">
        <v>1</v>
      </c>
      <c r="K206" s="31">
        <f>59010</f>
        <v>59010</v>
      </c>
      <c r="L206" s="32" t="s">
        <v>996</v>
      </c>
      <c r="M206" s="31">
        <f>62110</f>
        <v>62110</v>
      </c>
      <c r="N206" s="32" t="s">
        <v>791</v>
      </c>
      <c r="O206" s="31">
        <f>57050</f>
        <v>57050</v>
      </c>
      <c r="P206" s="32" t="s">
        <v>875</v>
      </c>
      <c r="Q206" s="31">
        <f>61880</f>
        <v>61880</v>
      </c>
      <c r="R206" s="32" t="s">
        <v>791</v>
      </c>
      <c r="S206" s="33">
        <f>60038.5</f>
        <v>60038.5</v>
      </c>
      <c r="T206" s="30">
        <f>47522</f>
        <v>47522</v>
      </c>
      <c r="U206" s="30" t="str">
        <f>"－"</f>
        <v>－</v>
      </c>
      <c r="V206" s="30">
        <f>2845410100</f>
        <v>2845410100</v>
      </c>
      <c r="W206" s="30" t="str">
        <f>"－"</f>
        <v>－</v>
      </c>
      <c r="X206" s="34">
        <f>20</f>
        <v>20</v>
      </c>
    </row>
    <row r="207" spans="1:24" ht="13.5" customHeight="1" x14ac:dyDescent="0.15">
      <c r="A207" s="25" t="s">
        <v>1112</v>
      </c>
      <c r="B207" s="25" t="s">
        <v>1010</v>
      </c>
      <c r="C207" s="25" t="s">
        <v>1011</v>
      </c>
      <c r="D207" s="25" t="s">
        <v>1012</v>
      </c>
      <c r="E207" s="26" t="s">
        <v>45</v>
      </c>
      <c r="F207" s="27" t="s">
        <v>45</v>
      </c>
      <c r="G207" s="28" t="s">
        <v>45</v>
      </c>
      <c r="H207" s="29"/>
      <c r="I207" s="29" t="s">
        <v>46</v>
      </c>
      <c r="J207" s="30">
        <v>1</v>
      </c>
      <c r="K207" s="31">
        <f>8765</f>
        <v>8765</v>
      </c>
      <c r="L207" s="32" t="s">
        <v>996</v>
      </c>
      <c r="M207" s="31">
        <f>8913</f>
        <v>8913</v>
      </c>
      <c r="N207" s="32" t="s">
        <v>875</v>
      </c>
      <c r="O207" s="31">
        <f>8522</f>
        <v>8522</v>
      </c>
      <c r="P207" s="32" t="s">
        <v>791</v>
      </c>
      <c r="Q207" s="31">
        <f>8536</f>
        <v>8536</v>
      </c>
      <c r="R207" s="32" t="s">
        <v>791</v>
      </c>
      <c r="S207" s="33">
        <f>8682.45</f>
        <v>8682.4500000000007</v>
      </c>
      <c r="T207" s="30">
        <f>798082</f>
        <v>798082</v>
      </c>
      <c r="U207" s="30">
        <f>675000</f>
        <v>675000</v>
      </c>
      <c r="V207" s="30">
        <f>7033229050</f>
        <v>7033229050</v>
      </c>
      <c r="W207" s="30">
        <f>5958406500</f>
        <v>5958406500</v>
      </c>
      <c r="X207" s="34">
        <f>20</f>
        <v>20</v>
      </c>
    </row>
    <row r="208" spans="1:24" ht="13.5" customHeight="1" x14ac:dyDescent="0.15">
      <c r="A208" s="25" t="s">
        <v>1112</v>
      </c>
      <c r="B208" s="25" t="s">
        <v>1018</v>
      </c>
      <c r="C208" s="25" t="s">
        <v>1019</v>
      </c>
      <c r="D208" s="25" t="s">
        <v>1020</v>
      </c>
      <c r="E208" s="26" t="s">
        <v>45</v>
      </c>
      <c r="F208" s="27" t="s">
        <v>45</v>
      </c>
      <c r="G208" s="28" t="s">
        <v>45</v>
      </c>
      <c r="H208" s="29"/>
      <c r="I208" s="29" t="s">
        <v>46</v>
      </c>
      <c r="J208" s="30">
        <v>10</v>
      </c>
      <c r="K208" s="31">
        <f>12590</f>
        <v>12590</v>
      </c>
      <c r="L208" s="32" t="s">
        <v>996</v>
      </c>
      <c r="M208" s="31">
        <f>13280</f>
        <v>13280</v>
      </c>
      <c r="N208" s="32" t="s">
        <v>791</v>
      </c>
      <c r="O208" s="31">
        <f>12175</f>
        <v>12175</v>
      </c>
      <c r="P208" s="32" t="s">
        <v>875</v>
      </c>
      <c r="Q208" s="31">
        <f>13230</f>
        <v>13230</v>
      </c>
      <c r="R208" s="32" t="s">
        <v>791</v>
      </c>
      <c r="S208" s="33">
        <f>12830.25</f>
        <v>12830.25</v>
      </c>
      <c r="T208" s="30">
        <f>16980</f>
        <v>16980</v>
      </c>
      <c r="U208" s="30" t="str">
        <f>"－"</f>
        <v>－</v>
      </c>
      <c r="V208" s="30">
        <f>217559150</f>
        <v>217559150</v>
      </c>
      <c r="W208" s="30" t="str">
        <f>"－"</f>
        <v>－</v>
      </c>
      <c r="X208" s="34">
        <f>20</f>
        <v>20</v>
      </c>
    </row>
    <row r="209" spans="1:24" ht="13.5" customHeight="1" x14ac:dyDescent="0.15">
      <c r="A209" s="25" t="s">
        <v>1112</v>
      </c>
      <c r="B209" s="25" t="s">
        <v>1022</v>
      </c>
      <c r="C209" s="25" t="s">
        <v>1023</v>
      </c>
      <c r="D209" s="25" t="s">
        <v>1024</v>
      </c>
      <c r="E209" s="26" t="s">
        <v>45</v>
      </c>
      <c r="F209" s="27" t="s">
        <v>45</v>
      </c>
      <c r="G209" s="28" t="s">
        <v>45</v>
      </c>
      <c r="H209" s="29"/>
      <c r="I209" s="29" t="s">
        <v>46</v>
      </c>
      <c r="J209" s="30">
        <v>10</v>
      </c>
      <c r="K209" s="31">
        <f>8814</f>
        <v>8814</v>
      </c>
      <c r="L209" s="32" t="s">
        <v>996</v>
      </c>
      <c r="M209" s="31">
        <f>8990</f>
        <v>8990</v>
      </c>
      <c r="N209" s="32" t="s">
        <v>794</v>
      </c>
      <c r="O209" s="31">
        <f>8561</f>
        <v>8561</v>
      </c>
      <c r="P209" s="32" t="s">
        <v>791</v>
      </c>
      <c r="Q209" s="31">
        <f>8561</f>
        <v>8561</v>
      </c>
      <c r="R209" s="32" t="s">
        <v>791</v>
      </c>
      <c r="S209" s="33">
        <f>8726</f>
        <v>8726</v>
      </c>
      <c r="T209" s="30">
        <f>2480</f>
        <v>2480</v>
      </c>
      <c r="U209" s="30" t="str">
        <f>"－"</f>
        <v>－</v>
      </c>
      <c r="V209" s="30">
        <f>21621230</f>
        <v>21621230</v>
      </c>
      <c r="W209" s="30" t="str">
        <f>"－"</f>
        <v>－</v>
      </c>
      <c r="X209" s="34">
        <f>20</f>
        <v>20</v>
      </c>
    </row>
    <row r="210" spans="1:24" ht="13.5" customHeight="1" x14ac:dyDescent="0.15">
      <c r="A210" s="25" t="s">
        <v>1112</v>
      </c>
      <c r="B210" s="25" t="s">
        <v>1025</v>
      </c>
      <c r="C210" s="25" t="s">
        <v>1026</v>
      </c>
      <c r="D210" s="25" t="s">
        <v>1027</v>
      </c>
      <c r="E210" s="26" t="s">
        <v>45</v>
      </c>
      <c r="F210" s="27" t="s">
        <v>45</v>
      </c>
      <c r="G210" s="28" t="s">
        <v>45</v>
      </c>
      <c r="H210" s="29"/>
      <c r="I210" s="29" t="s">
        <v>46</v>
      </c>
      <c r="J210" s="30">
        <v>10</v>
      </c>
      <c r="K210" s="31">
        <f>559.7</f>
        <v>559.70000000000005</v>
      </c>
      <c r="L210" s="32" t="s">
        <v>996</v>
      </c>
      <c r="M210" s="31">
        <f>563</f>
        <v>563</v>
      </c>
      <c r="N210" s="32" t="s">
        <v>785</v>
      </c>
      <c r="O210" s="31">
        <f>524.9</f>
        <v>524.9</v>
      </c>
      <c r="P210" s="32" t="s">
        <v>1005</v>
      </c>
      <c r="Q210" s="31">
        <f>559.3</f>
        <v>559.29999999999995</v>
      </c>
      <c r="R210" s="32" t="s">
        <v>791</v>
      </c>
      <c r="S210" s="33">
        <f>545.59</f>
        <v>545.59</v>
      </c>
      <c r="T210" s="30">
        <f>532230</f>
        <v>532230</v>
      </c>
      <c r="U210" s="30" t="str">
        <f>"－"</f>
        <v>－</v>
      </c>
      <c r="V210" s="30">
        <f>293836421</f>
        <v>293836421</v>
      </c>
      <c r="W210" s="30" t="str">
        <f>"－"</f>
        <v>－</v>
      </c>
      <c r="X210" s="34">
        <f>20</f>
        <v>20</v>
      </c>
    </row>
    <row r="211" spans="1:24" ht="13.5" customHeight="1" x14ac:dyDescent="0.15">
      <c r="A211" s="25" t="s">
        <v>1112</v>
      </c>
      <c r="B211" s="25" t="s">
        <v>1029</v>
      </c>
      <c r="C211" s="25" t="s">
        <v>1030</v>
      </c>
      <c r="D211" s="25" t="s">
        <v>1031</v>
      </c>
      <c r="E211" s="26" t="s">
        <v>45</v>
      </c>
      <c r="F211" s="27" t="s">
        <v>45</v>
      </c>
      <c r="G211" s="28" t="s">
        <v>45</v>
      </c>
      <c r="H211" s="29"/>
      <c r="I211" s="29" t="s">
        <v>46</v>
      </c>
      <c r="J211" s="30">
        <v>10</v>
      </c>
      <c r="K211" s="31">
        <f>509</f>
        <v>509</v>
      </c>
      <c r="L211" s="32" t="s">
        <v>996</v>
      </c>
      <c r="M211" s="31">
        <f>535.4</f>
        <v>535.4</v>
      </c>
      <c r="N211" s="32" t="s">
        <v>997</v>
      </c>
      <c r="O211" s="31">
        <f>501</f>
        <v>501</v>
      </c>
      <c r="P211" s="32" t="s">
        <v>875</v>
      </c>
      <c r="Q211" s="31">
        <f>525.9</f>
        <v>525.9</v>
      </c>
      <c r="R211" s="32" t="s">
        <v>791</v>
      </c>
      <c r="S211" s="33">
        <f>516.63</f>
        <v>516.63</v>
      </c>
      <c r="T211" s="30">
        <f>63940</f>
        <v>63940</v>
      </c>
      <c r="U211" s="30" t="str">
        <f>"－"</f>
        <v>－</v>
      </c>
      <c r="V211" s="30">
        <f>33264211</f>
        <v>33264211</v>
      </c>
      <c r="W211" s="30" t="str">
        <f>"－"</f>
        <v>－</v>
      </c>
      <c r="X211" s="34">
        <f>19</f>
        <v>19</v>
      </c>
    </row>
    <row r="212" spans="1:24" ht="13.5" customHeight="1" x14ac:dyDescent="0.15">
      <c r="A212" s="25" t="s">
        <v>1112</v>
      </c>
      <c r="B212" s="25" t="s">
        <v>1071</v>
      </c>
      <c r="C212" s="25" t="s">
        <v>1072</v>
      </c>
      <c r="D212" s="25" t="s">
        <v>1073</v>
      </c>
      <c r="E212" s="26" t="s">
        <v>45</v>
      </c>
      <c r="F212" s="27" t="s">
        <v>45</v>
      </c>
      <c r="G212" s="28" t="s">
        <v>45</v>
      </c>
      <c r="H212" s="29"/>
      <c r="I212" s="29" t="s">
        <v>46</v>
      </c>
      <c r="J212" s="30">
        <v>1</v>
      </c>
      <c r="K212" s="31">
        <f>1269</f>
        <v>1269</v>
      </c>
      <c r="L212" s="32" t="s">
        <v>996</v>
      </c>
      <c r="M212" s="31">
        <f>1307</f>
        <v>1307</v>
      </c>
      <c r="N212" s="32" t="s">
        <v>791</v>
      </c>
      <c r="O212" s="31">
        <f>1211</f>
        <v>1211</v>
      </c>
      <c r="P212" s="32" t="s">
        <v>875</v>
      </c>
      <c r="Q212" s="31">
        <f>1307</f>
        <v>1307</v>
      </c>
      <c r="R212" s="32" t="s">
        <v>791</v>
      </c>
      <c r="S212" s="33">
        <f>1256.6</f>
        <v>1256.5999999999999</v>
      </c>
      <c r="T212" s="30">
        <f>1810250</f>
        <v>1810250</v>
      </c>
      <c r="U212" s="30">
        <f>811866</f>
        <v>811866</v>
      </c>
      <c r="V212" s="30">
        <f>2274452354</f>
        <v>2274452354</v>
      </c>
      <c r="W212" s="30">
        <f>1016821565</f>
        <v>1016821565</v>
      </c>
      <c r="X212" s="34">
        <f>20</f>
        <v>20</v>
      </c>
    </row>
    <row r="213" spans="1:24" ht="13.5" customHeight="1" x14ac:dyDescent="0.15">
      <c r="A213" s="25" t="s">
        <v>1112</v>
      </c>
      <c r="B213" s="25" t="s">
        <v>1075</v>
      </c>
      <c r="C213" s="25" t="s">
        <v>1076</v>
      </c>
      <c r="D213" s="25" t="s">
        <v>1077</v>
      </c>
      <c r="E213" s="26" t="s">
        <v>45</v>
      </c>
      <c r="F213" s="27" t="s">
        <v>45</v>
      </c>
      <c r="G213" s="28" t="s">
        <v>45</v>
      </c>
      <c r="H213" s="29"/>
      <c r="I213" s="29" t="s">
        <v>46</v>
      </c>
      <c r="J213" s="30">
        <v>1</v>
      </c>
      <c r="K213" s="31">
        <f>1340</f>
        <v>1340</v>
      </c>
      <c r="L213" s="32" t="s">
        <v>996</v>
      </c>
      <c r="M213" s="31">
        <f>1388</f>
        <v>1388</v>
      </c>
      <c r="N213" s="32" t="s">
        <v>791</v>
      </c>
      <c r="O213" s="31">
        <f>1287</f>
        <v>1287</v>
      </c>
      <c r="P213" s="32" t="s">
        <v>787</v>
      </c>
      <c r="Q213" s="31">
        <f>1384</f>
        <v>1384</v>
      </c>
      <c r="R213" s="32" t="s">
        <v>791</v>
      </c>
      <c r="S213" s="33">
        <f>1334</f>
        <v>1334</v>
      </c>
      <c r="T213" s="30">
        <f>2006885</f>
        <v>2006885</v>
      </c>
      <c r="U213" s="30">
        <f>759301</f>
        <v>759301</v>
      </c>
      <c r="V213" s="30">
        <f>2671108457</f>
        <v>2671108457</v>
      </c>
      <c r="W213" s="30">
        <f>1001100403</f>
        <v>1001100403</v>
      </c>
      <c r="X213" s="34">
        <f>20</f>
        <v>20</v>
      </c>
    </row>
    <row r="214" spans="1:24" ht="13.5" customHeight="1" x14ac:dyDescent="0.15">
      <c r="A214" s="25" t="s">
        <v>1112</v>
      </c>
      <c r="B214" s="25" t="s">
        <v>1078</v>
      </c>
      <c r="C214" s="25" t="s">
        <v>1079</v>
      </c>
      <c r="D214" s="25" t="s">
        <v>1080</v>
      </c>
      <c r="E214" s="26" t="s">
        <v>45</v>
      </c>
      <c r="F214" s="27" t="s">
        <v>45</v>
      </c>
      <c r="G214" s="28" t="s">
        <v>45</v>
      </c>
      <c r="H214" s="29"/>
      <c r="I214" s="29" t="s">
        <v>46</v>
      </c>
      <c r="J214" s="30">
        <v>10</v>
      </c>
      <c r="K214" s="31">
        <f>795</f>
        <v>795</v>
      </c>
      <c r="L214" s="32" t="s">
        <v>785</v>
      </c>
      <c r="M214" s="31">
        <f>811.4</f>
        <v>811.4</v>
      </c>
      <c r="N214" s="32" t="s">
        <v>255</v>
      </c>
      <c r="O214" s="31">
        <f>781.4</f>
        <v>781.4</v>
      </c>
      <c r="P214" s="32" t="s">
        <v>255</v>
      </c>
      <c r="Q214" s="31">
        <f>809.7</f>
        <v>809.7</v>
      </c>
      <c r="R214" s="32" t="s">
        <v>791</v>
      </c>
      <c r="S214" s="33">
        <f>794.67</f>
        <v>794.67</v>
      </c>
      <c r="T214" s="30">
        <f>105890</f>
        <v>105890</v>
      </c>
      <c r="U214" s="30">
        <f>50000</f>
        <v>50000</v>
      </c>
      <c r="V214" s="30">
        <f>83485341</f>
        <v>83485341</v>
      </c>
      <c r="W214" s="30">
        <f>39230000</f>
        <v>39230000</v>
      </c>
      <c r="X214" s="34">
        <f>14</f>
        <v>14</v>
      </c>
    </row>
    <row r="215" spans="1:24" ht="13.5" customHeight="1" x14ac:dyDescent="0.15">
      <c r="A215" s="25" t="s">
        <v>1112</v>
      </c>
      <c r="B215" s="25" t="s">
        <v>1082</v>
      </c>
      <c r="C215" s="25" t="s">
        <v>1083</v>
      </c>
      <c r="D215" s="25" t="s">
        <v>1084</v>
      </c>
      <c r="E215" s="26" t="s">
        <v>45</v>
      </c>
      <c r="F215" s="27" t="s">
        <v>45</v>
      </c>
      <c r="G215" s="28" t="s">
        <v>45</v>
      </c>
      <c r="H215" s="29"/>
      <c r="I215" s="29" t="s">
        <v>46</v>
      </c>
      <c r="J215" s="30">
        <v>10</v>
      </c>
      <c r="K215" s="31">
        <f>830.7</f>
        <v>830.7</v>
      </c>
      <c r="L215" s="32" t="s">
        <v>996</v>
      </c>
      <c r="M215" s="31">
        <f>830.7</f>
        <v>830.7</v>
      </c>
      <c r="N215" s="32" t="s">
        <v>996</v>
      </c>
      <c r="O215" s="31">
        <f>784.9</f>
        <v>784.9</v>
      </c>
      <c r="P215" s="32" t="s">
        <v>1003</v>
      </c>
      <c r="Q215" s="31">
        <f>794.3</f>
        <v>794.3</v>
      </c>
      <c r="R215" s="32" t="s">
        <v>791</v>
      </c>
      <c r="S215" s="33">
        <f>795.23</f>
        <v>795.23</v>
      </c>
      <c r="T215" s="30">
        <f>36880</f>
        <v>36880</v>
      </c>
      <c r="U215" s="30" t="str">
        <f>"－"</f>
        <v>－</v>
      </c>
      <c r="V215" s="30">
        <f>29248694</f>
        <v>29248694</v>
      </c>
      <c r="W215" s="30" t="str">
        <f>"－"</f>
        <v>－</v>
      </c>
      <c r="X215" s="34">
        <f>17</f>
        <v>17</v>
      </c>
    </row>
    <row r="216" spans="1:24" ht="13.5" customHeight="1" x14ac:dyDescent="0.15">
      <c r="A216" s="25" t="s">
        <v>1112</v>
      </c>
      <c r="B216" s="25" t="s">
        <v>1092</v>
      </c>
      <c r="C216" s="25" t="s">
        <v>1093</v>
      </c>
      <c r="D216" s="25" t="s">
        <v>1094</v>
      </c>
      <c r="E216" s="26" t="s">
        <v>45</v>
      </c>
      <c r="F216" s="27" t="s">
        <v>45</v>
      </c>
      <c r="G216" s="28" t="s">
        <v>45</v>
      </c>
      <c r="H216" s="29"/>
      <c r="I216" s="29" t="s">
        <v>46</v>
      </c>
      <c r="J216" s="30">
        <v>1</v>
      </c>
      <c r="K216" s="31">
        <f>12015</f>
        <v>12015</v>
      </c>
      <c r="L216" s="32" t="s">
        <v>996</v>
      </c>
      <c r="M216" s="31">
        <f>12140</f>
        <v>12140</v>
      </c>
      <c r="N216" s="32" t="s">
        <v>791</v>
      </c>
      <c r="O216" s="31">
        <f>11560</f>
        <v>11560</v>
      </c>
      <c r="P216" s="32" t="s">
        <v>1005</v>
      </c>
      <c r="Q216" s="31">
        <f>12140</f>
        <v>12140</v>
      </c>
      <c r="R216" s="32" t="s">
        <v>791</v>
      </c>
      <c r="S216" s="33">
        <f>11864.75</f>
        <v>11864.75</v>
      </c>
      <c r="T216" s="30">
        <f>130354</f>
        <v>130354</v>
      </c>
      <c r="U216" s="30">
        <f>83000</f>
        <v>83000</v>
      </c>
      <c r="V216" s="30">
        <f>1558211307</f>
        <v>1558211307</v>
      </c>
      <c r="W216" s="30">
        <f>998757017</f>
        <v>998757017</v>
      </c>
      <c r="X216" s="34">
        <f>20</f>
        <v>20</v>
      </c>
    </row>
    <row r="217" spans="1:24" ht="13.5" customHeight="1" x14ac:dyDescent="0.15">
      <c r="A217" s="25" t="s">
        <v>1112</v>
      </c>
      <c r="B217" s="25" t="s">
        <v>1096</v>
      </c>
      <c r="C217" s="25" t="s">
        <v>1097</v>
      </c>
      <c r="D217" s="25" t="s">
        <v>1098</v>
      </c>
      <c r="E217" s="26" t="s">
        <v>45</v>
      </c>
      <c r="F217" s="27" t="s">
        <v>45</v>
      </c>
      <c r="G217" s="28" t="s">
        <v>45</v>
      </c>
      <c r="H217" s="29"/>
      <c r="I217" s="29" t="s">
        <v>46</v>
      </c>
      <c r="J217" s="30">
        <v>1</v>
      </c>
      <c r="K217" s="31">
        <f>37120</f>
        <v>37120</v>
      </c>
      <c r="L217" s="32" t="s">
        <v>996</v>
      </c>
      <c r="M217" s="31">
        <f>38040</f>
        <v>38040</v>
      </c>
      <c r="N217" s="32" t="s">
        <v>791</v>
      </c>
      <c r="O217" s="31">
        <f>36690</f>
        <v>36690</v>
      </c>
      <c r="P217" s="32" t="s">
        <v>1003</v>
      </c>
      <c r="Q217" s="31">
        <f>37890</f>
        <v>37890</v>
      </c>
      <c r="R217" s="32" t="s">
        <v>791</v>
      </c>
      <c r="S217" s="33">
        <f>37293</f>
        <v>37293</v>
      </c>
      <c r="T217" s="30">
        <f>16228</f>
        <v>16228</v>
      </c>
      <c r="U217" s="30">
        <f>15926</f>
        <v>15926</v>
      </c>
      <c r="V217" s="30">
        <f>610984462</f>
        <v>610984462</v>
      </c>
      <c r="W217" s="30">
        <f>599744492</f>
        <v>599744492</v>
      </c>
      <c r="X217" s="34">
        <f>10</f>
        <v>10</v>
      </c>
    </row>
    <row r="218" spans="1:24" ht="13.5" customHeight="1" x14ac:dyDescent="0.15">
      <c r="A218" s="25" t="s">
        <v>1112</v>
      </c>
      <c r="B218" s="25" t="s">
        <v>1099</v>
      </c>
      <c r="C218" s="25" t="s">
        <v>1100</v>
      </c>
      <c r="D218" s="25" t="s">
        <v>1101</v>
      </c>
      <c r="E218" s="26" t="s">
        <v>45</v>
      </c>
      <c r="F218" s="27" t="s">
        <v>45</v>
      </c>
      <c r="G218" s="28" t="s">
        <v>45</v>
      </c>
      <c r="H218" s="29"/>
      <c r="I218" s="29" t="s">
        <v>46</v>
      </c>
      <c r="J218" s="30">
        <v>1</v>
      </c>
      <c r="K218" s="31">
        <f>29545</f>
        <v>29545</v>
      </c>
      <c r="L218" s="32" t="s">
        <v>996</v>
      </c>
      <c r="M218" s="31">
        <f>29545</f>
        <v>29545</v>
      </c>
      <c r="N218" s="32" t="s">
        <v>996</v>
      </c>
      <c r="O218" s="31">
        <f>26875</f>
        <v>26875</v>
      </c>
      <c r="P218" s="32" t="s">
        <v>791</v>
      </c>
      <c r="Q218" s="31">
        <f>26960</f>
        <v>26960</v>
      </c>
      <c r="R218" s="32" t="s">
        <v>791</v>
      </c>
      <c r="S218" s="33">
        <f>27850.26</f>
        <v>27850.26</v>
      </c>
      <c r="T218" s="30">
        <f>10465</f>
        <v>10465</v>
      </c>
      <c r="U218" s="30" t="str">
        <f>"－"</f>
        <v>－</v>
      </c>
      <c r="V218" s="30">
        <f>292897105</f>
        <v>292897105</v>
      </c>
      <c r="W218" s="30" t="str">
        <f>"－"</f>
        <v>－</v>
      </c>
      <c r="X218" s="34">
        <f>19</f>
        <v>19</v>
      </c>
    </row>
    <row r="219" spans="1:24" ht="13.5" customHeight="1" x14ac:dyDescent="0.15">
      <c r="A219" s="25" t="s">
        <v>1112</v>
      </c>
      <c r="B219" s="25" t="s">
        <v>1104</v>
      </c>
      <c r="C219" s="25" t="s">
        <v>1105</v>
      </c>
      <c r="D219" s="25" t="s">
        <v>1106</v>
      </c>
      <c r="E219" s="26" t="s">
        <v>45</v>
      </c>
      <c r="F219" s="27" t="s">
        <v>45</v>
      </c>
      <c r="G219" s="28" t="s">
        <v>45</v>
      </c>
      <c r="H219" s="29"/>
      <c r="I219" s="29" t="s">
        <v>46</v>
      </c>
      <c r="J219" s="30">
        <v>10</v>
      </c>
      <c r="K219" s="31">
        <f>205.4</f>
        <v>205.4</v>
      </c>
      <c r="L219" s="32" t="s">
        <v>996</v>
      </c>
      <c r="M219" s="31">
        <f>206.5</f>
        <v>206.5</v>
      </c>
      <c r="N219" s="32" t="s">
        <v>784</v>
      </c>
      <c r="O219" s="31">
        <f>196.2</f>
        <v>196.2</v>
      </c>
      <c r="P219" s="32" t="s">
        <v>787</v>
      </c>
      <c r="Q219" s="31">
        <f>205.5</f>
        <v>205.5</v>
      </c>
      <c r="R219" s="32" t="s">
        <v>791</v>
      </c>
      <c r="S219" s="33">
        <f>201.99</f>
        <v>201.99</v>
      </c>
      <c r="T219" s="30">
        <f>85810</f>
        <v>85810</v>
      </c>
      <c r="U219" s="30" t="str">
        <f>"－"</f>
        <v>－</v>
      </c>
      <c r="V219" s="30">
        <f>17488584</f>
        <v>17488584</v>
      </c>
      <c r="W219" s="30" t="str">
        <f>"－"</f>
        <v>－</v>
      </c>
      <c r="X219" s="34">
        <f>20</f>
        <v>20</v>
      </c>
    </row>
    <row r="220" spans="1:24" ht="13.5" customHeight="1" x14ac:dyDescent="0.15">
      <c r="A220" s="25" t="s">
        <v>1112</v>
      </c>
      <c r="B220" s="25" t="s">
        <v>1108</v>
      </c>
      <c r="C220" s="25" t="s">
        <v>1109</v>
      </c>
      <c r="D220" s="25" t="s">
        <v>1110</v>
      </c>
      <c r="E220" s="26" t="s">
        <v>45</v>
      </c>
      <c r="F220" s="27" t="s">
        <v>45</v>
      </c>
      <c r="G220" s="28" t="s">
        <v>45</v>
      </c>
      <c r="H220" s="29"/>
      <c r="I220" s="29" t="s">
        <v>46</v>
      </c>
      <c r="J220" s="30">
        <v>10</v>
      </c>
      <c r="K220" s="31">
        <f>749.8</f>
        <v>749.8</v>
      </c>
      <c r="L220" s="32" t="s">
        <v>996</v>
      </c>
      <c r="M220" s="31">
        <f>778.1</f>
        <v>778.1</v>
      </c>
      <c r="N220" s="32" t="s">
        <v>791</v>
      </c>
      <c r="O220" s="31">
        <f>748.8</f>
        <v>748.8</v>
      </c>
      <c r="P220" s="32" t="s">
        <v>78</v>
      </c>
      <c r="Q220" s="31">
        <f>768.2</f>
        <v>768.2</v>
      </c>
      <c r="R220" s="32" t="s">
        <v>791</v>
      </c>
      <c r="S220" s="33">
        <f>756.3</f>
        <v>756.3</v>
      </c>
      <c r="T220" s="30">
        <f>145180</f>
        <v>145180</v>
      </c>
      <c r="U220" s="30" t="str">
        <f>"－"</f>
        <v>－</v>
      </c>
      <c r="V220" s="30">
        <f>110917408</f>
        <v>110917408</v>
      </c>
      <c r="W220" s="30" t="str">
        <f>"－"</f>
        <v>－</v>
      </c>
      <c r="X220" s="34">
        <f>20</f>
        <v>20</v>
      </c>
    </row>
    <row r="221" spans="1:24" ht="13.5" customHeight="1" x14ac:dyDescent="0.15">
      <c r="A221" s="25" t="s">
        <v>1112</v>
      </c>
      <c r="B221" s="25" t="s">
        <v>1129</v>
      </c>
      <c r="C221" s="25" t="s">
        <v>1130</v>
      </c>
      <c r="D221" s="25" t="s">
        <v>1131</v>
      </c>
      <c r="E221" s="26" t="s">
        <v>782</v>
      </c>
      <c r="F221" s="27" t="s">
        <v>783</v>
      </c>
      <c r="G221" s="28" t="s">
        <v>1132</v>
      </c>
      <c r="H221" s="29"/>
      <c r="I221" s="29" t="s">
        <v>46</v>
      </c>
      <c r="J221" s="30">
        <v>1</v>
      </c>
      <c r="K221" s="31">
        <f>1005</f>
        <v>1005</v>
      </c>
      <c r="L221" s="32" t="s">
        <v>56</v>
      </c>
      <c r="M221" s="31">
        <f>1032</f>
        <v>1032</v>
      </c>
      <c r="N221" s="32" t="s">
        <v>791</v>
      </c>
      <c r="O221" s="31">
        <f>992</f>
        <v>992</v>
      </c>
      <c r="P221" s="32" t="s">
        <v>1005</v>
      </c>
      <c r="Q221" s="31">
        <f>1029</f>
        <v>1029</v>
      </c>
      <c r="R221" s="32" t="s">
        <v>791</v>
      </c>
      <c r="S221" s="33">
        <f>1016.5</f>
        <v>1016.5</v>
      </c>
      <c r="T221" s="30">
        <f>1198145</f>
        <v>1198145</v>
      </c>
      <c r="U221" s="30">
        <f>992000</f>
        <v>992000</v>
      </c>
      <c r="V221" s="30">
        <f>1204637612</f>
        <v>1204637612</v>
      </c>
      <c r="W221" s="30">
        <f>994120648</f>
        <v>994120648</v>
      </c>
      <c r="X221" s="34">
        <f>12</f>
        <v>12</v>
      </c>
    </row>
    <row r="222" spans="1:24" ht="13.5" customHeight="1" x14ac:dyDescent="0.15">
      <c r="A222" s="25" t="s">
        <v>1112</v>
      </c>
      <c r="B222" s="25" t="s">
        <v>1133</v>
      </c>
      <c r="C222" s="25" t="s">
        <v>1134</v>
      </c>
      <c r="D222" s="25" t="s">
        <v>1135</v>
      </c>
      <c r="E222" s="26" t="s">
        <v>782</v>
      </c>
      <c r="F222" s="27" t="s">
        <v>783</v>
      </c>
      <c r="G222" s="28" t="s">
        <v>1132</v>
      </c>
      <c r="H222" s="29"/>
      <c r="I222" s="29" t="s">
        <v>46</v>
      </c>
      <c r="J222" s="30">
        <v>1</v>
      </c>
      <c r="K222" s="31">
        <f>1000</f>
        <v>1000</v>
      </c>
      <c r="L222" s="32" t="s">
        <v>56</v>
      </c>
      <c r="M222" s="31">
        <f>1042</f>
        <v>1042</v>
      </c>
      <c r="N222" s="32" t="s">
        <v>791</v>
      </c>
      <c r="O222" s="31">
        <f>986</f>
        <v>986</v>
      </c>
      <c r="P222" s="32" t="s">
        <v>788</v>
      </c>
      <c r="Q222" s="31">
        <f>1042</f>
        <v>1042</v>
      </c>
      <c r="R222" s="32" t="s">
        <v>791</v>
      </c>
      <c r="S222" s="33">
        <f>1015</f>
        <v>1015</v>
      </c>
      <c r="T222" s="30">
        <f>126727</f>
        <v>126727</v>
      </c>
      <c r="U222" s="30" t="str">
        <f>"－"</f>
        <v>－</v>
      </c>
      <c r="V222" s="30">
        <f>128502761</f>
        <v>128502761</v>
      </c>
      <c r="W222" s="30" t="str">
        <f>"－"</f>
        <v>－</v>
      </c>
      <c r="X222" s="34">
        <f>12</f>
        <v>12</v>
      </c>
    </row>
    <row r="223" spans="1:24" ht="13.5" customHeight="1" x14ac:dyDescent="0.15">
      <c r="A223" s="25" t="s">
        <v>1112</v>
      </c>
      <c r="B223" s="25" t="s">
        <v>1136</v>
      </c>
      <c r="C223" s="25" t="s">
        <v>1137</v>
      </c>
      <c r="D223" s="25" t="s">
        <v>1138</v>
      </c>
      <c r="E223" s="26" t="s">
        <v>782</v>
      </c>
      <c r="F223" s="27" t="s">
        <v>783</v>
      </c>
      <c r="G223" s="28" t="s">
        <v>1132</v>
      </c>
      <c r="H223" s="29"/>
      <c r="I223" s="29" t="s">
        <v>46</v>
      </c>
      <c r="J223" s="30">
        <v>1</v>
      </c>
      <c r="K223" s="31">
        <f>1014</f>
        <v>1014</v>
      </c>
      <c r="L223" s="32" t="s">
        <v>56</v>
      </c>
      <c r="M223" s="31">
        <f>1023</f>
        <v>1023</v>
      </c>
      <c r="N223" s="32" t="s">
        <v>791</v>
      </c>
      <c r="O223" s="31">
        <f>952</f>
        <v>952</v>
      </c>
      <c r="P223" s="32" t="s">
        <v>793</v>
      </c>
      <c r="Q223" s="31">
        <f>1014</f>
        <v>1014</v>
      </c>
      <c r="R223" s="32" t="s">
        <v>791</v>
      </c>
      <c r="S223" s="33">
        <f>976.83</f>
        <v>976.83</v>
      </c>
      <c r="T223" s="30">
        <f>201859</f>
        <v>201859</v>
      </c>
      <c r="U223" s="30" t="str">
        <f>"－"</f>
        <v>－</v>
      </c>
      <c r="V223" s="30">
        <f>197687148</f>
        <v>197687148</v>
      </c>
      <c r="W223" s="30" t="str">
        <f>"－"</f>
        <v>－</v>
      </c>
      <c r="X223" s="34">
        <f>12</f>
        <v>12</v>
      </c>
    </row>
    <row r="224" spans="1:24" ht="13.5" customHeight="1" x14ac:dyDescent="0.15">
      <c r="A224" s="25" t="s">
        <v>1112</v>
      </c>
      <c r="B224" s="25" t="s">
        <v>643</v>
      </c>
      <c r="C224" s="25" t="s">
        <v>644</v>
      </c>
      <c r="D224" s="25" t="s">
        <v>645</v>
      </c>
      <c r="E224" s="26" t="s">
        <v>45</v>
      </c>
      <c r="F224" s="27" t="s">
        <v>45</v>
      </c>
      <c r="G224" s="28" t="s">
        <v>45</v>
      </c>
      <c r="H224" s="29"/>
      <c r="I224" s="29" t="s">
        <v>46</v>
      </c>
      <c r="J224" s="30">
        <v>10</v>
      </c>
      <c r="K224" s="31">
        <f>959.9</f>
        <v>959.9</v>
      </c>
      <c r="L224" s="32" t="s">
        <v>996</v>
      </c>
      <c r="M224" s="31">
        <f>960.5</f>
        <v>960.5</v>
      </c>
      <c r="N224" s="32" t="s">
        <v>78</v>
      </c>
      <c r="O224" s="31">
        <f>943</f>
        <v>943</v>
      </c>
      <c r="P224" s="32" t="s">
        <v>791</v>
      </c>
      <c r="Q224" s="31">
        <f>943</f>
        <v>943</v>
      </c>
      <c r="R224" s="32" t="s">
        <v>791</v>
      </c>
      <c r="S224" s="33">
        <f>952.07</f>
        <v>952.07</v>
      </c>
      <c r="T224" s="30">
        <f>1909630</f>
        <v>1909630</v>
      </c>
      <c r="U224" s="30">
        <f>923490</f>
        <v>923490</v>
      </c>
      <c r="V224" s="30">
        <f>1817598022</f>
        <v>1817598022</v>
      </c>
      <c r="W224" s="30">
        <f>878988435</f>
        <v>878988435</v>
      </c>
      <c r="X224" s="34">
        <f>20</f>
        <v>20</v>
      </c>
    </row>
    <row r="225" spans="1:24" ht="13.5" customHeight="1" x14ac:dyDescent="0.15">
      <c r="A225" s="25" t="s">
        <v>1112</v>
      </c>
      <c r="B225" s="25" t="s">
        <v>646</v>
      </c>
      <c r="C225" s="25" t="s">
        <v>647</v>
      </c>
      <c r="D225" s="25" t="s">
        <v>648</v>
      </c>
      <c r="E225" s="26" t="s">
        <v>45</v>
      </c>
      <c r="F225" s="27" t="s">
        <v>45</v>
      </c>
      <c r="G225" s="28" t="s">
        <v>45</v>
      </c>
      <c r="H225" s="29"/>
      <c r="I225" s="29" t="s">
        <v>46</v>
      </c>
      <c r="J225" s="30">
        <v>10</v>
      </c>
      <c r="K225" s="31">
        <f>1049</f>
        <v>1049</v>
      </c>
      <c r="L225" s="32" t="s">
        <v>996</v>
      </c>
      <c r="M225" s="31">
        <f>1049</f>
        <v>1049</v>
      </c>
      <c r="N225" s="32" t="s">
        <v>996</v>
      </c>
      <c r="O225" s="31">
        <f>992</f>
        <v>992</v>
      </c>
      <c r="P225" s="32" t="s">
        <v>997</v>
      </c>
      <c r="Q225" s="31">
        <f>1026</f>
        <v>1026</v>
      </c>
      <c r="R225" s="32" t="s">
        <v>791</v>
      </c>
      <c r="S225" s="33">
        <f>1023</f>
        <v>1023</v>
      </c>
      <c r="T225" s="30">
        <f>2781140</f>
        <v>2781140</v>
      </c>
      <c r="U225" s="30">
        <f>1738780</f>
        <v>1738780</v>
      </c>
      <c r="V225" s="30">
        <f>2840699013</f>
        <v>2840699013</v>
      </c>
      <c r="W225" s="30">
        <f>1777746667</f>
        <v>1777746667</v>
      </c>
      <c r="X225" s="34">
        <f>20</f>
        <v>20</v>
      </c>
    </row>
    <row r="226" spans="1:24" ht="13.5" customHeight="1" x14ac:dyDescent="0.15">
      <c r="A226" s="25" t="s">
        <v>1112</v>
      </c>
      <c r="B226" s="25" t="s">
        <v>649</v>
      </c>
      <c r="C226" s="25" t="s">
        <v>650</v>
      </c>
      <c r="D226" s="25" t="s">
        <v>651</v>
      </c>
      <c r="E226" s="26" t="s">
        <v>45</v>
      </c>
      <c r="F226" s="27" t="s">
        <v>45</v>
      </c>
      <c r="G226" s="28" t="s">
        <v>45</v>
      </c>
      <c r="H226" s="29"/>
      <c r="I226" s="29" t="s">
        <v>46</v>
      </c>
      <c r="J226" s="30">
        <v>10</v>
      </c>
      <c r="K226" s="31">
        <f>824</f>
        <v>824</v>
      </c>
      <c r="L226" s="32" t="s">
        <v>996</v>
      </c>
      <c r="M226" s="31">
        <f>826</f>
        <v>826</v>
      </c>
      <c r="N226" s="32" t="s">
        <v>996</v>
      </c>
      <c r="O226" s="31">
        <f>805</f>
        <v>805</v>
      </c>
      <c r="P226" s="32" t="s">
        <v>875</v>
      </c>
      <c r="Q226" s="31">
        <f>814</f>
        <v>814</v>
      </c>
      <c r="R226" s="32" t="s">
        <v>791</v>
      </c>
      <c r="S226" s="33">
        <f>814.53</f>
        <v>814.53</v>
      </c>
      <c r="T226" s="30">
        <f>1612730</f>
        <v>1612730</v>
      </c>
      <c r="U226" s="30">
        <f>1091520</f>
        <v>1091520</v>
      </c>
      <c r="V226" s="30">
        <f>1311326638</f>
        <v>1311326638</v>
      </c>
      <c r="W226" s="30">
        <f>888622134</f>
        <v>888622134</v>
      </c>
      <c r="X226" s="34">
        <f>20</f>
        <v>20</v>
      </c>
    </row>
    <row r="227" spans="1:24" ht="13.5" customHeight="1" x14ac:dyDescent="0.15">
      <c r="A227" s="25" t="s">
        <v>1112</v>
      </c>
      <c r="B227" s="25" t="s">
        <v>652</v>
      </c>
      <c r="C227" s="25" t="s">
        <v>653</v>
      </c>
      <c r="D227" s="25" t="s">
        <v>654</v>
      </c>
      <c r="E227" s="26" t="s">
        <v>45</v>
      </c>
      <c r="F227" s="27" t="s">
        <v>45</v>
      </c>
      <c r="G227" s="28" t="s">
        <v>45</v>
      </c>
      <c r="H227" s="29"/>
      <c r="I227" s="29" t="s">
        <v>46</v>
      </c>
      <c r="J227" s="30">
        <v>10</v>
      </c>
      <c r="K227" s="31">
        <f>1968</f>
        <v>1968</v>
      </c>
      <c r="L227" s="32" t="s">
        <v>996</v>
      </c>
      <c r="M227" s="31">
        <f>1985</f>
        <v>1985</v>
      </c>
      <c r="N227" s="32" t="s">
        <v>791</v>
      </c>
      <c r="O227" s="31">
        <f>1888</f>
        <v>1888</v>
      </c>
      <c r="P227" s="32" t="s">
        <v>787</v>
      </c>
      <c r="Q227" s="31">
        <f>1982.5</f>
        <v>1982.5</v>
      </c>
      <c r="R227" s="32" t="s">
        <v>791</v>
      </c>
      <c r="S227" s="33">
        <f>1938.13</f>
        <v>1938.13</v>
      </c>
      <c r="T227" s="30">
        <f>711850</f>
        <v>711850</v>
      </c>
      <c r="U227" s="30">
        <f>189850</f>
        <v>189850</v>
      </c>
      <c r="V227" s="30">
        <f>1375731833</f>
        <v>1375731833</v>
      </c>
      <c r="W227" s="30">
        <f>368469048</f>
        <v>368469048</v>
      </c>
      <c r="X227" s="34">
        <f>20</f>
        <v>20</v>
      </c>
    </row>
    <row r="228" spans="1:24" ht="13.5" customHeight="1" x14ac:dyDescent="0.15">
      <c r="A228" s="25" t="s">
        <v>1112</v>
      </c>
      <c r="B228" s="25" t="s">
        <v>655</v>
      </c>
      <c r="C228" s="25" t="s">
        <v>656</v>
      </c>
      <c r="D228" s="25" t="s">
        <v>657</v>
      </c>
      <c r="E228" s="26" t="s">
        <v>45</v>
      </c>
      <c r="F228" s="27" t="s">
        <v>45</v>
      </c>
      <c r="G228" s="28" t="s">
        <v>45</v>
      </c>
      <c r="H228" s="29"/>
      <c r="I228" s="29" t="s">
        <v>46</v>
      </c>
      <c r="J228" s="30">
        <v>10</v>
      </c>
      <c r="K228" s="31">
        <f>1424.5</f>
        <v>1424.5</v>
      </c>
      <c r="L228" s="32" t="s">
        <v>996</v>
      </c>
      <c r="M228" s="31">
        <f>1458</f>
        <v>1458</v>
      </c>
      <c r="N228" s="32" t="s">
        <v>791</v>
      </c>
      <c r="O228" s="31">
        <f>1393</f>
        <v>1393</v>
      </c>
      <c r="P228" s="32" t="s">
        <v>875</v>
      </c>
      <c r="Q228" s="31">
        <f>1455.5</f>
        <v>1455.5</v>
      </c>
      <c r="R228" s="32" t="s">
        <v>791</v>
      </c>
      <c r="S228" s="33">
        <f>1430.83</f>
        <v>1430.83</v>
      </c>
      <c r="T228" s="30">
        <f>106830</f>
        <v>106830</v>
      </c>
      <c r="U228" s="30" t="str">
        <f>"－"</f>
        <v>－</v>
      </c>
      <c r="V228" s="30">
        <f>152648285</f>
        <v>152648285</v>
      </c>
      <c r="W228" s="30" t="str">
        <f>"－"</f>
        <v>－</v>
      </c>
      <c r="X228" s="34">
        <f>20</f>
        <v>20</v>
      </c>
    </row>
    <row r="229" spans="1:24" ht="13.5" customHeight="1" x14ac:dyDescent="0.15">
      <c r="A229" s="25" t="s">
        <v>1112</v>
      </c>
      <c r="B229" s="25" t="s">
        <v>658</v>
      </c>
      <c r="C229" s="25" t="s">
        <v>659</v>
      </c>
      <c r="D229" s="25" t="s">
        <v>660</v>
      </c>
      <c r="E229" s="26" t="s">
        <v>45</v>
      </c>
      <c r="F229" s="27" t="s">
        <v>45</v>
      </c>
      <c r="G229" s="28" t="s">
        <v>45</v>
      </c>
      <c r="H229" s="29"/>
      <c r="I229" s="29" t="s">
        <v>46</v>
      </c>
      <c r="J229" s="30">
        <v>10</v>
      </c>
      <c r="K229" s="31">
        <f>1235.5</f>
        <v>1235.5</v>
      </c>
      <c r="L229" s="32" t="s">
        <v>996</v>
      </c>
      <c r="M229" s="31">
        <f>1272</f>
        <v>1272</v>
      </c>
      <c r="N229" s="32" t="s">
        <v>789</v>
      </c>
      <c r="O229" s="31">
        <f>1207</f>
        <v>1207</v>
      </c>
      <c r="P229" s="32" t="s">
        <v>794</v>
      </c>
      <c r="Q229" s="31">
        <f>1244.5</f>
        <v>1244.5</v>
      </c>
      <c r="R229" s="32" t="s">
        <v>791</v>
      </c>
      <c r="S229" s="33">
        <f>1237.18</f>
        <v>1237.18</v>
      </c>
      <c r="T229" s="30">
        <f>427050</f>
        <v>427050</v>
      </c>
      <c r="U229" s="30">
        <f>24360</f>
        <v>24360</v>
      </c>
      <c r="V229" s="30">
        <f>529188214</f>
        <v>529188214</v>
      </c>
      <c r="W229" s="30">
        <f>30270399</f>
        <v>30270399</v>
      </c>
      <c r="X229" s="34">
        <f>20</f>
        <v>20</v>
      </c>
    </row>
    <row r="230" spans="1:24" ht="13.5" customHeight="1" x14ac:dyDescent="0.15">
      <c r="A230" s="25" t="s">
        <v>1112</v>
      </c>
      <c r="B230" s="25" t="s">
        <v>661</v>
      </c>
      <c r="C230" s="25" t="s">
        <v>662</v>
      </c>
      <c r="D230" s="25" t="s">
        <v>663</v>
      </c>
      <c r="E230" s="26" t="s">
        <v>45</v>
      </c>
      <c r="F230" s="27" t="s">
        <v>45</v>
      </c>
      <c r="G230" s="28" t="s">
        <v>45</v>
      </c>
      <c r="H230" s="29"/>
      <c r="I230" s="29" t="s">
        <v>46</v>
      </c>
      <c r="J230" s="30">
        <v>10</v>
      </c>
      <c r="K230" s="31">
        <f>638.8</f>
        <v>638.79999999999995</v>
      </c>
      <c r="L230" s="32" t="s">
        <v>996</v>
      </c>
      <c r="M230" s="31">
        <f>639.5</f>
        <v>639.5</v>
      </c>
      <c r="N230" s="32" t="s">
        <v>996</v>
      </c>
      <c r="O230" s="31">
        <f>582.5</f>
        <v>582.5</v>
      </c>
      <c r="P230" s="32" t="s">
        <v>997</v>
      </c>
      <c r="Q230" s="31">
        <f>606</f>
        <v>606</v>
      </c>
      <c r="R230" s="32" t="s">
        <v>791</v>
      </c>
      <c r="S230" s="33">
        <f>608.55</f>
        <v>608.54999999999995</v>
      </c>
      <c r="T230" s="30">
        <f>33354960</f>
        <v>33354960</v>
      </c>
      <c r="U230" s="30">
        <f>524920</f>
        <v>524920</v>
      </c>
      <c r="V230" s="30">
        <f>20278764869</f>
        <v>20278764869</v>
      </c>
      <c r="W230" s="30">
        <f>316875769</f>
        <v>316875769</v>
      </c>
      <c r="X230" s="34">
        <f>20</f>
        <v>20</v>
      </c>
    </row>
    <row r="231" spans="1:24" ht="13.5" customHeight="1" x14ac:dyDescent="0.15">
      <c r="A231" s="25" t="s">
        <v>1112</v>
      </c>
      <c r="B231" s="25" t="s">
        <v>664</v>
      </c>
      <c r="C231" s="25" t="s">
        <v>665</v>
      </c>
      <c r="D231" s="25" t="s">
        <v>666</v>
      </c>
      <c r="E231" s="26" t="s">
        <v>45</v>
      </c>
      <c r="F231" s="27" t="s">
        <v>45</v>
      </c>
      <c r="G231" s="28" t="s">
        <v>45</v>
      </c>
      <c r="H231" s="29"/>
      <c r="I231" s="29" t="s">
        <v>46</v>
      </c>
      <c r="J231" s="30">
        <v>10</v>
      </c>
      <c r="K231" s="31">
        <f>1130</f>
        <v>1130</v>
      </c>
      <c r="L231" s="32" t="s">
        <v>996</v>
      </c>
      <c r="M231" s="31">
        <f>1150</f>
        <v>1150</v>
      </c>
      <c r="N231" s="32" t="s">
        <v>255</v>
      </c>
      <c r="O231" s="31">
        <f>1110</f>
        <v>1110</v>
      </c>
      <c r="P231" s="32" t="s">
        <v>875</v>
      </c>
      <c r="Q231" s="31">
        <f>1142.5</f>
        <v>1142.5</v>
      </c>
      <c r="R231" s="32" t="s">
        <v>791</v>
      </c>
      <c r="S231" s="33">
        <f>1130.28</f>
        <v>1130.28</v>
      </c>
      <c r="T231" s="30">
        <f>566690</f>
        <v>566690</v>
      </c>
      <c r="U231" s="30">
        <f>530000</f>
        <v>530000</v>
      </c>
      <c r="V231" s="30">
        <f>644109285</f>
        <v>644109285</v>
      </c>
      <c r="W231" s="30">
        <f>602721800</f>
        <v>602721800</v>
      </c>
      <c r="X231" s="34">
        <f>20</f>
        <v>20</v>
      </c>
    </row>
    <row r="232" spans="1:24" ht="13.5" customHeight="1" x14ac:dyDescent="0.15">
      <c r="A232" s="25" t="s">
        <v>1112</v>
      </c>
      <c r="B232" s="25" t="s">
        <v>667</v>
      </c>
      <c r="C232" s="25" t="s">
        <v>668</v>
      </c>
      <c r="D232" s="25" t="s">
        <v>669</v>
      </c>
      <c r="E232" s="26" t="s">
        <v>45</v>
      </c>
      <c r="F232" s="27" t="s">
        <v>45</v>
      </c>
      <c r="G232" s="28" t="s">
        <v>45</v>
      </c>
      <c r="H232" s="29"/>
      <c r="I232" s="29" t="s">
        <v>46</v>
      </c>
      <c r="J232" s="30">
        <v>1</v>
      </c>
      <c r="K232" s="31">
        <f>1268</f>
        <v>1268</v>
      </c>
      <c r="L232" s="32" t="s">
        <v>996</v>
      </c>
      <c r="M232" s="31">
        <f>1280</f>
        <v>1280</v>
      </c>
      <c r="N232" s="32" t="s">
        <v>791</v>
      </c>
      <c r="O232" s="31">
        <f>1216</f>
        <v>1216</v>
      </c>
      <c r="P232" s="32" t="s">
        <v>787</v>
      </c>
      <c r="Q232" s="31">
        <f>1274</f>
        <v>1274</v>
      </c>
      <c r="R232" s="32" t="s">
        <v>791</v>
      </c>
      <c r="S232" s="33">
        <f>1246.15</f>
        <v>1246.1500000000001</v>
      </c>
      <c r="T232" s="30">
        <f>474191</f>
        <v>474191</v>
      </c>
      <c r="U232" s="30">
        <f>216006</f>
        <v>216006</v>
      </c>
      <c r="V232" s="30">
        <f>593935751</f>
        <v>593935751</v>
      </c>
      <c r="W232" s="30">
        <f>273045897</f>
        <v>273045897</v>
      </c>
      <c r="X232" s="34">
        <f>20</f>
        <v>20</v>
      </c>
    </row>
    <row r="233" spans="1:24" ht="13.5" customHeight="1" x14ac:dyDescent="0.15">
      <c r="A233" s="25" t="s">
        <v>1112</v>
      </c>
      <c r="B233" s="25" t="s">
        <v>670</v>
      </c>
      <c r="C233" s="25" t="s">
        <v>671</v>
      </c>
      <c r="D233" s="25" t="s">
        <v>672</v>
      </c>
      <c r="E233" s="26" t="s">
        <v>45</v>
      </c>
      <c r="F233" s="27" t="s">
        <v>45</v>
      </c>
      <c r="G233" s="28" t="s">
        <v>45</v>
      </c>
      <c r="H233" s="29"/>
      <c r="I233" s="29" t="s">
        <v>46</v>
      </c>
      <c r="J233" s="30">
        <v>10</v>
      </c>
      <c r="K233" s="31">
        <f>967.5</f>
        <v>967.5</v>
      </c>
      <c r="L233" s="32" t="s">
        <v>996</v>
      </c>
      <c r="M233" s="31">
        <f>970</f>
        <v>970</v>
      </c>
      <c r="N233" s="32" t="s">
        <v>785</v>
      </c>
      <c r="O233" s="31">
        <f>932.7</f>
        <v>932.7</v>
      </c>
      <c r="P233" s="32" t="s">
        <v>1005</v>
      </c>
      <c r="Q233" s="31">
        <f>964</f>
        <v>964</v>
      </c>
      <c r="R233" s="32" t="s">
        <v>791</v>
      </c>
      <c r="S233" s="33">
        <f>954.29</f>
        <v>954.29</v>
      </c>
      <c r="T233" s="30">
        <f>72430</f>
        <v>72430</v>
      </c>
      <c r="U233" s="30" t="str">
        <f>"－"</f>
        <v>－</v>
      </c>
      <c r="V233" s="30">
        <f>69021671</f>
        <v>69021671</v>
      </c>
      <c r="W233" s="30" t="str">
        <f>"－"</f>
        <v>－</v>
      </c>
      <c r="X233" s="34">
        <f>20</f>
        <v>20</v>
      </c>
    </row>
    <row r="234" spans="1:24" ht="13.5" customHeight="1" x14ac:dyDescent="0.15">
      <c r="A234" s="25" t="s">
        <v>1112</v>
      </c>
      <c r="B234" s="25" t="s">
        <v>673</v>
      </c>
      <c r="C234" s="25" t="s">
        <v>674</v>
      </c>
      <c r="D234" s="25" t="s">
        <v>675</v>
      </c>
      <c r="E234" s="26" t="s">
        <v>45</v>
      </c>
      <c r="F234" s="27" t="s">
        <v>45</v>
      </c>
      <c r="G234" s="28" t="s">
        <v>45</v>
      </c>
      <c r="H234" s="29"/>
      <c r="I234" s="29" t="s">
        <v>46</v>
      </c>
      <c r="J234" s="30">
        <v>10</v>
      </c>
      <c r="K234" s="31">
        <f>1274</f>
        <v>1274</v>
      </c>
      <c r="L234" s="32" t="s">
        <v>996</v>
      </c>
      <c r="M234" s="31">
        <f>1309</f>
        <v>1309</v>
      </c>
      <c r="N234" s="32" t="s">
        <v>791</v>
      </c>
      <c r="O234" s="31">
        <f>1220</f>
        <v>1220</v>
      </c>
      <c r="P234" s="32" t="s">
        <v>794</v>
      </c>
      <c r="Q234" s="31">
        <f>1304.5</f>
        <v>1304.5</v>
      </c>
      <c r="R234" s="32" t="s">
        <v>791</v>
      </c>
      <c r="S234" s="33">
        <f>1257.43</f>
        <v>1257.43</v>
      </c>
      <c r="T234" s="30">
        <f>154340</f>
        <v>154340</v>
      </c>
      <c r="U234" s="30" t="str">
        <f>"－"</f>
        <v>－</v>
      </c>
      <c r="V234" s="30">
        <f>194527295</f>
        <v>194527295</v>
      </c>
      <c r="W234" s="30" t="str">
        <f>"－"</f>
        <v>－</v>
      </c>
      <c r="X234" s="34">
        <f>20</f>
        <v>20</v>
      </c>
    </row>
    <row r="235" spans="1:24" ht="13.5" customHeight="1" x14ac:dyDescent="0.15">
      <c r="A235" s="25" t="s">
        <v>1112</v>
      </c>
      <c r="B235" s="25" t="s">
        <v>676</v>
      </c>
      <c r="C235" s="25" t="s">
        <v>677</v>
      </c>
      <c r="D235" s="25" t="s">
        <v>678</v>
      </c>
      <c r="E235" s="26" t="s">
        <v>45</v>
      </c>
      <c r="F235" s="27" t="s">
        <v>45</v>
      </c>
      <c r="G235" s="28" t="s">
        <v>45</v>
      </c>
      <c r="H235" s="29"/>
      <c r="I235" s="29" t="s">
        <v>46</v>
      </c>
      <c r="J235" s="30">
        <v>10</v>
      </c>
      <c r="K235" s="31">
        <f>1463.5</f>
        <v>1463.5</v>
      </c>
      <c r="L235" s="32" t="s">
        <v>996</v>
      </c>
      <c r="M235" s="31">
        <f>1503</f>
        <v>1503</v>
      </c>
      <c r="N235" s="32" t="s">
        <v>791</v>
      </c>
      <c r="O235" s="31">
        <f>1439.5</f>
        <v>1439.5</v>
      </c>
      <c r="P235" s="32" t="s">
        <v>875</v>
      </c>
      <c r="Q235" s="31">
        <f>1499</f>
        <v>1499</v>
      </c>
      <c r="R235" s="32" t="s">
        <v>791</v>
      </c>
      <c r="S235" s="33">
        <f>1476.95</f>
        <v>1476.95</v>
      </c>
      <c r="T235" s="30">
        <f>8886230</f>
        <v>8886230</v>
      </c>
      <c r="U235" s="30">
        <f>5716000</f>
        <v>5716000</v>
      </c>
      <c r="V235" s="30">
        <f>13130000963</f>
        <v>13130000963</v>
      </c>
      <c r="W235" s="30">
        <f>8425124978</f>
        <v>8425124978</v>
      </c>
      <c r="X235" s="34">
        <f>20</f>
        <v>20</v>
      </c>
    </row>
    <row r="236" spans="1:24" ht="13.5" customHeight="1" x14ac:dyDescent="0.15">
      <c r="A236" s="25" t="s">
        <v>1112</v>
      </c>
      <c r="B236" s="25" t="s">
        <v>679</v>
      </c>
      <c r="C236" s="25" t="s">
        <v>680</v>
      </c>
      <c r="D236" s="25" t="s">
        <v>681</v>
      </c>
      <c r="E236" s="26" t="s">
        <v>45</v>
      </c>
      <c r="F236" s="27" t="s">
        <v>45</v>
      </c>
      <c r="G236" s="28" t="s">
        <v>45</v>
      </c>
      <c r="H236" s="29"/>
      <c r="I236" s="29" t="s">
        <v>46</v>
      </c>
      <c r="J236" s="30">
        <v>1</v>
      </c>
      <c r="K236" s="31">
        <f>4550</f>
        <v>4550</v>
      </c>
      <c r="L236" s="32" t="s">
        <v>996</v>
      </c>
      <c r="M236" s="31">
        <f>4600</f>
        <v>4600</v>
      </c>
      <c r="N236" s="32" t="s">
        <v>785</v>
      </c>
      <c r="O236" s="31">
        <f>4350</f>
        <v>4350</v>
      </c>
      <c r="P236" s="32" t="s">
        <v>997</v>
      </c>
      <c r="Q236" s="31">
        <f>4490</f>
        <v>4490</v>
      </c>
      <c r="R236" s="32" t="s">
        <v>791</v>
      </c>
      <c r="S236" s="33">
        <f>4485</f>
        <v>4485</v>
      </c>
      <c r="T236" s="30">
        <f>32302</f>
        <v>32302</v>
      </c>
      <c r="U236" s="30">
        <f>2</f>
        <v>2</v>
      </c>
      <c r="V236" s="30">
        <f>145056975</f>
        <v>145056975</v>
      </c>
      <c r="W236" s="30">
        <f>9150</f>
        <v>9150</v>
      </c>
      <c r="X236" s="34">
        <f>20</f>
        <v>20</v>
      </c>
    </row>
    <row r="237" spans="1:24" ht="13.5" customHeight="1" x14ac:dyDescent="0.15">
      <c r="A237" s="25" t="s">
        <v>1112</v>
      </c>
      <c r="B237" s="25" t="s">
        <v>682</v>
      </c>
      <c r="C237" s="25" t="s">
        <v>683</v>
      </c>
      <c r="D237" s="25" t="s">
        <v>684</v>
      </c>
      <c r="E237" s="26" t="s">
        <v>45</v>
      </c>
      <c r="F237" s="27" t="s">
        <v>45</v>
      </c>
      <c r="G237" s="28" t="s">
        <v>45</v>
      </c>
      <c r="H237" s="29"/>
      <c r="I237" s="29" t="s">
        <v>46</v>
      </c>
      <c r="J237" s="30">
        <v>10</v>
      </c>
      <c r="K237" s="31">
        <f>1851</f>
        <v>1851</v>
      </c>
      <c r="L237" s="32" t="s">
        <v>785</v>
      </c>
      <c r="M237" s="31">
        <f>1954.5</f>
        <v>1954.5</v>
      </c>
      <c r="N237" s="32" t="s">
        <v>790</v>
      </c>
      <c r="O237" s="31">
        <f>1812</f>
        <v>1812</v>
      </c>
      <c r="P237" s="32" t="s">
        <v>875</v>
      </c>
      <c r="Q237" s="31">
        <f>1874</f>
        <v>1874</v>
      </c>
      <c r="R237" s="32" t="s">
        <v>791</v>
      </c>
      <c r="S237" s="33">
        <f>1873.59</f>
        <v>1873.59</v>
      </c>
      <c r="T237" s="30">
        <f>1190</f>
        <v>1190</v>
      </c>
      <c r="U237" s="30" t="str">
        <f>"－"</f>
        <v>－</v>
      </c>
      <c r="V237" s="30">
        <f>2211025</f>
        <v>2211025</v>
      </c>
      <c r="W237" s="30" t="str">
        <f>"－"</f>
        <v>－</v>
      </c>
      <c r="X237" s="34">
        <f>11</f>
        <v>11</v>
      </c>
    </row>
    <row r="238" spans="1:24" ht="13.5" customHeight="1" x14ac:dyDescent="0.15">
      <c r="A238" s="25" t="s">
        <v>1112</v>
      </c>
      <c r="B238" s="25" t="s">
        <v>685</v>
      </c>
      <c r="C238" s="25" t="s">
        <v>686</v>
      </c>
      <c r="D238" s="25" t="s">
        <v>687</v>
      </c>
      <c r="E238" s="26" t="s">
        <v>45</v>
      </c>
      <c r="F238" s="27" t="s">
        <v>45</v>
      </c>
      <c r="G238" s="28" t="s">
        <v>45</v>
      </c>
      <c r="H238" s="29"/>
      <c r="I238" s="29" t="s">
        <v>46</v>
      </c>
      <c r="J238" s="30">
        <v>10</v>
      </c>
      <c r="K238" s="31">
        <f>2375.5</f>
        <v>2375.5</v>
      </c>
      <c r="L238" s="32" t="s">
        <v>996</v>
      </c>
      <c r="M238" s="31">
        <f>2396.5</f>
        <v>2396.5</v>
      </c>
      <c r="N238" s="32" t="s">
        <v>791</v>
      </c>
      <c r="O238" s="31">
        <f>2281</f>
        <v>2281</v>
      </c>
      <c r="P238" s="32" t="s">
        <v>787</v>
      </c>
      <c r="Q238" s="31">
        <f>2395</f>
        <v>2395</v>
      </c>
      <c r="R238" s="32" t="s">
        <v>791</v>
      </c>
      <c r="S238" s="33">
        <f>2343.39</f>
        <v>2343.39</v>
      </c>
      <c r="T238" s="30">
        <f>1486700</f>
        <v>1486700</v>
      </c>
      <c r="U238" s="30">
        <f>364790</f>
        <v>364790</v>
      </c>
      <c r="V238" s="30">
        <f>3477442367</f>
        <v>3477442367</v>
      </c>
      <c r="W238" s="30">
        <f>852118047</f>
        <v>852118047</v>
      </c>
      <c r="X238" s="34">
        <f>19</f>
        <v>19</v>
      </c>
    </row>
    <row r="239" spans="1:24" ht="13.5" customHeight="1" x14ac:dyDescent="0.15">
      <c r="A239" s="25" t="s">
        <v>1112</v>
      </c>
      <c r="B239" s="25" t="s">
        <v>688</v>
      </c>
      <c r="C239" s="25" t="s">
        <v>689</v>
      </c>
      <c r="D239" s="25" t="s">
        <v>690</v>
      </c>
      <c r="E239" s="26" t="s">
        <v>45</v>
      </c>
      <c r="F239" s="27" t="s">
        <v>45</v>
      </c>
      <c r="G239" s="28" t="s">
        <v>45</v>
      </c>
      <c r="H239" s="29"/>
      <c r="I239" s="29" t="s">
        <v>46</v>
      </c>
      <c r="J239" s="30">
        <v>1</v>
      </c>
      <c r="K239" s="31">
        <f>34180</f>
        <v>34180</v>
      </c>
      <c r="L239" s="32" t="s">
        <v>996</v>
      </c>
      <c r="M239" s="31">
        <f>34390</f>
        <v>34390</v>
      </c>
      <c r="N239" s="32" t="s">
        <v>996</v>
      </c>
      <c r="O239" s="31">
        <f>32480</f>
        <v>32480</v>
      </c>
      <c r="P239" s="32" t="s">
        <v>787</v>
      </c>
      <c r="Q239" s="31">
        <f>33750</f>
        <v>33750</v>
      </c>
      <c r="R239" s="32" t="s">
        <v>791</v>
      </c>
      <c r="S239" s="33">
        <f>33330.5</f>
        <v>33330.5</v>
      </c>
      <c r="T239" s="30">
        <f>188410</f>
        <v>188410</v>
      </c>
      <c r="U239" s="30">
        <f>100591</f>
        <v>100591</v>
      </c>
      <c r="V239" s="30">
        <f>6232738493</f>
        <v>6232738493</v>
      </c>
      <c r="W239" s="30">
        <f>3311927523</f>
        <v>3311927523</v>
      </c>
      <c r="X239" s="34">
        <f>20</f>
        <v>20</v>
      </c>
    </row>
    <row r="240" spans="1:24" ht="13.5" customHeight="1" x14ac:dyDescent="0.15">
      <c r="A240" s="25" t="s">
        <v>1112</v>
      </c>
      <c r="B240" s="25" t="s">
        <v>691</v>
      </c>
      <c r="C240" s="25" t="s">
        <v>692</v>
      </c>
      <c r="D240" s="25" t="s">
        <v>693</v>
      </c>
      <c r="E240" s="26" t="s">
        <v>45</v>
      </c>
      <c r="F240" s="27" t="s">
        <v>45</v>
      </c>
      <c r="G240" s="28" t="s">
        <v>45</v>
      </c>
      <c r="H240" s="29"/>
      <c r="I240" s="29" t="s">
        <v>46</v>
      </c>
      <c r="J240" s="30">
        <v>1</v>
      </c>
      <c r="K240" s="31">
        <f>20815</f>
        <v>20815</v>
      </c>
      <c r="L240" s="32" t="s">
        <v>875</v>
      </c>
      <c r="M240" s="31">
        <f>21175</f>
        <v>21175</v>
      </c>
      <c r="N240" s="32" t="s">
        <v>789</v>
      </c>
      <c r="O240" s="31">
        <f>20815</f>
        <v>20815</v>
      </c>
      <c r="P240" s="32" t="s">
        <v>875</v>
      </c>
      <c r="Q240" s="31">
        <f>21145</f>
        <v>21145</v>
      </c>
      <c r="R240" s="32" t="s">
        <v>997</v>
      </c>
      <c r="S240" s="33">
        <f>21080</f>
        <v>21080</v>
      </c>
      <c r="T240" s="30">
        <f>1969</f>
        <v>1969</v>
      </c>
      <c r="U240" s="30" t="str">
        <f>"－"</f>
        <v>－</v>
      </c>
      <c r="V240" s="30">
        <f>40999715</f>
        <v>40999715</v>
      </c>
      <c r="W240" s="30" t="str">
        <f>"－"</f>
        <v>－</v>
      </c>
      <c r="X240" s="34">
        <f>5</f>
        <v>5</v>
      </c>
    </row>
    <row r="241" spans="1:24" ht="13.5" customHeight="1" x14ac:dyDescent="0.15">
      <c r="A241" s="25" t="s">
        <v>1112</v>
      </c>
      <c r="B241" s="25" t="s">
        <v>694</v>
      </c>
      <c r="C241" s="25" t="s">
        <v>695</v>
      </c>
      <c r="D241" s="25" t="s">
        <v>696</v>
      </c>
      <c r="E241" s="26" t="s">
        <v>45</v>
      </c>
      <c r="F241" s="27" t="s">
        <v>45</v>
      </c>
      <c r="G241" s="28" t="s">
        <v>45</v>
      </c>
      <c r="H241" s="29"/>
      <c r="I241" s="29" t="s">
        <v>46</v>
      </c>
      <c r="J241" s="30">
        <v>10</v>
      </c>
      <c r="K241" s="31">
        <f>1149</f>
        <v>1149</v>
      </c>
      <c r="L241" s="32" t="s">
        <v>785</v>
      </c>
      <c r="M241" s="31">
        <f>1149</f>
        <v>1149</v>
      </c>
      <c r="N241" s="32" t="s">
        <v>785</v>
      </c>
      <c r="O241" s="31">
        <f>1115.5</f>
        <v>1115.5</v>
      </c>
      <c r="P241" s="32" t="s">
        <v>56</v>
      </c>
      <c r="Q241" s="31">
        <f>1139.5</f>
        <v>1139.5</v>
      </c>
      <c r="R241" s="32" t="s">
        <v>791</v>
      </c>
      <c r="S241" s="33">
        <f>1134.74</f>
        <v>1134.74</v>
      </c>
      <c r="T241" s="30">
        <f>432650</f>
        <v>432650</v>
      </c>
      <c r="U241" s="30">
        <f>50000</f>
        <v>50000</v>
      </c>
      <c r="V241" s="30">
        <f>489546090</f>
        <v>489546090</v>
      </c>
      <c r="W241" s="30">
        <f>56516800</f>
        <v>56516800</v>
      </c>
      <c r="X241" s="34">
        <f>17</f>
        <v>17</v>
      </c>
    </row>
    <row r="242" spans="1:24" ht="13.5" customHeight="1" x14ac:dyDescent="0.15">
      <c r="A242" s="25" t="s">
        <v>1112</v>
      </c>
      <c r="B242" s="25" t="s">
        <v>697</v>
      </c>
      <c r="C242" s="25" t="s">
        <v>1085</v>
      </c>
      <c r="D242" s="25" t="s">
        <v>1086</v>
      </c>
      <c r="E242" s="26" t="s">
        <v>45</v>
      </c>
      <c r="F242" s="27" t="s">
        <v>45</v>
      </c>
      <c r="G242" s="28" t="s">
        <v>45</v>
      </c>
      <c r="H242" s="29"/>
      <c r="I242" s="29" t="s">
        <v>46</v>
      </c>
      <c r="J242" s="30">
        <v>10</v>
      </c>
      <c r="K242" s="31">
        <f>1122</f>
        <v>1122</v>
      </c>
      <c r="L242" s="32" t="s">
        <v>996</v>
      </c>
      <c r="M242" s="31">
        <f>1146</f>
        <v>1146</v>
      </c>
      <c r="N242" s="32" t="s">
        <v>255</v>
      </c>
      <c r="O242" s="31">
        <f>1111</f>
        <v>1111</v>
      </c>
      <c r="P242" s="32" t="s">
        <v>875</v>
      </c>
      <c r="Q242" s="31">
        <f>1141</f>
        <v>1141</v>
      </c>
      <c r="R242" s="32" t="s">
        <v>791</v>
      </c>
      <c r="S242" s="33">
        <f>1127.15</f>
        <v>1127.1500000000001</v>
      </c>
      <c r="T242" s="30">
        <f>3390</f>
        <v>3390</v>
      </c>
      <c r="U242" s="30" t="str">
        <f>"－"</f>
        <v>－</v>
      </c>
      <c r="V242" s="30">
        <f>3825520</f>
        <v>3825520</v>
      </c>
      <c r="W242" s="30" t="str">
        <f>"－"</f>
        <v>－</v>
      </c>
      <c r="X242" s="34">
        <f>17</f>
        <v>17</v>
      </c>
    </row>
    <row r="243" spans="1:24" ht="13.5" customHeight="1" x14ac:dyDescent="0.15">
      <c r="A243" s="25" t="s">
        <v>1112</v>
      </c>
      <c r="B243" s="25" t="s">
        <v>700</v>
      </c>
      <c r="C243" s="25" t="s">
        <v>701</v>
      </c>
      <c r="D243" s="25" t="s">
        <v>702</v>
      </c>
      <c r="E243" s="26" t="s">
        <v>45</v>
      </c>
      <c r="F243" s="27" t="s">
        <v>45</v>
      </c>
      <c r="G243" s="28" t="s">
        <v>45</v>
      </c>
      <c r="H243" s="29"/>
      <c r="I243" s="29" t="s">
        <v>46</v>
      </c>
      <c r="J243" s="30">
        <v>1</v>
      </c>
      <c r="K243" s="31">
        <f>1442</f>
        <v>1442</v>
      </c>
      <c r="L243" s="32" t="s">
        <v>996</v>
      </c>
      <c r="M243" s="31">
        <f>1539</f>
        <v>1539</v>
      </c>
      <c r="N243" s="32" t="s">
        <v>784</v>
      </c>
      <c r="O243" s="31">
        <f>1402</f>
        <v>1402</v>
      </c>
      <c r="P243" s="32" t="s">
        <v>56</v>
      </c>
      <c r="Q243" s="31">
        <f>1472</f>
        <v>1472</v>
      </c>
      <c r="R243" s="32" t="s">
        <v>791</v>
      </c>
      <c r="S243" s="33">
        <f>1443.8</f>
        <v>1443.8</v>
      </c>
      <c r="T243" s="30">
        <f>781539</f>
        <v>781539</v>
      </c>
      <c r="U243" s="30">
        <f>381512</f>
        <v>381512</v>
      </c>
      <c r="V243" s="30">
        <f>1118856013</f>
        <v>1118856013</v>
      </c>
      <c r="W243" s="30">
        <f>540190680</f>
        <v>540190680</v>
      </c>
      <c r="X243" s="34">
        <f>20</f>
        <v>20</v>
      </c>
    </row>
    <row r="244" spans="1:24" ht="13.5" customHeight="1" x14ac:dyDescent="0.15">
      <c r="A244" s="25" t="s">
        <v>1112</v>
      </c>
      <c r="B244" s="25" t="s">
        <v>703</v>
      </c>
      <c r="C244" s="25" t="s">
        <v>704</v>
      </c>
      <c r="D244" s="25" t="s">
        <v>705</v>
      </c>
      <c r="E244" s="26" t="s">
        <v>45</v>
      </c>
      <c r="F244" s="27" t="s">
        <v>45</v>
      </c>
      <c r="G244" s="28" t="s">
        <v>45</v>
      </c>
      <c r="H244" s="29"/>
      <c r="I244" s="29" t="s">
        <v>46</v>
      </c>
      <c r="J244" s="30">
        <v>1</v>
      </c>
      <c r="K244" s="31">
        <f>13350</f>
        <v>13350</v>
      </c>
      <c r="L244" s="32" t="s">
        <v>996</v>
      </c>
      <c r="M244" s="31">
        <f>14000</f>
        <v>14000</v>
      </c>
      <c r="N244" s="32" t="s">
        <v>791</v>
      </c>
      <c r="O244" s="31">
        <f>12605</f>
        <v>12605</v>
      </c>
      <c r="P244" s="32" t="s">
        <v>80</v>
      </c>
      <c r="Q244" s="31">
        <f>13750</f>
        <v>13750</v>
      </c>
      <c r="R244" s="32" t="s">
        <v>791</v>
      </c>
      <c r="S244" s="33">
        <f>13132.5</f>
        <v>13132.5</v>
      </c>
      <c r="T244" s="30">
        <f>2184</f>
        <v>2184</v>
      </c>
      <c r="U244" s="30" t="str">
        <f>"－"</f>
        <v>－</v>
      </c>
      <c r="V244" s="30">
        <f>28954040</f>
        <v>28954040</v>
      </c>
      <c r="W244" s="30" t="str">
        <f>"－"</f>
        <v>－</v>
      </c>
      <c r="X244" s="34">
        <f>18</f>
        <v>18</v>
      </c>
    </row>
    <row r="245" spans="1:24" ht="13.5" customHeight="1" x14ac:dyDescent="0.15">
      <c r="A245" s="25" t="s">
        <v>1112</v>
      </c>
      <c r="B245" s="25" t="s">
        <v>706</v>
      </c>
      <c r="C245" s="25" t="s">
        <v>707</v>
      </c>
      <c r="D245" s="25" t="s">
        <v>708</v>
      </c>
      <c r="E245" s="26" t="s">
        <v>45</v>
      </c>
      <c r="F245" s="27" t="s">
        <v>45</v>
      </c>
      <c r="G245" s="28" t="s">
        <v>45</v>
      </c>
      <c r="H245" s="29"/>
      <c r="I245" s="29" t="s">
        <v>46</v>
      </c>
      <c r="J245" s="30">
        <v>1</v>
      </c>
      <c r="K245" s="31">
        <f>2001</f>
        <v>2001</v>
      </c>
      <c r="L245" s="32" t="s">
        <v>996</v>
      </c>
      <c r="M245" s="31">
        <f>2045</f>
        <v>2045</v>
      </c>
      <c r="N245" s="32" t="s">
        <v>255</v>
      </c>
      <c r="O245" s="31">
        <f>1975</f>
        <v>1975</v>
      </c>
      <c r="P245" s="32" t="s">
        <v>875</v>
      </c>
      <c r="Q245" s="31">
        <f>2024</f>
        <v>2024</v>
      </c>
      <c r="R245" s="32" t="s">
        <v>791</v>
      </c>
      <c r="S245" s="33">
        <f>2009.15</f>
        <v>2009.15</v>
      </c>
      <c r="T245" s="30">
        <f>24041</f>
        <v>24041</v>
      </c>
      <c r="U245" s="30">
        <f>2</f>
        <v>2</v>
      </c>
      <c r="V245" s="30">
        <f>48343119</f>
        <v>48343119</v>
      </c>
      <c r="W245" s="30">
        <f>4048</f>
        <v>4048</v>
      </c>
      <c r="X245" s="34">
        <f>20</f>
        <v>20</v>
      </c>
    </row>
    <row r="246" spans="1:24" ht="13.5" customHeight="1" x14ac:dyDescent="0.15">
      <c r="A246" s="25" t="s">
        <v>1112</v>
      </c>
      <c r="B246" s="25" t="s">
        <v>709</v>
      </c>
      <c r="C246" s="25" t="s">
        <v>710</v>
      </c>
      <c r="D246" s="25" t="s">
        <v>711</v>
      </c>
      <c r="E246" s="26" t="s">
        <v>45</v>
      </c>
      <c r="F246" s="27" t="s">
        <v>45</v>
      </c>
      <c r="G246" s="28" t="s">
        <v>45</v>
      </c>
      <c r="H246" s="29"/>
      <c r="I246" s="29" t="s">
        <v>46</v>
      </c>
      <c r="J246" s="30">
        <v>10</v>
      </c>
      <c r="K246" s="31">
        <f>1610</f>
        <v>1610</v>
      </c>
      <c r="L246" s="32" t="s">
        <v>996</v>
      </c>
      <c r="M246" s="31">
        <f>1648</f>
        <v>1648</v>
      </c>
      <c r="N246" s="32" t="s">
        <v>791</v>
      </c>
      <c r="O246" s="31">
        <f>1566</f>
        <v>1566</v>
      </c>
      <c r="P246" s="32" t="s">
        <v>80</v>
      </c>
      <c r="Q246" s="31">
        <f>1648</f>
        <v>1648</v>
      </c>
      <c r="R246" s="32" t="s">
        <v>791</v>
      </c>
      <c r="S246" s="33">
        <f>1613.13</f>
        <v>1613.13</v>
      </c>
      <c r="T246" s="30">
        <f>780</f>
        <v>780</v>
      </c>
      <c r="U246" s="30" t="str">
        <f>"－"</f>
        <v>－</v>
      </c>
      <c r="V246" s="30">
        <f>1258175</f>
        <v>1258175</v>
      </c>
      <c r="W246" s="30" t="str">
        <f>"－"</f>
        <v>－</v>
      </c>
      <c r="X246" s="34">
        <f>8</f>
        <v>8</v>
      </c>
    </row>
    <row r="247" spans="1:24" ht="13.5" customHeight="1" x14ac:dyDescent="0.15">
      <c r="A247" s="25" t="s">
        <v>1112</v>
      </c>
      <c r="B247" s="25" t="s">
        <v>712</v>
      </c>
      <c r="C247" s="25" t="s">
        <v>795</v>
      </c>
      <c r="D247" s="25" t="s">
        <v>796</v>
      </c>
      <c r="E247" s="26" t="s">
        <v>45</v>
      </c>
      <c r="F247" s="27" t="s">
        <v>45</v>
      </c>
      <c r="G247" s="28" t="s">
        <v>45</v>
      </c>
      <c r="H247" s="29"/>
      <c r="I247" s="29" t="s">
        <v>46</v>
      </c>
      <c r="J247" s="30">
        <v>10</v>
      </c>
      <c r="K247" s="31">
        <f>826.1</f>
        <v>826.1</v>
      </c>
      <c r="L247" s="32" t="s">
        <v>996</v>
      </c>
      <c r="M247" s="31">
        <f>832.6</f>
        <v>832.6</v>
      </c>
      <c r="N247" s="32" t="s">
        <v>1005</v>
      </c>
      <c r="O247" s="31">
        <f>817.4</f>
        <v>817.4</v>
      </c>
      <c r="P247" s="32" t="s">
        <v>875</v>
      </c>
      <c r="Q247" s="31">
        <f>828.2</f>
        <v>828.2</v>
      </c>
      <c r="R247" s="32" t="s">
        <v>791</v>
      </c>
      <c r="S247" s="33">
        <f>827.25</f>
        <v>827.25</v>
      </c>
      <c r="T247" s="30">
        <f>184090</f>
        <v>184090</v>
      </c>
      <c r="U247" s="30">
        <f>46880</f>
        <v>46880</v>
      </c>
      <c r="V247" s="30">
        <f>152177341</f>
        <v>152177341</v>
      </c>
      <c r="W247" s="30">
        <f>38530672</f>
        <v>38530672</v>
      </c>
      <c r="X247" s="34">
        <f>20</f>
        <v>20</v>
      </c>
    </row>
    <row r="248" spans="1:24" ht="13.5" customHeight="1" x14ac:dyDescent="0.15">
      <c r="A248" s="25" t="s">
        <v>1112</v>
      </c>
      <c r="B248" s="25" t="s">
        <v>713</v>
      </c>
      <c r="C248" s="25" t="s">
        <v>714</v>
      </c>
      <c r="D248" s="25" t="s">
        <v>715</v>
      </c>
      <c r="E248" s="26" t="s">
        <v>45</v>
      </c>
      <c r="F248" s="27" t="s">
        <v>45</v>
      </c>
      <c r="G248" s="28" t="s">
        <v>45</v>
      </c>
      <c r="H248" s="29"/>
      <c r="I248" s="29" t="s">
        <v>46</v>
      </c>
      <c r="J248" s="30">
        <v>10</v>
      </c>
      <c r="K248" s="31">
        <f>1931.5</f>
        <v>1931.5</v>
      </c>
      <c r="L248" s="32" t="s">
        <v>996</v>
      </c>
      <c r="M248" s="31">
        <f>1945.5</f>
        <v>1945.5</v>
      </c>
      <c r="N248" s="32" t="s">
        <v>255</v>
      </c>
      <c r="O248" s="31">
        <f>1890</f>
        <v>1890</v>
      </c>
      <c r="P248" s="32" t="s">
        <v>56</v>
      </c>
      <c r="Q248" s="31">
        <f>1930</f>
        <v>1930</v>
      </c>
      <c r="R248" s="32" t="s">
        <v>791</v>
      </c>
      <c r="S248" s="33">
        <f>1916.7</f>
        <v>1916.7</v>
      </c>
      <c r="T248" s="30">
        <f>137590</f>
        <v>137590</v>
      </c>
      <c r="U248" s="30">
        <f>103100</f>
        <v>103100</v>
      </c>
      <c r="V248" s="30">
        <f>266112345</f>
        <v>266112345</v>
      </c>
      <c r="W248" s="30">
        <f>200230510</f>
        <v>200230510</v>
      </c>
      <c r="X248" s="34">
        <f>20</f>
        <v>20</v>
      </c>
    </row>
    <row r="249" spans="1:24" ht="13.5" customHeight="1" x14ac:dyDescent="0.15">
      <c r="A249" s="25" t="s">
        <v>1112</v>
      </c>
      <c r="B249" s="25" t="s">
        <v>716</v>
      </c>
      <c r="C249" s="25" t="s">
        <v>717</v>
      </c>
      <c r="D249" s="25" t="s">
        <v>718</v>
      </c>
      <c r="E249" s="26" t="s">
        <v>45</v>
      </c>
      <c r="F249" s="27" t="s">
        <v>45</v>
      </c>
      <c r="G249" s="28" t="s">
        <v>45</v>
      </c>
      <c r="H249" s="29"/>
      <c r="I249" s="29" t="s">
        <v>46</v>
      </c>
      <c r="J249" s="30">
        <v>10</v>
      </c>
      <c r="K249" s="31">
        <f>1920</f>
        <v>1920</v>
      </c>
      <c r="L249" s="32" t="s">
        <v>996</v>
      </c>
      <c r="M249" s="31">
        <f>1945.5</f>
        <v>1945.5</v>
      </c>
      <c r="N249" s="32" t="s">
        <v>255</v>
      </c>
      <c r="O249" s="31">
        <f>1878</f>
        <v>1878</v>
      </c>
      <c r="P249" s="32" t="s">
        <v>875</v>
      </c>
      <c r="Q249" s="31">
        <f>1924</f>
        <v>1924</v>
      </c>
      <c r="R249" s="32" t="s">
        <v>791</v>
      </c>
      <c r="S249" s="33">
        <f>1912.53</f>
        <v>1912.53</v>
      </c>
      <c r="T249" s="30">
        <f>2548110</f>
        <v>2548110</v>
      </c>
      <c r="U249" s="30">
        <f>1012000</f>
        <v>1012000</v>
      </c>
      <c r="V249" s="30">
        <f>4873662080</f>
        <v>4873662080</v>
      </c>
      <c r="W249" s="30">
        <f>1939826635</f>
        <v>1939826635</v>
      </c>
      <c r="X249" s="34">
        <f>20</f>
        <v>20</v>
      </c>
    </row>
    <row r="250" spans="1:24" ht="13.5" customHeight="1" x14ac:dyDescent="0.15">
      <c r="A250" s="25" t="s">
        <v>1112</v>
      </c>
      <c r="B250" s="25" t="s">
        <v>719</v>
      </c>
      <c r="C250" s="25" t="s">
        <v>720</v>
      </c>
      <c r="D250" s="25" t="s">
        <v>721</v>
      </c>
      <c r="E250" s="26" t="s">
        <v>45</v>
      </c>
      <c r="F250" s="27" t="s">
        <v>45</v>
      </c>
      <c r="G250" s="28" t="s">
        <v>45</v>
      </c>
      <c r="H250" s="29"/>
      <c r="I250" s="29" t="s">
        <v>46</v>
      </c>
      <c r="J250" s="30">
        <v>10</v>
      </c>
      <c r="K250" s="31">
        <f>2326</f>
        <v>2326</v>
      </c>
      <c r="L250" s="32" t="s">
        <v>996</v>
      </c>
      <c r="M250" s="31">
        <f>2351.5</f>
        <v>2351.5</v>
      </c>
      <c r="N250" s="32" t="s">
        <v>791</v>
      </c>
      <c r="O250" s="31">
        <f>2238</f>
        <v>2238</v>
      </c>
      <c r="P250" s="32" t="s">
        <v>787</v>
      </c>
      <c r="Q250" s="31">
        <f>2337</f>
        <v>2337</v>
      </c>
      <c r="R250" s="32" t="s">
        <v>791</v>
      </c>
      <c r="S250" s="33">
        <f>2292.15</f>
        <v>2292.15</v>
      </c>
      <c r="T250" s="30">
        <f>634550</f>
        <v>634550</v>
      </c>
      <c r="U250" s="30" t="str">
        <f>"－"</f>
        <v>－</v>
      </c>
      <c r="V250" s="30">
        <f>1458375235</f>
        <v>1458375235</v>
      </c>
      <c r="W250" s="30" t="str">
        <f>"－"</f>
        <v>－</v>
      </c>
      <c r="X250" s="34">
        <f>20</f>
        <v>20</v>
      </c>
    </row>
    <row r="251" spans="1:24" ht="13.5" customHeight="1" x14ac:dyDescent="0.15">
      <c r="A251" s="25" t="s">
        <v>1112</v>
      </c>
      <c r="B251" s="25" t="s">
        <v>722</v>
      </c>
      <c r="C251" s="25" t="s">
        <v>723</v>
      </c>
      <c r="D251" s="25" t="s">
        <v>724</v>
      </c>
      <c r="E251" s="26" t="s">
        <v>45</v>
      </c>
      <c r="F251" s="27" t="s">
        <v>45</v>
      </c>
      <c r="G251" s="28" t="s">
        <v>45</v>
      </c>
      <c r="H251" s="29"/>
      <c r="I251" s="29" t="s">
        <v>46</v>
      </c>
      <c r="J251" s="30">
        <v>1</v>
      </c>
      <c r="K251" s="31">
        <f>18445</f>
        <v>18445</v>
      </c>
      <c r="L251" s="32" t="s">
        <v>996</v>
      </c>
      <c r="M251" s="31">
        <f>18650</f>
        <v>18650</v>
      </c>
      <c r="N251" s="32" t="s">
        <v>791</v>
      </c>
      <c r="O251" s="31">
        <f>17750</f>
        <v>17750</v>
      </c>
      <c r="P251" s="32" t="s">
        <v>1005</v>
      </c>
      <c r="Q251" s="31">
        <f>18640</f>
        <v>18640</v>
      </c>
      <c r="R251" s="32" t="s">
        <v>791</v>
      </c>
      <c r="S251" s="33">
        <f>18232.5</f>
        <v>18232.5</v>
      </c>
      <c r="T251" s="30">
        <f>657611</f>
        <v>657611</v>
      </c>
      <c r="U251" s="30">
        <f>36806</f>
        <v>36806</v>
      </c>
      <c r="V251" s="30">
        <f>12010078868</f>
        <v>12010078868</v>
      </c>
      <c r="W251" s="30">
        <f>676526338</f>
        <v>676526338</v>
      </c>
      <c r="X251" s="34">
        <f>20</f>
        <v>20</v>
      </c>
    </row>
    <row r="252" spans="1:24" ht="13.5" customHeight="1" x14ac:dyDescent="0.15">
      <c r="A252" s="25" t="s">
        <v>1112</v>
      </c>
      <c r="B252" s="25" t="s">
        <v>725</v>
      </c>
      <c r="C252" s="25" t="s">
        <v>726</v>
      </c>
      <c r="D252" s="25" t="s">
        <v>727</v>
      </c>
      <c r="E252" s="26" t="s">
        <v>45</v>
      </c>
      <c r="F252" s="27" t="s">
        <v>45</v>
      </c>
      <c r="G252" s="28" t="s">
        <v>45</v>
      </c>
      <c r="H252" s="29"/>
      <c r="I252" s="29" t="s">
        <v>46</v>
      </c>
      <c r="J252" s="30">
        <v>1</v>
      </c>
      <c r="K252" s="31">
        <f>16300</f>
        <v>16300</v>
      </c>
      <c r="L252" s="32" t="s">
        <v>996</v>
      </c>
      <c r="M252" s="31">
        <f>16500</f>
        <v>16500</v>
      </c>
      <c r="N252" s="32" t="s">
        <v>791</v>
      </c>
      <c r="O252" s="31">
        <f>15710</f>
        <v>15710</v>
      </c>
      <c r="P252" s="32" t="s">
        <v>794</v>
      </c>
      <c r="Q252" s="31">
        <f>16500</f>
        <v>16500</v>
      </c>
      <c r="R252" s="32" t="s">
        <v>791</v>
      </c>
      <c r="S252" s="33">
        <f>16147</f>
        <v>16147</v>
      </c>
      <c r="T252" s="30">
        <f>231234</f>
        <v>231234</v>
      </c>
      <c r="U252" s="30">
        <f>178</f>
        <v>178</v>
      </c>
      <c r="V252" s="30">
        <f>3736106374</f>
        <v>3736106374</v>
      </c>
      <c r="W252" s="30">
        <f>2827814</f>
        <v>2827814</v>
      </c>
      <c r="X252" s="34">
        <f>20</f>
        <v>20</v>
      </c>
    </row>
    <row r="253" spans="1:24" ht="13.5" customHeight="1" x14ac:dyDescent="0.15">
      <c r="A253" s="25" t="s">
        <v>1112</v>
      </c>
      <c r="B253" s="25" t="s">
        <v>728</v>
      </c>
      <c r="C253" s="25" t="s">
        <v>729</v>
      </c>
      <c r="D253" s="25" t="s">
        <v>730</v>
      </c>
      <c r="E253" s="26" t="s">
        <v>45</v>
      </c>
      <c r="F253" s="27" t="s">
        <v>45</v>
      </c>
      <c r="G253" s="28" t="s">
        <v>45</v>
      </c>
      <c r="H253" s="29"/>
      <c r="I253" s="29" t="s">
        <v>46</v>
      </c>
      <c r="J253" s="30">
        <v>1</v>
      </c>
      <c r="K253" s="31">
        <f>30770</f>
        <v>30770</v>
      </c>
      <c r="L253" s="32" t="s">
        <v>996</v>
      </c>
      <c r="M253" s="31">
        <f>31000</f>
        <v>31000</v>
      </c>
      <c r="N253" s="32" t="s">
        <v>791</v>
      </c>
      <c r="O253" s="31">
        <f>29460</f>
        <v>29460</v>
      </c>
      <c r="P253" s="32" t="s">
        <v>875</v>
      </c>
      <c r="Q253" s="31">
        <f>30760</f>
        <v>30760</v>
      </c>
      <c r="R253" s="32" t="s">
        <v>791</v>
      </c>
      <c r="S253" s="33">
        <f>30304.5</f>
        <v>30304.5</v>
      </c>
      <c r="T253" s="30">
        <f>280</f>
        <v>280</v>
      </c>
      <c r="U253" s="30" t="str">
        <f>"－"</f>
        <v>－</v>
      </c>
      <c r="V253" s="30">
        <f>8495935</f>
        <v>8495935</v>
      </c>
      <c r="W253" s="30" t="str">
        <f>"－"</f>
        <v>－</v>
      </c>
      <c r="X253" s="34">
        <f>10</f>
        <v>10</v>
      </c>
    </row>
    <row r="254" spans="1:24" ht="13.5" customHeight="1" x14ac:dyDescent="0.15">
      <c r="A254" s="25" t="s">
        <v>1112</v>
      </c>
      <c r="B254" s="25" t="s">
        <v>731</v>
      </c>
      <c r="C254" s="25" t="s">
        <v>732</v>
      </c>
      <c r="D254" s="25" t="s">
        <v>733</v>
      </c>
      <c r="E254" s="26" t="s">
        <v>45</v>
      </c>
      <c r="F254" s="27" t="s">
        <v>45</v>
      </c>
      <c r="G254" s="28" t="s">
        <v>45</v>
      </c>
      <c r="H254" s="29"/>
      <c r="I254" s="29" t="s">
        <v>46</v>
      </c>
      <c r="J254" s="30">
        <v>1</v>
      </c>
      <c r="K254" s="31">
        <f>2575</f>
        <v>2575</v>
      </c>
      <c r="L254" s="32" t="s">
        <v>996</v>
      </c>
      <c r="M254" s="31">
        <f>2575</f>
        <v>2575</v>
      </c>
      <c r="N254" s="32" t="s">
        <v>996</v>
      </c>
      <c r="O254" s="31">
        <f>2500</f>
        <v>2500</v>
      </c>
      <c r="P254" s="32" t="s">
        <v>791</v>
      </c>
      <c r="Q254" s="31">
        <f>2500</f>
        <v>2500</v>
      </c>
      <c r="R254" s="32" t="s">
        <v>791</v>
      </c>
      <c r="S254" s="33">
        <f>2541.8</f>
        <v>2541.8000000000002</v>
      </c>
      <c r="T254" s="30">
        <f>4932132</f>
        <v>4932132</v>
      </c>
      <c r="U254" s="30">
        <f>4250307</f>
        <v>4250307</v>
      </c>
      <c r="V254" s="30">
        <f>12410101567</f>
        <v>12410101567</v>
      </c>
      <c r="W254" s="30">
        <f>10682156587</f>
        <v>10682156587</v>
      </c>
      <c r="X254" s="34">
        <f>20</f>
        <v>20</v>
      </c>
    </row>
    <row r="255" spans="1:24" ht="13.5" customHeight="1" x14ac:dyDescent="0.15">
      <c r="A255" s="25" t="s">
        <v>1112</v>
      </c>
      <c r="B255" s="25" t="s">
        <v>734</v>
      </c>
      <c r="C255" s="25" t="s">
        <v>735</v>
      </c>
      <c r="D255" s="25" t="s">
        <v>736</v>
      </c>
      <c r="E255" s="26" t="s">
        <v>45</v>
      </c>
      <c r="F255" s="27" t="s">
        <v>45</v>
      </c>
      <c r="G255" s="28" t="s">
        <v>45</v>
      </c>
      <c r="H255" s="29"/>
      <c r="I255" s="29" t="s">
        <v>46</v>
      </c>
      <c r="J255" s="30">
        <v>10</v>
      </c>
      <c r="K255" s="31">
        <f>2817</f>
        <v>2817</v>
      </c>
      <c r="L255" s="32" t="s">
        <v>996</v>
      </c>
      <c r="M255" s="31">
        <f>2880</f>
        <v>2880</v>
      </c>
      <c r="N255" s="32" t="s">
        <v>255</v>
      </c>
      <c r="O255" s="31">
        <f>2731</f>
        <v>2731</v>
      </c>
      <c r="P255" s="32" t="s">
        <v>875</v>
      </c>
      <c r="Q255" s="31">
        <f>2863.5</f>
        <v>2863.5</v>
      </c>
      <c r="R255" s="32" t="s">
        <v>791</v>
      </c>
      <c r="S255" s="33">
        <f>2818.28</f>
        <v>2818.28</v>
      </c>
      <c r="T255" s="30">
        <f>2971650</f>
        <v>2971650</v>
      </c>
      <c r="U255" s="30">
        <f>2560520</f>
        <v>2560520</v>
      </c>
      <c r="V255" s="30">
        <f>8455068517</f>
        <v>8455068517</v>
      </c>
      <c r="W255" s="30">
        <f>7293434187</f>
        <v>7293434187</v>
      </c>
      <c r="X255" s="34">
        <f>20</f>
        <v>20</v>
      </c>
    </row>
    <row r="256" spans="1:24" ht="13.5" customHeight="1" x14ac:dyDescent="0.15">
      <c r="A256" s="25" t="s">
        <v>1112</v>
      </c>
      <c r="B256" s="25" t="s">
        <v>737</v>
      </c>
      <c r="C256" s="25" t="s">
        <v>738</v>
      </c>
      <c r="D256" s="25" t="s">
        <v>739</v>
      </c>
      <c r="E256" s="26" t="s">
        <v>45</v>
      </c>
      <c r="F256" s="27" t="s">
        <v>45</v>
      </c>
      <c r="G256" s="28" t="s">
        <v>45</v>
      </c>
      <c r="H256" s="29"/>
      <c r="I256" s="29" t="s">
        <v>46</v>
      </c>
      <c r="J256" s="30">
        <v>10</v>
      </c>
      <c r="K256" s="31">
        <f>274.1</f>
        <v>274.10000000000002</v>
      </c>
      <c r="L256" s="32" t="s">
        <v>996</v>
      </c>
      <c r="M256" s="31">
        <f>281.3</f>
        <v>281.3</v>
      </c>
      <c r="N256" s="32" t="s">
        <v>791</v>
      </c>
      <c r="O256" s="31">
        <f>269.4</f>
        <v>269.39999999999998</v>
      </c>
      <c r="P256" s="32" t="s">
        <v>875</v>
      </c>
      <c r="Q256" s="31">
        <f>280.7</f>
        <v>280.7</v>
      </c>
      <c r="R256" s="32" t="s">
        <v>791</v>
      </c>
      <c r="S256" s="33">
        <f>276.44</f>
        <v>276.44</v>
      </c>
      <c r="T256" s="30">
        <f>36654390</f>
        <v>36654390</v>
      </c>
      <c r="U256" s="30">
        <f>14835470</f>
        <v>14835470</v>
      </c>
      <c r="V256" s="30">
        <f>10177500988</f>
        <v>10177500988</v>
      </c>
      <c r="W256" s="30">
        <f>4144500516</f>
        <v>4144500516</v>
      </c>
      <c r="X256" s="34">
        <f>20</f>
        <v>20</v>
      </c>
    </row>
    <row r="257" spans="1:24" ht="13.5" customHeight="1" x14ac:dyDescent="0.15">
      <c r="A257" s="25" t="s">
        <v>1112</v>
      </c>
      <c r="B257" s="25" t="s">
        <v>740</v>
      </c>
      <c r="C257" s="25" t="s">
        <v>741</v>
      </c>
      <c r="D257" s="25" t="s">
        <v>742</v>
      </c>
      <c r="E257" s="26" t="s">
        <v>45</v>
      </c>
      <c r="F257" s="27" t="s">
        <v>45</v>
      </c>
      <c r="G257" s="28" t="s">
        <v>45</v>
      </c>
      <c r="H257" s="29"/>
      <c r="I257" s="29" t="s">
        <v>46</v>
      </c>
      <c r="J257" s="30">
        <v>1</v>
      </c>
      <c r="K257" s="31">
        <f>2303</f>
        <v>2303</v>
      </c>
      <c r="L257" s="32" t="s">
        <v>996</v>
      </c>
      <c r="M257" s="31">
        <f>2402</f>
        <v>2402</v>
      </c>
      <c r="N257" s="32" t="s">
        <v>791</v>
      </c>
      <c r="O257" s="31">
        <f>2259</f>
        <v>2259</v>
      </c>
      <c r="P257" s="32" t="s">
        <v>56</v>
      </c>
      <c r="Q257" s="31">
        <f>2402</f>
        <v>2402</v>
      </c>
      <c r="R257" s="32" t="s">
        <v>791</v>
      </c>
      <c r="S257" s="33">
        <f>2331.95</f>
        <v>2331.9499999999998</v>
      </c>
      <c r="T257" s="30">
        <f>552271</f>
        <v>552271</v>
      </c>
      <c r="U257" s="30">
        <f>33334</f>
        <v>33334</v>
      </c>
      <c r="V257" s="30">
        <f>1285870953</f>
        <v>1285870953</v>
      </c>
      <c r="W257" s="30">
        <f>76312214</f>
        <v>76312214</v>
      </c>
      <c r="X257" s="34">
        <f>20</f>
        <v>20</v>
      </c>
    </row>
    <row r="258" spans="1:24" ht="13.5" customHeight="1" x14ac:dyDescent="0.15">
      <c r="A258" s="25" t="s">
        <v>1112</v>
      </c>
      <c r="B258" s="25" t="s">
        <v>743</v>
      </c>
      <c r="C258" s="25" t="s">
        <v>744</v>
      </c>
      <c r="D258" s="25" t="s">
        <v>745</v>
      </c>
      <c r="E258" s="26" t="s">
        <v>45</v>
      </c>
      <c r="F258" s="27" t="s">
        <v>45</v>
      </c>
      <c r="G258" s="28" t="s">
        <v>45</v>
      </c>
      <c r="H258" s="29"/>
      <c r="I258" s="29" t="s">
        <v>46</v>
      </c>
      <c r="J258" s="30">
        <v>1</v>
      </c>
      <c r="K258" s="31">
        <f>978</f>
        <v>978</v>
      </c>
      <c r="L258" s="32" t="s">
        <v>996</v>
      </c>
      <c r="M258" s="31">
        <f>991</f>
        <v>991</v>
      </c>
      <c r="N258" s="32" t="s">
        <v>255</v>
      </c>
      <c r="O258" s="31">
        <f>962</f>
        <v>962</v>
      </c>
      <c r="P258" s="32" t="s">
        <v>875</v>
      </c>
      <c r="Q258" s="31">
        <f>980</f>
        <v>980</v>
      </c>
      <c r="R258" s="32" t="s">
        <v>791</v>
      </c>
      <c r="S258" s="33">
        <f>978.8</f>
        <v>978.8</v>
      </c>
      <c r="T258" s="30">
        <f>74963</f>
        <v>74963</v>
      </c>
      <c r="U258" s="30" t="str">
        <f>"－"</f>
        <v>－</v>
      </c>
      <c r="V258" s="30">
        <f>73387048</f>
        <v>73387048</v>
      </c>
      <c r="W258" s="30" t="str">
        <f>"－"</f>
        <v>－</v>
      </c>
      <c r="X258" s="34">
        <f>20</f>
        <v>20</v>
      </c>
    </row>
    <row r="259" spans="1:24" ht="13.5" customHeight="1" x14ac:dyDescent="0.15">
      <c r="A259" s="25" t="s">
        <v>1112</v>
      </c>
      <c r="B259" s="25" t="s">
        <v>746</v>
      </c>
      <c r="C259" s="25" t="s">
        <v>747</v>
      </c>
      <c r="D259" s="25" t="s">
        <v>748</v>
      </c>
      <c r="E259" s="26" t="s">
        <v>45</v>
      </c>
      <c r="F259" s="27" t="s">
        <v>45</v>
      </c>
      <c r="G259" s="28" t="s">
        <v>45</v>
      </c>
      <c r="H259" s="29"/>
      <c r="I259" s="29" t="s">
        <v>46</v>
      </c>
      <c r="J259" s="30">
        <v>10</v>
      </c>
      <c r="K259" s="31">
        <f>1054.5</f>
        <v>1054.5</v>
      </c>
      <c r="L259" s="32" t="s">
        <v>996</v>
      </c>
      <c r="M259" s="31">
        <f>1070</f>
        <v>1070</v>
      </c>
      <c r="N259" s="32" t="s">
        <v>255</v>
      </c>
      <c r="O259" s="31">
        <f>1035</f>
        <v>1035</v>
      </c>
      <c r="P259" s="32" t="s">
        <v>875</v>
      </c>
      <c r="Q259" s="31">
        <f>1059.5</f>
        <v>1059.5</v>
      </c>
      <c r="R259" s="32" t="s">
        <v>791</v>
      </c>
      <c r="S259" s="33">
        <f>1052.2</f>
        <v>1052.2</v>
      </c>
      <c r="T259" s="30">
        <f>44680</f>
        <v>44680</v>
      </c>
      <c r="U259" s="30" t="str">
        <f>"－"</f>
        <v>－</v>
      </c>
      <c r="V259" s="30">
        <f>46912130</f>
        <v>46912130</v>
      </c>
      <c r="W259" s="30" t="str">
        <f>"－"</f>
        <v>－</v>
      </c>
      <c r="X259" s="34">
        <f>20</f>
        <v>20</v>
      </c>
    </row>
    <row r="260" spans="1:24" ht="13.5" customHeight="1" x14ac:dyDescent="0.15">
      <c r="A260" s="25" t="s">
        <v>1112</v>
      </c>
      <c r="B260" s="25" t="s">
        <v>749</v>
      </c>
      <c r="C260" s="25" t="s">
        <v>750</v>
      </c>
      <c r="D260" s="25" t="s">
        <v>751</v>
      </c>
      <c r="E260" s="26" t="s">
        <v>45</v>
      </c>
      <c r="F260" s="27" t="s">
        <v>45</v>
      </c>
      <c r="G260" s="28" t="s">
        <v>45</v>
      </c>
      <c r="H260" s="29"/>
      <c r="I260" s="29" t="s">
        <v>46</v>
      </c>
      <c r="J260" s="30">
        <v>10</v>
      </c>
      <c r="K260" s="31">
        <f>282.5</f>
        <v>282.5</v>
      </c>
      <c r="L260" s="32" t="s">
        <v>996</v>
      </c>
      <c r="M260" s="31">
        <f>317.5</f>
        <v>317.5</v>
      </c>
      <c r="N260" s="32" t="s">
        <v>791</v>
      </c>
      <c r="O260" s="31">
        <f>277</f>
        <v>277</v>
      </c>
      <c r="P260" s="32" t="s">
        <v>78</v>
      </c>
      <c r="Q260" s="31">
        <f>310.4</f>
        <v>310.39999999999998</v>
      </c>
      <c r="R260" s="32" t="s">
        <v>791</v>
      </c>
      <c r="S260" s="33">
        <f>299.37</f>
        <v>299.37</v>
      </c>
      <c r="T260" s="30">
        <f>1289380</f>
        <v>1289380</v>
      </c>
      <c r="U260" s="30">
        <f>1200000</f>
        <v>1200000</v>
      </c>
      <c r="V260" s="30">
        <f>397429228</f>
        <v>397429228</v>
      </c>
      <c r="W260" s="30">
        <f>370716000</f>
        <v>370716000</v>
      </c>
      <c r="X260" s="34">
        <f>20</f>
        <v>20</v>
      </c>
    </row>
    <row r="261" spans="1:24" ht="13.5" customHeight="1" x14ac:dyDescent="0.15">
      <c r="A261" s="25" t="s">
        <v>1112</v>
      </c>
      <c r="B261" s="25" t="s">
        <v>752</v>
      </c>
      <c r="C261" s="25" t="s">
        <v>753</v>
      </c>
      <c r="D261" s="25" t="s">
        <v>754</v>
      </c>
      <c r="E261" s="26" t="s">
        <v>45</v>
      </c>
      <c r="F261" s="27" t="s">
        <v>45</v>
      </c>
      <c r="G261" s="28" t="s">
        <v>45</v>
      </c>
      <c r="H261" s="29"/>
      <c r="I261" s="29" t="s">
        <v>46</v>
      </c>
      <c r="J261" s="30">
        <v>10</v>
      </c>
      <c r="K261" s="31">
        <f>3775</f>
        <v>3775</v>
      </c>
      <c r="L261" s="32" t="s">
        <v>996</v>
      </c>
      <c r="M261" s="31">
        <f>3844</f>
        <v>3844</v>
      </c>
      <c r="N261" s="32" t="s">
        <v>78</v>
      </c>
      <c r="O261" s="31">
        <f>3622</f>
        <v>3622</v>
      </c>
      <c r="P261" s="32" t="s">
        <v>787</v>
      </c>
      <c r="Q261" s="31">
        <f>3830</f>
        <v>3830</v>
      </c>
      <c r="R261" s="32" t="s">
        <v>791</v>
      </c>
      <c r="S261" s="33">
        <f>3736.95</f>
        <v>3736.95</v>
      </c>
      <c r="T261" s="30">
        <f>1690230</f>
        <v>1690230</v>
      </c>
      <c r="U261" s="30" t="str">
        <f>"－"</f>
        <v>－</v>
      </c>
      <c r="V261" s="30">
        <f>6294148410</f>
        <v>6294148410</v>
      </c>
      <c r="W261" s="30" t="str">
        <f>"－"</f>
        <v>－</v>
      </c>
      <c r="X261" s="34">
        <f>20</f>
        <v>20</v>
      </c>
    </row>
    <row r="262" spans="1:24" ht="13.5" customHeight="1" x14ac:dyDescent="0.15">
      <c r="A262" s="25" t="s">
        <v>1112</v>
      </c>
      <c r="B262" s="25" t="s">
        <v>755</v>
      </c>
      <c r="C262" s="25" t="s">
        <v>756</v>
      </c>
      <c r="D262" s="25" t="s">
        <v>757</v>
      </c>
      <c r="E262" s="26" t="s">
        <v>45</v>
      </c>
      <c r="F262" s="27" t="s">
        <v>45</v>
      </c>
      <c r="G262" s="28" t="s">
        <v>45</v>
      </c>
      <c r="H262" s="29"/>
      <c r="I262" s="29" t="s">
        <v>46</v>
      </c>
      <c r="J262" s="30">
        <v>10</v>
      </c>
      <c r="K262" s="31">
        <f>2561</f>
        <v>2561</v>
      </c>
      <c r="L262" s="32" t="s">
        <v>996</v>
      </c>
      <c r="M262" s="31">
        <f>2655.5</f>
        <v>2655.5</v>
      </c>
      <c r="N262" s="32" t="s">
        <v>790</v>
      </c>
      <c r="O262" s="31">
        <f>2513</f>
        <v>2513</v>
      </c>
      <c r="P262" s="32" t="s">
        <v>875</v>
      </c>
      <c r="Q262" s="31">
        <f>2634.5</f>
        <v>2634.5</v>
      </c>
      <c r="R262" s="32" t="s">
        <v>791</v>
      </c>
      <c r="S262" s="33">
        <f>2587.28</f>
        <v>2587.2800000000002</v>
      </c>
      <c r="T262" s="30">
        <f>7469600</f>
        <v>7469600</v>
      </c>
      <c r="U262" s="30">
        <f>5516400</f>
        <v>5516400</v>
      </c>
      <c r="V262" s="30">
        <f>19431348080</f>
        <v>19431348080</v>
      </c>
      <c r="W262" s="30">
        <f>14364419960</f>
        <v>14364419960</v>
      </c>
      <c r="X262" s="34">
        <f>20</f>
        <v>20</v>
      </c>
    </row>
    <row r="263" spans="1:24" ht="13.5" customHeight="1" x14ac:dyDescent="0.15">
      <c r="A263" s="25" t="s">
        <v>1112</v>
      </c>
      <c r="B263" s="25" t="s">
        <v>758</v>
      </c>
      <c r="C263" s="25" t="s">
        <v>759</v>
      </c>
      <c r="D263" s="25" t="s">
        <v>760</v>
      </c>
      <c r="E263" s="26" t="s">
        <v>45</v>
      </c>
      <c r="F263" s="27" t="s">
        <v>45</v>
      </c>
      <c r="G263" s="28" t="s">
        <v>45</v>
      </c>
      <c r="H263" s="29"/>
      <c r="I263" s="29" t="s">
        <v>46</v>
      </c>
      <c r="J263" s="30">
        <v>10</v>
      </c>
      <c r="K263" s="31">
        <f>321.6</f>
        <v>321.60000000000002</v>
      </c>
      <c r="L263" s="32" t="s">
        <v>996</v>
      </c>
      <c r="M263" s="31">
        <f>322</f>
        <v>322</v>
      </c>
      <c r="N263" s="32" t="s">
        <v>784</v>
      </c>
      <c r="O263" s="31">
        <f>305.7</f>
        <v>305.7</v>
      </c>
      <c r="P263" s="32" t="s">
        <v>1005</v>
      </c>
      <c r="Q263" s="31">
        <f>314.6</f>
        <v>314.60000000000002</v>
      </c>
      <c r="R263" s="32" t="s">
        <v>791</v>
      </c>
      <c r="S263" s="33">
        <f>313.53</f>
        <v>313.52999999999997</v>
      </c>
      <c r="T263" s="30">
        <f>65107870</f>
        <v>65107870</v>
      </c>
      <c r="U263" s="30">
        <f>57092000</f>
        <v>57092000</v>
      </c>
      <c r="V263" s="30">
        <f>20656946979</f>
        <v>20656946979</v>
      </c>
      <c r="W263" s="30">
        <f>18134461078</f>
        <v>18134461078</v>
      </c>
      <c r="X263" s="34">
        <f>20</f>
        <v>20</v>
      </c>
    </row>
    <row r="264" spans="1:24" ht="13.5" customHeight="1" x14ac:dyDescent="0.15">
      <c r="A264" s="25" t="s">
        <v>1112</v>
      </c>
      <c r="B264" s="25" t="s">
        <v>761</v>
      </c>
      <c r="C264" s="25" t="s">
        <v>762</v>
      </c>
      <c r="D264" s="25" t="s">
        <v>763</v>
      </c>
      <c r="E264" s="26" t="s">
        <v>45</v>
      </c>
      <c r="F264" s="27" t="s">
        <v>45</v>
      </c>
      <c r="G264" s="28" t="s">
        <v>45</v>
      </c>
      <c r="H264" s="29"/>
      <c r="I264" s="29" t="s">
        <v>46</v>
      </c>
      <c r="J264" s="30">
        <v>1</v>
      </c>
      <c r="K264" s="31">
        <f>1447</f>
        <v>1447</v>
      </c>
      <c r="L264" s="32" t="s">
        <v>996</v>
      </c>
      <c r="M264" s="31">
        <f>1457</f>
        <v>1457</v>
      </c>
      <c r="N264" s="32" t="s">
        <v>785</v>
      </c>
      <c r="O264" s="31">
        <f>1391</f>
        <v>1391</v>
      </c>
      <c r="P264" s="32" t="s">
        <v>875</v>
      </c>
      <c r="Q264" s="31">
        <f>1399</f>
        <v>1399</v>
      </c>
      <c r="R264" s="32" t="s">
        <v>791</v>
      </c>
      <c r="S264" s="33">
        <f>1425.85</f>
        <v>1425.85</v>
      </c>
      <c r="T264" s="30">
        <f>18449285</f>
        <v>18449285</v>
      </c>
      <c r="U264" s="30">
        <f>14447</f>
        <v>14447</v>
      </c>
      <c r="V264" s="30">
        <f>26213405654</f>
        <v>26213405654</v>
      </c>
      <c r="W264" s="30">
        <f>20352461</f>
        <v>20352461</v>
      </c>
      <c r="X264" s="34">
        <f>20</f>
        <v>20</v>
      </c>
    </row>
    <row r="265" spans="1:24" ht="13.5" customHeight="1" x14ac:dyDescent="0.15">
      <c r="A265" s="25" t="s">
        <v>1112</v>
      </c>
      <c r="B265" s="25" t="s">
        <v>764</v>
      </c>
      <c r="C265" s="25" t="s">
        <v>765</v>
      </c>
      <c r="D265" s="25" t="s">
        <v>766</v>
      </c>
      <c r="E265" s="26" t="s">
        <v>45</v>
      </c>
      <c r="F265" s="27" t="s">
        <v>45</v>
      </c>
      <c r="G265" s="28" t="s">
        <v>45</v>
      </c>
      <c r="H265" s="29"/>
      <c r="I265" s="29" t="s">
        <v>46</v>
      </c>
      <c r="J265" s="30">
        <v>1</v>
      </c>
      <c r="K265" s="31">
        <f>1840</f>
        <v>1840</v>
      </c>
      <c r="L265" s="32" t="s">
        <v>996</v>
      </c>
      <c r="M265" s="31">
        <f>1840</f>
        <v>1840</v>
      </c>
      <c r="N265" s="32" t="s">
        <v>996</v>
      </c>
      <c r="O265" s="31">
        <f>1763</f>
        <v>1763</v>
      </c>
      <c r="P265" s="32" t="s">
        <v>875</v>
      </c>
      <c r="Q265" s="31">
        <f>1822</f>
        <v>1822</v>
      </c>
      <c r="R265" s="32" t="s">
        <v>791</v>
      </c>
      <c r="S265" s="33">
        <f>1812.55</f>
        <v>1812.55</v>
      </c>
      <c r="T265" s="30">
        <f>55440</f>
        <v>55440</v>
      </c>
      <c r="U265" s="30">
        <f>17</f>
        <v>17</v>
      </c>
      <c r="V265" s="30">
        <f>100305774</f>
        <v>100305774</v>
      </c>
      <c r="W265" s="30">
        <f>30647</f>
        <v>30647</v>
      </c>
      <c r="X265" s="34">
        <f>20</f>
        <v>20</v>
      </c>
    </row>
    <row r="266" spans="1:24" ht="13.5" customHeight="1" x14ac:dyDescent="0.15">
      <c r="A266" s="25" t="s">
        <v>1112</v>
      </c>
      <c r="B266" s="25" t="s">
        <v>767</v>
      </c>
      <c r="C266" s="25" t="s">
        <v>768</v>
      </c>
      <c r="D266" s="25" t="s">
        <v>769</v>
      </c>
      <c r="E266" s="26" t="s">
        <v>45</v>
      </c>
      <c r="F266" s="27" t="s">
        <v>45</v>
      </c>
      <c r="G266" s="28" t="s">
        <v>45</v>
      </c>
      <c r="H266" s="29"/>
      <c r="I266" s="29" t="s">
        <v>46</v>
      </c>
      <c r="J266" s="30">
        <v>1</v>
      </c>
      <c r="K266" s="31">
        <f>2091</f>
        <v>2091</v>
      </c>
      <c r="L266" s="32" t="s">
        <v>996</v>
      </c>
      <c r="M266" s="31">
        <f>2103</f>
        <v>2103</v>
      </c>
      <c r="N266" s="32" t="s">
        <v>80</v>
      </c>
      <c r="O266" s="31">
        <f>2070</f>
        <v>2070</v>
      </c>
      <c r="P266" s="32" t="s">
        <v>875</v>
      </c>
      <c r="Q266" s="31">
        <f>2094</f>
        <v>2094</v>
      </c>
      <c r="R266" s="32" t="s">
        <v>791</v>
      </c>
      <c r="S266" s="33">
        <f>2085.7</f>
        <v>2085.6999999999998</v>
      </c>
      <c r="T266" s="30">
        <f>514465</f>
        <v>514465</v>
      </c>
      <c r="U266" s="30">
        <f>513000</f>
        <v>513000</v>
      </c>
      <c r="V266" s="30">
        <f>1075431619</f>
        <v>1075431619</v>
      </c>
      <c r="W266" s="30">
        <f>1072374300</f>
        <v>1072374300</v>
      </c>
      <c r="X266" s="34">
        <f>20</f>
        <v>20</v>
      </c>
    </row>
    <row r="267" spans="1:24" ht="13.5" customHeight="1" x14ac:dyDescent="0.15">
      <c r="A267" s="25" t="s">
        <v>1112</v>
      </c>
      <c r="B267" s="25" t="s">
        <v>770</v>
      </c>
      <c r="C267" s="25" t="s">
        <v>771</v>
      </c>
      <c r="D267" s="25" t="s">
        <v>1087</v>
      </c>
      <c r="E267" s="26" t="s">
        <v>45</v>
      </c>
      <c r="F267" s="27" t="s">
        <v>45</v>
      </c>
      <c r="G267" s="28" t="s">
        <v>45</v>
      </c>
      <c r="H267" s="29"/>
      <c r="I267" s="29" t="s">
        <v>46</v>
      </c>
      <c r="J267" s="30">
        <v>1</v>
      </c>
      <c r="K267" s="31">
        <f>3370</f>
        <v>3370</v>
      </c>
      <c r="L267" s="32" t="s">
        <v>996</v>
      </c>
      <c r="M267" s="31">
        <f>3390</f>
        <v>3390</v>
      </c>
      <c r="N267" s="32" t="s">
        <v>996</v>
      </c>
      <c r="O267" s="31">
        <f>3190</f>
        <v>3190</v>
      </c>
      <c r="P267" s="32" t="s">
        <v>787</v>
      </c>
      <c r="Q267" s="31">
        <f>3325</f>
        <v>3325</v>
      </c>
      <c r="R267" s="32" t="s">
        <v>791</v>
      </c>
      <c r="S267" s="33">
        <f>3281</f>
        <v>3281</v>
      </c>
      <c r="T267" s="30">
        <f>327127</f>
        <v>327127</v>
      </c>
      <c r="U267" s="30">
        <f>65000</f>
        <v>65000</v>
      </c>
      <c r="V267" s="30">
        <f>1070492125</f>
        <v>1070492125</v>
      </c>
      <c r="W267" s="30">
        <f>211295500</f>
        <v>211295500</v>
      </c>
      <c r="X267" s="34">
        <f>20</f>
        <v>20</v>
      </c>
    </row>
    <row r="268" spans="1:24" ht="13.5" customHeight="1" x14ac:dyDescent="0.15">
      <c r="A268" s="25" t="s">
        <v>1112</v>
      </c>
      <c r="B268" s="25" t="s">
        <v>773</v>
      </c>
      <c r="C268" s="25" t="s">
        <v>774</v>
      </c>
      <c r="D268" s="25" t="s">
        <v>1088</v>
      </c>
      <c r="E268" s="26" t="s">
        <v>45</v>
      </c>
      <c r="F268" s="27" t="s">
        <v>45</v>
      </c>
      <c r="G268" s="28" t="s">
        <v>45</v>
      </c>
      <c r="H268" s="29"/>
      <c r="I268" s="29" t="s">
        <v>46</v>
      </c>
      <c r="J268" s="30">
        <v>1</v>
      </c>
      <c r="K268" s="31">
        <f>2311</f>
        <v>2311</v>
      </c>
      <c r="L268" s="32" t="s">
        <v>996</v>
      </c>
      <c r="M268" s="31">
        <f>2330</f>
        <v>2330</v>
      </c>
      <c r="N268" s="32" t="s">
        <v>791</v>
      </c>
      <c r="O268" s="31">
        <f>2217</f>
        <v>2217</v>
      </c>
      <c r="P268" s="32" t="s">
        <v>787</v>
      </c>
      <c r="Q268" s="31">
        <f>2324</f>
        <v>2324</v>
      </c>
      <c r="R268" s="32" t="s">
        <v>791</v>
      </c>
      <c r="S268" s="33">
        <f>2274.7</f>
        <v>2274.6999999999998</v>
      </c>
      <c r="T268" s="30">
        <f>971784</f>
        <v>971784</v>
      </c>
      <c r="U268" s="30">
        <f>47400</f>
        <v>47400</v>
      </c>
      <c r="V268" s="30">
        <f>2205856621</f>
        <v>2205856621</v>
      </c>
      <c r="W268" s="30">
        <f>107327820</f>
        <v>107327820</v>
      </c>
      <c r="X268" s="34">
        <f>20</f>
        <v>20</v>
      </c>
    </row>
    <row r="269" spans="1:24" ht="13.5" customHeight="1" x14ac:dyDescent="0.15">
      <c r="A269" s="25" t="s">
        <v>1112</v>
      </c>
      <c r="B269" s="25" t="s">
        <v>776</v>
      </c>
      <c r="C269" s="25" t="s">
        <v>777</v>
      </c>
      <c r="D269" s="25" t="s">
        <v>778</v>
      </c>
      <c r="E269" s="26" t="s">
        <v>45</v>
      </c>
      <c r="F269" s="27" t="s">
        <v>45</v>
      </c>
      <c r="G269" s="28" t="s">
        <v>45</v>
      </c>
      <c r="H269" s="29"/>
      <c r="I269" s="29" t="s">
        <v>46</v>
      </c>
      <c r="J269" s="30">
        <v>1</v>
      </c>
      <c r="K269" s="31">
        <f>2048</f>
        <v>2048</v>
      </c>
      <c r="L269" s="32" t="s">
        <v>996</v>
      </c>
      <c r="M269" s="31">
        <f>2081</f>
        <v>2081</v>
      </c>
      <c r="N269" s="32" t="s">
        <v>785</v>
      </c>
      <c r="O269" s="31">
        <f>1976</f>
        <v>1976</v>
      </c>
      <c r="P269" s="32" t="s">
        <v>997</v>
      </c>
      <c r="Q269" s="31">
        <f>2034</f>
        <v>2034</v>
      </c>
      <c r="R269" s="32" t="s">
        <v>791</v>
      </c>
      <c r="S269" s="33">
        <f>2016.4</f>
        <v>2016.4</v>
      </c>
      <c r="T269" s="30">
        <f>47498</f>
        <v>47498</v>
      </c>
      <c r="U269" s="30" t="str">
        <f>"－"</f>
        <v>－</v>
      </c>
      <c r="V269" s="30">
        <f>96569639</f>
        <v>96569639</v>
      </c>
      <c r="W269" s="30" t="str">
        <f>"－"</f>
        <v>－</v>
      </c>
      <c r="X269" s="34">
        <f>20</f>
        <v>20</v>
      </c>
    </row>
    <row r="270" spans="1:24" ht="13.5" customHeight="1" x14ac:dyDescent="0.15">
      <c r="A270" s="25" t="s">
        <v>1112</v>
      </c>
      <c r="B270" s="25" t="s">
        <v>779</v>
      </c>
      <c r="C270" s="25" t="s">
        <v>780</v>
      </c>
      <c r="D270" s="25" t="s">
        <v>781</v>
      </c>
      <c r="E270" s="26" t="s">
        <v>45</v>
      </c>
      <c r="F270" s="27" t="s">
        <v>45</v>
      </c>
      <c r="G270" s="28" t="s">
        <v>45</v>
      </c>
      <c r="H270" s="29"/>
      <c r="I270" s="29" t="s">
        <v>46</v>
      </c>
      <c r="J270" s="30">
        <v>1</v>
      </c>
      <c r="K270" s="31">
        <f>1382</f>
        <v>1382</v>
      </c>
      <c r="L270" s="32" t="s">
        <v>996</v>
      </c>
      <c r="M270" s="31">
        <f>1412</f>
        <v>1412</v>
      </c>
      <c r="N270" s="32" t="s">
        <v>1005</v>
      </c>
      <c r="O270" s="31">
        <f>1344</f>
        <v>1344</v>
      </c>
      <c r="P270" s="32" t="s">
        <v>998</v>
      </c>
      <c r="Q270" s="31">
        <f>1385</f>
        <v>1385</v>
      </c>
      <c r="R270" s="32" t="s">
        <v>791</v>
      </c>
      <c r="S270" s="33">
        <f>1379.55</f>
        <v>1379.55</v>
      </c>
      <c r="T270" s="30">
        <f>23700</f>
        <v>23700</v>
      </c>
      <c r="U270" s="30" t="str">
        <f>"－"</f>
        <v>－</v>
      </c>
      <c r="V270" s="30">
        <f>32629554</f>
        <v>32629554</v>
      </c>
      <c r="W270" s="30" t="str">
        <f>"－"</f>
        <v>－</v>
      </c>
      <c r="X270" s="34">
        <f>20</f>
        <v>20</v>
      </c>
    </row>
    <row r="271" spans="1:24" ht="13.5" customHeight="1" x14ac:dyDescent="0.15">
      <c r="A271" s="25" t="s">
        <v>1112</v>
      </c>
      <c r="B271" s="25" t="s">
        <v>797</v>
      </c>
      <c r="C271" s="25" t="s">
        <v>798</v>
      </c>
      <c r="D271" s="25" t="s">
        <v>799</v>
      </c>
      <c r="E271" s="26" t="s">
        <v>45</v>
      </c>
      <c r="F271" s="27" t="s">
        <v>45</v>
      </c>
      <c r="G271" s="28" t="s">
        <v>45</v>
      </c>
      <c r="H271" s="29"/>
      <c r="I271" s="29" t="s">
        <v>46</v>
      </c>
      <c r="J271" s="30">
        <v>1</v>
      </c>
      <c r="K271" s="31">
        <f>2045</f>
        <v>2045</v>
      </c>
      <c r="L271" s="32" t="s">
        <v>996</v>
      </c>
      <c r="M271" s="31">
        <f>2079</f>
        <v>2079</v>
      </c>
      <c r="N271" s="32" t="s">
        <v>784</v>
      </c>
      <c r="O271" s="31">
        <f>1872</f>
        <v>1872</v>
      </c>
      <c r="P271" s="32" t="s">
        <v>997</v>
      </c>
      <c r="Q271" s="31">
        <f>1967</f>
        <v>1967</v>
      </c>
      <c r="R271" s="32" t="s">
        <v>791</v>
      </c>
      <c r="S271" s="33">
        <f>1972</f>
        <v>1972</v>
      </c>
      <c r="T271" s="30">
        <f>42863</f>
        <v>42863</v>
      </c>
      <c r="U271" s="30" t="str">
        <f>"－"</f>
        <v>－</v>
      </c>
      <c r="V271" s="30">
        <f>83175924</f>
        <v>83175924</v>
      </c>
      <c r="W271" s="30" t="str">
        <f>"－"</f>
        <v>－</v>
      </c>
      <c r="X271" s="34">
        <f>20</f>
        <v>20</v>
      </c>
    </row>
    <row r="272" spans="1:24" ht="13.5" customHeight="1" x14ac:dyDescent="0.15">
      <c r="A272" s="25" t="s">
        <v>1112</v>
      </c>
      <c r="B272" s="25" t="s">
        <v>800</v>
      </c>
      <c r="C272" s="25" t="s">
        <v>801</v>
      </c>
      <c r="D272" s="25" t="s">
        <v>802</v>
      </c>
      <c r="E272" s="26" t="s">
        <v>45</v>
      </c>
      <c r="F272" s="27" t="s">
        <v>45</v>
      </c>
      <c r="G272" s="28" t="s">
        <v>45</v>
      </c>
      <c r="H272" s="29"/>
      <c r="I272" s="29" t="s">
        <v>46</v>
      </c>
      <c r="J272" s="30">
        <v>1</v>
      </c>
      <c r="K272" s="31">
        <f>2500</f>
        <v>2500</v>
      </c>
      <c r="L272" s="32" t="s">
        <v>996</v>
      </c>
      <c r="M272" s="31">
        <f>2628</f>
        <v>2628</v>
      </c>
      <c r="N272" s="32" t="s">
        <v>791</v>
      </c>
      <c r="O272" s="31">
        <f>2414</f>
        <v>2414</v>
      </c>
      <c r="P272" s="32" t="s">
        <v>794</v>
      </c>
      <c r="Q272" s="31">
        <f>2606</f>
        <v>2606</v>
      </c>
      <c r="R272" s="32" t="s">
        <v>791</v>
      </c>
      <c r="S272" s="33">
        <f>2477.06</f>
        <v>2477.06</v>
      </c>
      <c r="T272" s="30">
        <f>4092</f>
        <v>4092</v>
      </c>
      <c r="U272" s="30" t="str">
        <f>"－"</f>
        <v>－</v>
      </c>
      <c r="V272" s="30">
        <f>10365596</f>
        <v>10365596</v>
      </c>
      <c r="W272" s="30" t="str">
        <f>"－"</f>
        <v>－</v>
      </c>
      <c r="X272" s="34">
        <f>18</f>
        <v>18</v>
      </c>
    </row>
    <row r="273" spans="1:24" ht="13.5" customHeight="1" x14ac:dyDescent="0.15">
      <c r="A273" s="25" t="s">
        <v>1112</v>
      </c>
      <c r="B273" s="25" t="s">
        <v>803</v>
      </c>
      <c r="C273" s="25" t="s">
        <v>804</v>
      </c>
      <c r="D273" s="25" t="s">
        <v>805</v>
      </c>
      <c r="E273" s="26" t="s">
        <v>45</v>
      </c>
      <c r="F273" s="27" t="s">
        <v>45</v>
      </c>
      <c r="G273" s="28" t="s">
        <v>45</v>
      </c>
      <c r="H273" s="29"/>
      <c r="I273" s="29" t="s">
        <v>46</v>
      </c>
      <c r="J273" s="30">
        <v>1</v>
      </c>
      <c r="K273" s="31">
        <f>10810</f>
        <v>10810</v>
      </c>
      <c r="L273" s="32" t="s">
        <v>996</v>
      </c>
      <c r="M273" s="31">
        <f>11095</f>
        <v>11095</v>
      </c>
      <c r="N273" s="32" t="s">
        <v>255</v>
      </c>
      <c r="O273" s="31">
        <f>10630</f>
        <v>10630</v>
      </c>
      <c r="P273" s="32" t="s">
        <v>875</v>
      </c>
      <c r="Q273" s="31">
        <f>11065</f>
        <v>11065</v>
      </c>
      <c r="R273" s="32" t="s">
        <v>791</v>
      </c>
      <c r="S273" s="33">
        <f>10903</f>
        <v>10903</v>
      </c>
      <c r="T273" s="30">
        <f>815547</f>
        <v>815547</v>
      </c>
      <c r="U273" s="30">
        <f>589700</f>
        <v>589700</v>
      </c>
      <c r="V273" s="30">
        <f>8865929200</f>
        <v>8865929200</v>
      </c>
      <c r="W273" s="30">
        <f>6395612140</f>
        <v>6395612140</v>
      </c>
      <c r="X273" s="34">
        <f>20</f>
        <v>20</v>
      </c>
    </row>
    <row r="274" spans="1:24" ht="13.5" customHeight="1" x14ac:dyDescent="0.15">
      <c r="A274" s="25" t="s">
        <v>1112</v>
      </c>
      <c r="B274" s="25" t="s">
        <v>806</v>
      </c>
      <c r="C274" s="25" t="s">
        <v>807</v>
      </c>
      <c r="D274" s="25" t="s">
        <v>808</v>
      </c>
      <c r="E274" s="26" t="s">
        <v>45</v>
      </c>
      <c r="F274" s="27" t="s">
        <v>45</v>
      </c>
      <c r="G274" s="28" t="s">
        <v>45</v>
      </c>
      <c r="H274" s="29"/>
      <c r="I274" s="29" t="s">
        <v>46</v>
      </c>
      <c r="J274" s="30">
        <v>1</v>
      </c>
      <c r="K274" s="31">
        <f>15745</f>
        <v>15745</v>
      </c>
      <c r="L274" s="32" t="s">
        <v>996</v>
      </c>
      <c r="M274" s="31">
        <f>16020</f>
        <v>16020</v>
      </c>
      <c r="N274" s="32" t="s">
        <v>791</v>
      </c>
      <c r="O274" s="31">
        <f>15140</f>
        <v>15140</v>
      </c>
      <c r="P274" s="32" t="s">
        <v>787</v>
      </c>
      <c r="Q274" s="31">
        <f>16000</f>
        <v>16000</v>
      </c>
      <c r="R274" s="32" t="s">
        <v>791</v>
      </c>
      <c r="S274" s="33">
        <f>15608.5</f>
        <v>15608.5</v>
      </c>
      <c r="T274" s="30">
        <f>807950</f>
        <v>807950</v>
      </c>
      <c r="U274" s="30" t="str">
        <f>"－"</f>
        <v>－</v>
      </c>
      <c r="V274" s="30">
        <f>12570942505</f>
        <v>12570942505</v>
      </c>
      <c r="W274" s="30" t="str">
        <f>"－"</f>
        <v>－</v>
      </c>
      <c r="X274" s="34">
        <f>20</f>
        <v>20</v>
      </c>
    </row>
    <row r="275" spans="1:24" ht="13.5" customHeight="1" x14ac:dyDescent="0.15">
      <c r="A275" s="25" t="s">
        <v>1112</v>
      </c>
      <c r="B275" s="25" t="s">
        <v>809</v>
      </c>
      <c r="C275" s="25" t="s">
        <v>810</v>
      </c>
      <c r="D275" s="25" t="s">
        <v>811</v>
      </c>
      <c r="E275" s="26" t="s">
        <v>45</v>
      </c>
      <c r="F275" s="27" t="s">
        <v>45</v>
      </c>
      <c r="G275" s="28" t="s">
        <v>45</v>
      </c>
      <c r="H275" s="29"/>
      <c r="I275" s="29" t="s">
        <v>46</v>
      </c>
      <c r="J275" s="30">
        <v>1</v>
      </c>
      <c r="K275" s="31">
        <f>10735</f>
        <v>10735</v>
      </c>
      <c r="L275" s="32" t="s">
        <v>996</v>
      </c>
      <c r="M275" s="31">
        <f>11155</f>
        <v>11155</v>
      </c>
      <c r="N275" s="32" t="s">
        <v>997</v>
      </c>
      <c r="O275" s="31">
        <f>10550</f>
        <v>10550</v>
      </c>
      <c r="P275" s="32" t="s">
        <v>875</v>
      </c>
      <c r="Q275" s="31">
        <f>11060</f>
        <v>11060</v>
      </c>
      <c r="R275" s="32" t="s">
        <v>791</v>
      </c>
      <c r="S275" s="33">
        <f>10859</f>
        <v>10859</v>
      </c>
      <c r="T275" s="30">
        <f>608577</f>
        <v>608577</v>
      </c>
      <c r="U275" s="30">
        <f>222063</f>
        <v>222063</v>
      </c>
      <c r="V275" s="30">
        <f>6662414200</f>
        <v>6662414200</v>
      </c>
      <c r="W275" s="30">
        <f>2446002645</f>
        <v>2446002645</v>
      </c>
      <c r="X275" s="34">
        <f>20</f>
        <v>20</v>
      </c>
    </row>
    <row r="276" spans="1:24" ht="13.5" customHeight="1" x14ac:dyDescent="0.15">
      <c r="A276" s="25" t="s">
        <v>1112</v>
      </c>
      <c r="B276" s="25" t="s">
        <v>812</v>
      </c>
      <c r="C276" s="25" t="s">
        <v>813</v>
      </c>
      <c r="D276" s="25" t="s">
        <v>814</v>
      </c>
      <c r="E276" s="26" t="s">
        <v>45</v>
      </c>
      <c r="F276" s="27" t="s">
        <v>45</v>
      </c>
      <c r="G276" s="28" t="s">
        <v>45</v>
      </c>
      <c r="H276" s="29"/>
      <c r="I276" s="29" t="s">
        <v>46</v>
      </c>
      <c r="J276" s="30">
        <v>10</v>
      </c>
      <c r="K276" s="31">
        <f>2971</f>
        <v>2971</v>
      </c>
      <c r="L276" s="32" t="s">
        <v>996</v>
      </c>
      <c r="M276" s="31">
        <f>3003</f>
        <v>3003</v>
      </c>
      <c r="N276" s="32" t="s">
        <v>791</v>
      </c>
      <c r="O276" s="31">
        <f>2858</f>
        <v>2858</v>
      </c>
      <c r="P276" s="32" t="s">
        <v>1005</v>
      </c>
      <c r="Q276" s="31">
        <f>3001</f>
        <v>3001</v>
      </c>
      <c r="R276" s="32" t="s">
        <v>791</v>
      </c>
      <c r="S276" s="33">
        <f>2935.25</f>
        <v>2935.25</v>
      </c>
      <c r="T276" s="30">
        <f>688690</f>
        <v>688690</v>
      </c>
      <c r="U276" s="30">
        <f>64400</f>
        <v>64400</v>
      </c>
      <c r="V276" s="30">
        <f>2014481785</f>
        <v>2014481785</v>
      </c>
      <c r="W276" s="30">
        <f>189052640</f>
        <v>189052640</v>
      </c>
      <c r="X276" s="34">
        <f>20</f>
        <v>20</v>
      </c>
    </row>
    <row r="277" spans="1:24" ht="13.5" customHeight="1" x14ac:dyDescent="0.15">
      <c r="A277" s="25" t="s">
        <v>1112</v>
      </c>
      <c r="B277" s="25" t="s">
        <v>815</v>
      </c>
      <c r="C277" s="25" t="s">
        <v>816</v>
      </c>
      <c r="D277" s="25" t="s">
        <v>817</v>
      </c>
      <c r="E277" s="26" t="s">
        <v>45</v>
      </c>
      <c r="F277" s="27" t="s">
        <v>45</v>
      </c>
      <c r="G277" s="28" t="s">
        <v>45</v>
      </c>
      <c r="H277" s="29"/>
      <c r="I277" s="29" t="s">
        <v>46</v>
      </c>
      <c r="J277" s="30">
        <v>10</v>
      </c>
      <c r="K277" s="31">
        <f>2132.5</f>
        <v>2132.5</v>
      </c>
      <c r="L277" s="32" t="s">
        <v>996</v>
      </c>
      <c r="M277" s="31">
        <f>2186.5</f>
        <v>2186.5</v>
      </c>
      <c r="N277" s="32" t="s">
        <v>791</v>
      </c>
      <c r="O277" s="31">
        <f>2094.5</f>
        <v>2094.5</v>
      </c>
      <c r="P277" s="32" t="s">
        <v>875</v>
      </c>
      <c r="Q277" s="31">
        <f>2183</f>
        <v>2183</v>
      </c>
      <c r="R277" s="32" t="s">
        <v>791</v>
      </c>
      <c r="S277" s="33">
        <f>2149.95</f>
        <v>2149.9499999999998</v>
      </c>
      <c r="T277" s="30">
        <f>5438450</f>
        <v>5438450</v>
      </c>
      <c r="U277" s="30">
        <f>4187430</f>
        <v>4187430</v>
      </c>
      <c r="V277" s="30">
        <f>11623110671</f>
        <v>11623110671</v>
      </c>
      <c r="W277" s="30">
        <f>8933129561</f>
        <v>8933129561</v>
      </c>
      <c r="X277" s="34">
        <f>20</f>
        <v>20</v>
      </c>
    </row>
    <row r="278" spans="1:24" ht="13.5" customHeight="1" x14ac:dyDescent="0.15">
      <c r="A278" s="25" t="s">
        <v>1112</v>
      </c>
      <c r="B278" s="25" t="s">
        <v>818</v>
      </c>
      <c r="C278" s="25" t="s">
        <v>819</v>
      </c>
      <c r="D278" s="25" t="s">
        <v>820</v>
      </c>
      <c r="E278" s="26" t="s">
        <v>45</v>
      </c>
      <c r="F278" s="27" t="s">
        <v>45</v>
      </c>
      <c r="G278" s="28" t="s">
        <v>45</v>
      </c>
      <c r="H278" s="29"/>
      <c r="I278" s="29" t="s">
        <v>46</v>
      </c>
      <c r="J278" s="30">
        <v>10</v>
      </c>
      <c r="K278" s="31">
        <f>3099</f>
        <v>3099</v>
      </c>
      <c r="L278" s="32" t="s">
        <v>996</v>
      </c>
      <c r="M278" s="31">
        <f>3126</f>
        <v>3126</v>
      </c>
      <c r="N278" s="32" t="s">
        <v>791</v>
      </c>
      <c r="O278" s="31">
        <f>2971.5</f>
        <v>2971.5</v>
      </c>
      <c r="P278" s="32" t="s">
        <v>787</v>
      </c>
      <c r="Q278" s="31">
        <f>3126</f>
        <v>3126</v>
      </c>
      <c r="R278" s="32" t="s">
        <v>791</v>
      </c>
      <c r="S278" s="33">
        <f>3055.93</f>
        <v>3055.93</v>
      </c>
      <c r="T278" s="30">
        <f>103400</f>
        <v>103400</v>
      </c>
      <c r="U278" s="30">
        <f>80000</f>
        <v>80000</v>
      </c>
      <c r="V278" s="30">
        <f>319022240</f>
        <v>319022240</v>
      </c>
      <c r="W278" s="30">
        <f>247832000</f>
        <v>247832000</v>
      </c>
      <c r="X278" s="34">
        <f>20</f>
        <v>20</v>
      </c>
    </row>
    <row r="279" spans="1:24" ht="13.5" customHeight="1" x14ac:dyDescent="0.15">
      <c r="A279" s="25" t="s">
        <v>1112</v>
      </c>
      <c r="B279" s="25" t="s">
        <v>821</v>
      </c>
      <c r="C279" s="25" t="s">
        <v>822</v>
      </c>
      <c r="D279" s="25" t="s">
        <v>823</v>
      </c>
      <c r="E279" s="26" t="s">
        <v>45</v>
      </c>
      <c r="F279" s="27" t="s">
        <v>45</v>
      </c>
      <c r="G279" s="28" t="s">
        <v>45</v>
      </c>
      <c r="H279" s="29"/>
      <c r="I279" s="29" t="s">
        <v>46</v>
      </c>
      <c r="J279" s="30">
        <v>1</v>
      </c>
      <c r="K279" s="31">
        <f>2896</f>
        <v>2896</v>
      </c>
      <c r="L279" s="32" t="s">
        <v>996</v>
      </c>
      <c r="M279" s="31">
        <f>2896</f>
        <v>2896</v>
      </c>
      <c r="N279" s="32" t="s">
        <v>996</v>
      </c>
      <c r="O279" s="31">
        <f>2737</f>
        <v>2737</v>
      </c>
      <c r="P279" s="32" t="s">
        <v>787</v>
      </c>
      <c r="Q279" s="31">
        <f>2840</f>
        <v>2840</v>
      </c>
      <c r="R279" s="32" t="s">
        <v>791</v>
      </c>
      <c r="S279" s="33">
        <f>2811.8</f>
        <v>2811.8</v>
      </c>
      <c r="T279" s="30">
        <f>77412</f>
        <v>77412</v>
      </c>
      <c r="U279" s="30" t="str">
        <f>"－"</f>
        <v>－</v>
      </c>
      <c r="V279" s="30">
        <f>220812212</f>
        <v>220812212</v>
      </c>
      <c r="W279" s="30" t="str">
        <f>"－"</f>
        <v>－</v>
      </c>
      <c r="X279" s="34">
        <f>20</f>
        <v>20</v>
      </c>
    </row>
    <row r="280" spans="1:24" ht="13.5" customHeight="1" x14ac:dyDescent="0.15">
      <c r="A280" s="25" t="s">
        <v>1112</v>
      </c>
      <c r="B280" s="25" t="s">
        <v>824</v>
      </c>
      <c r="C280" s="25" t="s">
        <v>825</v>
      </c>
      <c r="D280" s="25" t="s">
        <v>826</v>
      </c>
      <c r="E280" s="26" t="s">
        <v>45</v>
      </c>
      <c r="F280" s="27" t="s">
        <v>45</v>
      </c>
      <c r="G280" s="28" t="s">
        <v>45</v>
      </c>
      <c r="H280" s="29"/>
      <c r="I280" s="29" t="s">
        <v>46</v>
      </c>
      <c r="J280" s="30">
        <v>1</v>
      </c>
      <c r="K280" s="31">
        <f>1634</f>
        <v>1634</v>
      </c>
      <c r="L280" s="32" t="s">
        <v>996</v>
      </c>
      <c r="M280" s="31">
        <f>1656</f>
        <v>1656</v>
      </c>
      <c r="N280" s="32" t="s">
        <v>785</v>
      </c>
      <c r="O280" s="31">
        <f>1574</f>
        <v>1574</v>
      </c>
      <c r="P280" s="32" t="s">
        <v>787</v>
      </c>
      <c r="Q280" s="31">
        <f>1602</f>
        <v>1602</v>
      </c>
      <c r="R280" s="32" t="s">
        <v>791</v>
      </c>
      <c r="S280" s="33">
        <f>1607.15</f>
        <v>1607.15</v>
      </c>
      <c r="T280" s="30">
        <f>24858</f>
        <v>24858</v>
      </c>
      <c r="U280" s="30">
        <f>2</f>
        <v>2</v>
      </c>
      <c r="V280" s="30">
        <f>40465895</f>
        <v>40465895</v>
      </c>
      <c r="W280" s="30">
        <f>3201</f>
        <v>3201</v>
      </c>
      <c r="X280" s="34">
        <f>20</f>
        <v>20</v>
      </c>
    </row>
    <row r="281" spans="1:24" ht="13.5" customHeight="1" x14ac:dyDescent="0.15">
      <c r="A281" s="25" t="s">
        <v>1112</v>
      </c>
      <c r="B281" s="25" t="s">
        <v>827</v>
      </c>
      <c r="C281" s="25" t="s">
        <v>828</v>
      </c>
      <c r="D281" s="25" t="s">
        <v>829</v>
      </c>
      <c r="E281" s="26" t="s">
        <v>45</v>
      </c>
      <c r="F281" s="27" t="s">
        <v>45</v>
      </c>
      <c r="G281" s="28" t="s">
        <v>45</v>
      </c>
      <c r="H281" s="29"/>
      <c r="I281" s="29" t="s">
        <v>46</v>
      </c>
      <c r="J281" s="30">
        <v>1</v>
      </c>
      <c r="K281" s="31">
        <f>2281</f>
        <v>2281</v>
      </c>
      <c r="L281" s="32" t="s">
        <v>996</v>
      </c>
      <c r="M281" s="31">
        <f>2290</f>
        <v>2290</v>
      </c>
      <c r="N281" s="32" t="s">
        <v>996</v>
      </c>
      <c r="O281" s="31">
        <f>2060</f>
        <v>2060</v>
      </c>
      <c r="P281" s="32" t="s">
        <v>997</v>
      </c>
      <c r="Q281" s="31">
        <f>2088</f>
        <v>2088</v>
      </c>
      <c r="R281" s="32" t="s">
        <v>791</v>
      </c>
      <c r="S281" s="33">
        <f>2173.6</f>
        <v>2173.6</v>
      </c>
      <c r="T281" s="30">
        <f>168350</f>
        <v>168350</v>
      </c>
      <c r="U281" s="30" t="str">
        <f>"－"</f>
        <v>－</v>
      </c>
      <c r="V281" s="30">
        <f>367313114</f>
        <v>367313114</v>
      </c>
      <c r="W281" s="30" t="str">
        <f>"－"</f>
        <v>－</v>
      </c>
      <c r="X281" s="34">
        <f>20</f>
        <v>20</v>
      </c>
    </row>
    <row r="282" spans="1:24" ht="13.5" customHeight="1" x14ac:dyDescent="0.15">
      <c r="A282" s="25" t="s">
        <v>1112</v>
      </c>
      <c r="B282" s="25" t="s">
        <v>830</v>
      </c>
      <c r="C282" s="25" t="s">
        <v>831</v>
      </c>
      <c r="D282" s="25" t="s">
        <v>832</v>
      </c>
      <c r="E282" s="26" t="s">
        <v>45</v>
      </c>
      <c r="F282" s="27" t="s">
        <v>45</v>
      </c>
      <c r="G282" s="28" t="s">
        <v>45</v>
      </c>
      <c r="H282" s="29"/>
      <c r="I282" s="29" t="s">
        <v>46</v>
      </c>
      <c r="J282" s="30">
        <v>1</v>
      </c>
      <c r="K282" s="31">
        <f>1688</f>
        <v>1688</v>
      </c>
      <c r="L282" s="32" t="s">
        <v>996</v>
      </c>
      <c r="M282" s="31">
        <f>1689</f>
        <v>1689</v>
      </c>
      <c r="N282" s="32" t="s">
        <v>996</v>
      </c>
      <c r="O282" s="31">
        <f>1575</f>
        <v>1575</v>
      </c>
      <c r="P282" s="32" t="s">
        <v>787</v>
      </c>
      <c r="Q282" s="31">
        <f>1657</f>
        <v>1657</v>
      </c>
      <c r="R282" s="32" t="s">
        <v>791</v>
      </c>
      <c r="S282" s="33">
        <f>1623.3</f>
        <v>1623.3</v>
      </c>
      <c r="T282" s="30">
        <f>16284</f>
        <v>16284</v>
      </c>
      <c r="U282" s="30" t="str">
        <f>"－"</f>
        <v>－</v>
      </c>
      <c r="V282" s="30">
        <f>26628583</f>
        <v>26628583</v>
      </c>
      <c r="W282" s="30" t="str">
        <f>"－"</f>
        <v>－</v>
      </c>
      <c r="X282" s="34">
        <f>20</f>
        <v>20</v>
      </c>
    </row>
    <row r="283" spans="1:24" ht="13.5" customHeight="1" x14ac:dyDescent="0.15">
      <c r="A283" s="25" t="s">
        <v>1112</v>
      </c>
      <c r="B283" s="25" t="s">
        <v>833</v>
      </c>
      <c r="C283" s="25" t="s">
        <v>834</v>
      </c>
      <c r="D283" s="25" t="s">
        <v>835</v>
      </c>
      <c r="E283" s="26" t="s">
        <v>45</v>
      </c>
      <c r="F283" s="27" t="s">
        <v>45</v>
      </c>
      <c r="G283" s="28" t="s">
        <v>45</v>
      </c>
      <c r="H283" s="29"/>
      <c r="I283" s="29" t="s">
        <v>46</v>
      </c>
      <c r="J283" s="30">
        <v>1</v>
      </c>
      <c r="K283" s="31">
        <f>2942</f>
        <v>2942</v>
      </c>
      <c r="L283" s="32" t="s">
        <v>996</v>
      </c>
      <c r="M283" s="31">
        <f>2950</f>
        <v>2950</v>
      </c>
      <c r="N283" s="32" t="s">
        <v>997</v>
      </c>
      <c r="O283" s="31">
        <f>2807</f>
        <v>2807</v>
      </c>
      <c r="P283" s="32" t="s">
        <v>787</v>
      </c>
      <c r="Q283" s="31">
        <f>2939</f>
        <v>2939</v>
      </c>
      <c r="R283" s="32" t="s">
        <v>791</v>
      </c>
      <c r="S283" s="33">
        <f>2870</f>
        <v>2870</v>
      </c>
      <c r="T283" s="30">
        <f>73567</f>
        <v>73567</v>
      </c>
      <c r="U283" s="30" t="str">
        <f>"－"</f>
        <v>－</v>
      </c>
      <c r="V283" s="30">
        <f>211359077</f>
        <v>211359077</v>
      </c>
      <c r="W283" s="30" t="str">
        <f>"－"</f>
        <v>－</v>
      </c>
      <c r="X283" s="34">
        <f>20</f>
        <v>20</v>
      </c>
    </row>
    <row r="284" spans="1:24" ht="13.5" customHeight="1" x14ac:dyDescent="0.15">
      <c r="A284" s="25" t="s">
        <v>1112</v>
      </c>
      <c r="B284" s="25" t="s">
        <v>836</v>
      </c>
      <c r="C284" s="25" t="s">
        <v>837</v>
      </c>
      <c r="D284" s="25" t="s">
        <v>838</v>
      </c>
      <c r="E284" s="26" t="s">
        <v>45</v>
      </c>
      <c r="F284" s="27" t="s">
        <v>45</v>
      </c>
      <c r="G284" s="28" t="s">
        <v>45</v>
      </c>
      <c r="H284" s="29"/>
      <c r="I284" s="29" t="s">
        <v>46</v>
      </c>
      <c r="J284" s="30">
        <v>1</v>
      </c>
      <c r="K284" s="31">
        <f>2520</f>
        <v>2520</v>
      </c>
      <c r="L284" s="32" t="s">
        <v>996</v>
      </c>
      <c r="M284" s="31">
        <f>2630</f>
        <v>2630</v>
      </c>
      <c r="N284" s="32" t="s">
        <v>785</v>
      </c>
      <c r="O284" s="31">
        <f>2406</f>
        <v>2406</v>
      </c>
      <c r="P284" s="32" t="s">
        <v>787</v>
      </c>
      <c r="Q284" s="31">
        <f>2550</f>
        <v>2550</v>
      </c>
      <c r="R284" s="32" t="s">
        <v>791</v>
      </c>
      <c r="S284" s="33">
        <f>2500.1</f>
        <v>2500.1</v>
      </c>
      <c r="T284" s="30">
        <f>2266352</f>
        <v>2266352</v>
      </c>
      <c r="U284" s="30">
        <f>4676</f>
        <v>4676</v>
      </c>
      <c r="V284" s="30">
        <f>5619796698</f>
        <v>5619796698</v>
      </c>
      <c r="W284" s="30">
        <f>11617493</f>
        <v>11617493</v>
      </c>
      <c r="X284" s="34">
        <f>20</f>
        <v>20</v>
      </c>
    </row>
    <row r="285" spans="1:24" ht="13.5" customHeight="1" x14ac:dyDescent="0.15">
      <c r="A285" s="25" t="s">
        <v>1112</v>
      </c>
      <c r="B285" s="25" t="s">
        <v>839</v>
      </c>
      <c r="C285" s="25" t="s">
        <v>840</v>
      </c>
      <c r="D285" s="25" t="s">
        <v>841</v>
      </c>
      <c r="E285" s="26" t="s">
        <v>45</v>
      </c>
      <c r="F285" s="27" t="s">
        <v>45</v>
      </c>
      <c r="G285" s="28" t="s">
        <v>45</v>
      </c>
      <c r="H285" s="29"/>
      <c r="I285" s="29" t="s">
        <v>46</v>
      </c>
      <c r="J285" s="30">
        <v>1</v>
      </c>
      <c r="K285" s="31">
        <f>30930</f>
        <v>30930</v>
      </c>
      <c r="L285" s="32" t="s">
        <v>996</v>
      </c>
      <c r="M285" s="31">
        <f>30930</f>
        <v>30930</v>
      </c>
      <c r="N285" s="32" t="s">
        <v>996</v>
      </c>
      <c r="O285" s="31">
        <f>29370</f>
        <v>29370</v>
      </c>
      <c r="P285" s="32" t="s">
        <v>787</v>
      </c>
      <c r="Q285" s="31">
        <f>30670</f>
        <v>30670</v>
      </c>
      <c r="R285" s="32" t="s">
        <v>791</v>
      </c>
      <c r="S285" s="33">
        <f>30013.75</f>
        <v>30013.75</v>
      </c>
      <c r="T285" s="30">
        <f>86</f>
        <v>86</v>
      </c>
      <c r="U285" s="30" t="str">
        <f>"－"</f>
        <v>－</v>
      </c>
      <c r="V285" s="30">
        <f>2585010</f>
        <v>2585010</v>
      </c>
      <c r="W285" s="30" t="str">
        <f>"－"</f>
        <v>－</v>
      </c>
      <c r="X285" s="34">
        <f>12</f>
        <v>12</v>
      </c>
    </row>
    <row r="286" spans="1:24" ht="13.5" customHeight="1" x14ac:dyDescent="0.15">
      <c r="A286" s="25" t="s">
        <v>1112</v>
      </c>
      <c r="B286" s="25" t="s">
        <v>842</v>
      </c>
      <c r="C286" s="25" t="s">
        <v>843</v>
      </c>
      <c r="D286" s="25" t="s">
        <v>844</v>
      </c>
      <c r="E286" s="26" t="s">
        <v>45</v>
      </c>
      <c r="F286" s="27" t="s">
        <v>45</v>
      </c>
      <c r="G286" s="28" t="s">
        <v>45</v>
      </c>
      <c r="H286" s="29"/>
      <c r="I286" s="29" t="s">
        <v>46</v>
      </c>
      <c r="J286" s="30">
        <v>1</v>
      </c>
      <c r="K286" s="31">
        <f>2370</f>
        <v>2370</v>
      </c>
      <c r="L286" s="32" t="s">
        <v>996</v>
      </c>
      <c r="M286" s="31">
        <f>2385</f>
        <v>2385</v>
      </c>
      <c r="N286" s="32" t="s">
        <v>996</v>
      </c>
      <c r="O286" s="31">
        <f>2253</f>
        <v>2253</v>
      </c>
      <c r="P286" s="32" t="s">
        <v>787</v>
      </c>
      <c r="Q286" s="31">
        <f>2356</f>
        <v>2356</v>
      </c>
      <c r="R286" s="32" t="s">
        <v>791</v>
      </c>
      <c r="S286" s="33">
        <f>2320.05</f>
        <v>2320.0500000000002</v>
      </c>
      <c r="T286" s="30">
        <f>58573</f>
        <v>58573</v>
      </c>
      <c r="U286" s="30" t="str">
        <f>"－"</f>
        <v>－</v>
      </c>
      <c r="V286" s="30">
        <f>137073642</f>
        <v>137073642</v>
      </c>
      <c r="W286" s="30" t="str">
        <f>"－"</f>
        <v>－</v>
      </c>
      <c r="X286" s="34">
        <f>20</f>
        <v>20</v>
      </c>
    </row>
    <row r="287" spans="1:24" ht="13.5" customHeight="1" x14ac:dyDescent="0.15">
      <c r="A287" s="25" t="s">
        <v>1112</v>
      </c>
      <c r="B287" s="25" t="s">
        <v>845</v>
      </c>
      <c r="C287" s="25" t="s">
        <v>846</v>
      </c>
      <c r="D287" s="25" t="s">
        <v>847</v>
      </c>
      <c r="E287" s="26" t="s">
        <v>45</v>
      </c>
      <c r="F287" s="27" t="s">
        <v>45</v>
      </c>
      <c r="G287" s="28" t="s">
        <v>45</v>
      </c>
      <c r="H287" s="29"/>
      <c r="I287" s="29" t="s">
        <v>46</v>
      </c>
      <c r="J287" s="30">
        <v>1</v>
      </c>
      <c r="K287" s="31">
        <f>3290</f>
        <v>3290</v>
      </c>
      <c r="L287" s="32" t="s">
        <v>996</v>
      </c>
      <c r="M287" s="31">
        <f>3375</f>
        <v>3375</v>
      </c>
      <c r="N287" s="32" t="s">
        <v>785</v>
      </c>
      <c r="O287" s="31">
        <f>3110</f>
        <v>3110</v>
      </c>
      <c r="P287" s="32" t="s">
        <v>787</v>
      </c>
      <c r="Q287" s="31">
        <f>3295</f>
        <v>3295</v>
      </c>
      <c r="R287" s="32" t="s">
        <v>791</v>
      </c>
      <c r="S287" s="33">
        <f>3244.25</f>
        <v>3244.25</v>
      </c>
      <c r="T287" s="30">
        <f>3847001</f>
        <v>3847001</v>
      </c>
      <c r="U287" s="30">
        <f>72563</f>
        <v>72563</v>
      </c>
      <c r="V287" s="30">
        <f>12479189327</f>
        <v>12479189327</v>
      </c>
      <c r="W287" s="30">
        <f>231803622</f>
        <v>231803622</v>
      </c>
      <c r="X287" s="34">
        <f>20</f>
        <v>20</v>
      </c>
    </row>
    <row r="288" spans="1:24" ht="13.5" customHeight="1" x14ac:dyDescent="0.15">
      <c r="A288" s="25" t="s">
        <v>1112</v>
      </c>
      <c r="B288" s="25" t="s">
        <v>848</v>
      </c>
      <c r="C288" s="25" t="s">
        <v>849</v>
      </c>
      <c r="D288" s="25" t="s">
        <v>850</v>
      </c>
      <c r="E288" s="26" t="s">
        <v>45</v>
      </c>
      <c r="F288" s="27" t="s">
        <v>45</v>
      </c>
      <c r="G288" s="28" t="s">
        <v>45</v>
      </c>
      <c r="H288" s="29"/>
      <c r="I288" s="29" t="s">
        <v>46</v>
      </c>
      <c r="J288" s="30">
        <v>1</v>
      </c>
      <c r="K288" s="31">
        <f>1963</f>
        <v>1963</v>
      </c>
      <c r="L288" s="32" t="s">
        <v>996</v>
      </c>
      <c r="M288" s="31">
        <f>1987</f>
        <v>1987</v>
      </c>
      <c r="N288" s="32" t="s">
        <v>791</v>
      </c>
      <c r="O288" s="31">
        <f>1919</f>
        <v>1919</v>
      </c>
      <c r="P288" s="32" t="s">
        <v>997</v>
      </c>
      <c r="Q288" s="31">
        <f>1969</f>
        <v>1969</v>
      </c>
      <c r="R288" s="32" t="s">
        <v>791</v>
      </c>
      <c r="S288" s="33">
        <f>1949.75</f>
        <v>1949.75</v>
      </c>
      <c r="T288" s="30">
        <f>32160</f>
        <v>32160</v>
      </c>
      <c r="U288" s="30" t="str">
        <f>"－"</f>
        <v>－</v>
      </c>
      <c r="V288" s="30">
        <f>62710865</f>
        <v>62710865</v>
      </c>
      <c r="W288" s="30" t="str">
        <f>"－"</f>
        <v>－</v>
      </c>
      <c r="X288" s="34">
        <f>20</f>
        <v>20</v>
      </c>
    </row>
    <row r="289" spans="1:24" ht="13.5" customHeight="1" x14ac:dyDescent="0.15">
      <c r="A289" s="25" t="s">
        <v>1112</v>
      </c>
      <c r="B289" s="25" t="s">
        <v>851</v>
      </c>
      <c r="C289" s="25" t="s">
        <v>852</v>
      </c>
      <c r="D289" s="25" t="s">
        <v>853</v>
      </c>
      <c r="E289" s="26" t="s">
        <v>45</v>
      </c>
      <c r="F289" s="27" t="s">
        <v>45</v>
      </c>
      <c r="G289" s="28" t="s">
        <v>45</v>
      </c>
      <c r="H289" s="29"/>
      <c r="I289" s="29" t="s">
        <v>46</v>
      </c>
      <c r="J289" s="30">
        <v>1</v>
      </c>
      <c r="K289" s="31">
        <f>1659</f>
        <v>1659</v>
      </c>
      <c r="L289" s="32" t="s">
        <v>996</v>
      </c>
      <c r="M289" s="31">
        <f>1710</f>
        <v>1710</v>
      </c>
      <c r="N289" s="32" t="s">
        <v>791</v>
      </c>
      <c r="O289" s="31">
        <f>1597</f>
        <v>1597</v>
      </c>
      <c r="P289" s="32" t="s">
        <v>787</v>
      </c>
      <c r="Q289" s="31">
        <f>1704</f>
        <v>1704</v>
      </c>
      <c r="R289" s="32" t="s">
        <v>791</v>
      </c>
      <c r="S289" s="33">
        <f>1647.85</f>
        <v>1647.85</v>
      </c>
      <c r="T289" s="30">
        <f>6905</f>
        <v>6905</v>
      </c>
      <c r="U289" s="30" t="str">
        <f>"－"</f>
        <v>－</v>
      </c>
      <c r="V289" s="30">
        <f>11381457</f>
        <v>11381457</v>
      </c>
      <c r="W289" s="30" t="str">
        <f>"－"</f>
        <v>－</v>
      </c>
      <c r="X289" s="34">
        <f>20</f>
        <v>20</v>
      </c>
    </row>
    <row r="290" spans="1:24" ht="13.5" customHeight="1" x14ac:dyDescent="0.15">
      <c r="A290" s="25" t="s">
        <v>1112</v>
      </c>
      <c r="B290" s="25" t="s">
        <v>854</v>
      </c>
      <c r="C290" s="25" t="s">
        <v>855</v>
      </c>
      <c r="D290" s="25" t="s">
        <v>856</v>
      </c>
      <c r="E290" s="26" t="s">
        <v>45</v>
      </c>
      <c r="F290" s="27" t="s">
        <v>45</v>
      </c>
      <c r="G290" s="28" t="s">
        <v>45</v>
      </c>
      <c r="H290" s="29"/>
      <c r="I290" s="29" t="s">
        <v>46</v>
      </c>
      <c r="J290" s="30">
        <v>10</v>
      </c>
      <c r="K290" s="31">
        <f>5411</f>
        <v>5411</v>
      </c>
      <c r="L290" s="32" t="s">
        <v>996</v>
      </c>
      <c r="M290" s="31">
        <f>5416</f>
        <v>5416</v>
      </c>
      <c r="N290" s="32" t="s">
        <v>996</v>
      </c>
      <c r="O290" s="31">
        <f>5150</f>
        <v>5150</v>
      </c>
      <c r="P290" s="32" t="s">
        <v>997</v>
      </c>
      <c r="Q290" s="31">
        <f>5253</f>
        <v>5253</v>
      </c>
      <c r="R290" s="32" t="s">
        <v>791</v>
      </c>
      <c r="S290" s="33">
        <f>5270.56</f>
        <v>5270.56</v>
      </c>
      <c r="T290" s="30">
        <f>254610</f>
        <v>254610</v>
      </c>
      <c r="U290" s="30">
        <f>105600</f>
        <v>105600</v>
      </c>
      <c r="V290" s="30">
        <f>1330438487</f>
        <v>1330438487</v>
      </c>
      <c r="W290" s="30">
        <f>546371577</f>
        <v>546371577</v>
      </c>
      <c r="X290" s="34">
        <f>16</f>
        <v>16</v>
      </c>
    </row>
    <row r="291" spans="1:24" ht="13.5" customHeight="1" x14ac:dyDescent="0.15">
      <c r="A291" s="25" t="s">
        <v>1112</v>
      </c>
      <c r="B291" s="25" t="s">
        <v>857</v>
      </c>
      <c r="C291" s="25" t="s">
        <v>858</v>
      </c>
      <c r="D291" s="25" t="s">
        <v>859</v>
      </c>
      <c r="E291" s="26" t="s">
        <v>45</v>
      </c>
      <c r="F291" s="27" t="s">
        <v>45</v>
      </c>
      <c r="G291" s="28" t="s">
        <v>45</v>
      </c>
      <c r="H291" s="29"/>
      <c r="I291" s="29" t="s">
        <v>46</v>
      </c>
      <c r="J291" s="30">
        <v>10</v>
      </c>
      <c r="K291" s="31">
        <f>3998</f>
        <v>3998</v>
      </c>
      <c r="L291" s="32" t="s">
        <v>996</v>
      </c>
      <c r="M291" s="31">
        <f>4034</f>
        <v>4034</v>
      </c>
      <c r="N291" s="32" t="s">
        <v>1005</v>
      </c>
      <c r="O291" s="31">
        <f>3922</f>
        <v>3922</v>
      </c>
      <c r="P291" s="32" t="s">
        <v>875</v>
      </c>
      <c r="Q291" s="31">
        <f>3950</f>
        <v>3950</v>
      </c>
      <c r="R291" s="32" t="s">
        <v>791</v>
      </c>
      <c r="S291" s="33">
        <f>3981.05</f>
        <v>3981.05</v>
      </c>
      <c r="T291" s="30">
        <f>530210</f>
        <v>530210</v>
      </c>
      <c r="U291" s="30">
        <f>358180</f>
        <v>358180</v>
      </c>
      <c r="V291" s="30">
        <f>2098198336</f>
        <v>2098198336</v>
      </c>
      <c r="W291" s="30">
        <f>1414320056</f>
        <v>1414320056</v>
      </c>
      <c r="X291" s="34">
        <f>19</f>
        <v>19</v>
      </c>
    </row>
    <row r="292" spans="1:24" ht="13.5" customHeight="1" x14ac:dyDescent="0.15">
      <c r="A292" s="25" t="s">
        <v>1112</v>
      </c>
      <c r="B292" s="25" t="s">
        <v>860</v>
      </c>
      <c r="C292" s="25" t="s">
        <v>861</v>
      </c>
      <c r="D292" s="25" t="s">
        <v>862</v>
      </c>
      <c r="E292" s="26" t="s">
        <v>45</v>
      </c>
      <c r="F292" s="27" t="s">
        <v>45</v>
      </c>
      <c r="G292" s="28" t="s">
        <v>45</v>
      </c>
      <c r="H292" s="29"/>
      <c r="I292" s="29" t="s">
        <v>46</v>
      </c>
      <c r="J292" s="30">
        <v>10</v>
      </c>
      <c r="K292" s="31">
        <f>676.6</f>
        <v>676.6</v>
      </c>
      <c r="L292" s="32" t="s">
        <v>996</v>
      </c>
      <c r="M292" s="31">
        <f>685.7</f>
        <v>685.7</v>
      </c>
      <c r="N292" s="32" t="s">
        <v>785</v>
      </c>
      <c r="O292" s="31">
        <f>660.8</f>
        <v>660.8</v>
      </c>
      <c r="P292" s="32" t="s">
        <v>875</v>
      </c>
      <c r="Q292" s="31">
        <f>665.7</f>
        <v>665.7</v>
      </c>
      <c r="R292" s="32" t="s">
        <v>791</v>
      </c>
      <c r="S292" s="33">
        <f>668.78</f>
        <v>668.78</v>
      </c>
      <c r="T292" s="30">
        <f>12210</f>
        <v>12210</v>
      </c>
      <c r="U292" s="30" t="str">
        <f>"－"</f>
        <v>－</v>
      </c>
      <c r="V292" s="30">
        <f>8172598</f>
        <v>8172598</v>
      </c>
      <c r="W292" s="30" t="str">
        <f>"－"</f>
        <v>－</v>
      </c>
      <c r="X292" s="34">
        <f>18</f>
        <v>18</v>
      </c>
    </row>
    <row r="293" spans="1:24" ht="13.5" customHeight="1" x14ac:dyDescent="0.15">
      <c r="A293" s="25" t="s">
        <v>1112</v>
      </c>
      <c r="B293" s="25" t="s">
        <v>863</v>
      </c>
      <c r="C293" s="25" t="s">
        <v>864</v>
      </c>
      <c r="D293" s="25" t="s">
        <v>865</v>
      </c>
      <c r="E293" s="26" t="s">
        <v>45</v>
      </c>
      <c r="F293" s="27" t="s">
        <v>45</v>
      </c>
      <c r="G293" s="28" t="s">
        <v>45</v>
      </c>
      <c r="H293" s="29"/>
      <c r="I293" s="29" t="s">
        <v>46</v>
      </c>
      <c r="J293" s="30">
        <v>1</v>
      </c>
      <c r="K293" s="31">
        <f>2225</f>
        <v>2225</v>
      </c>
      <c r="L293" s="32" t="s">
        <v>996</v>
      </c>
      <c r="M293" s="31">
        <f>2246</f>
        <v>2246</v>
      </c>
      <c r="N293" s="32" t="s">
        <v>791</v>
      </c>
      <c r="O293" s="31">
        <f>2150</f>
        <v>2150</v>
      </c>
      <c r="P293" s="32" t="s">
        <v>1003</v>
      </c>
      <c r="Q293" s="31">
        <f>2245</f>
        <v>2245</v>
      </c>
      <c r="R293" s="32" t="s">
        <v>791</v>
      </c>
      <c r="S293" s="33">
        <f>2192.1</f>
        <v>2192.1</v>
      </c>
      <c r="T293" s="30">
        <f>3410</f>
        <v>3410</v>
      </c>
      <c r="U293" s="30" t="str">
        <f>"－"</f>
        <v>－</v>
      </c>
      <c r="V293" s="30">
        <f>7428934</f>
        <v>7428934</v>
      </c>
      <c r="W293" s="30" t="str">
        <f>"－"</f>
        <v>－</v>
      </c>
      <c r="X293" s="34">
        <f>20</f>
        <v>20</v>
      </c>
    </row>
    <row r="294" spans="1:24" ht="13.5" customHeight="1" x14ac:dyDescent="0.15">
      <c r="A294" s="25" t="s">
        <v>1112</v>
      </c>
      <c r="B294" s="25" t="s">
        <v>866</v>
      </c>
      <c r="C294" s="25" t="s">
        <v>867</v>
      </c>
      <c r="D294" s="25" t="s">
        <v>868</v>
      </c>
      <c r="E294" s="26" t="s">
        <v>45</v>
      </c>
      <c r="F294" s="27" t="s">
        <v>45</v>
      </c>
      <c r="G294" s="28" t="s">
        <v>45</v>
      </c>
      <c r="H294" s="29"/>
      <c r="I294" s="29" t="s">
        <v>46</v>
      </c>
      <c r="J294" s="30">
        <v>1</v>
      </c>
      <c r="K294" s="31">
        <f>2119</f>
        <v>2119</v>
      </c>
      <c r="L294" s="32" t="s">
        <v>996</v>
      </c>
      <c r="M294" s="31">
        <f>2160</f>
        <v>2160</v>
      </c>
      <c r="N294" s="32" t="s">
        <v>997</v>
      </c>
      <c r="O294" s="31">
        <f>2044</f>
        <v>2044</v>
      </c>
      <c r="P294" s="32" t="s">
        <v>787</v>
      </c>
      <c r="Q294" s="31">
        <f>2115</f>
        <v>2115</v>
      </c>
      <c r="R294" s="32" t="s">
        <v>791</v>
      </c>
      <c r="S294" s="33">
        <f>2095.1</f>
        <v>2095.1</v>
      </c>
      <c r="T294" s="30">
        <f>25067</f>
        <v>25067</v>
      </c>
      <c r="U294" s="30" t="str">
        <f>"－"</f>
        <v>－</v>
      </c>
      <c r="V294" s="30">
        <f>53435488</f>
        <v>53435488</v>
      </c>
      <c r="W294" s="30" t="str">
        <f>"－"</f>
        <v>－</v>
      </c>
      <c r="X294" s="34">
        <f>20</f>
        <v>20</v>
      </c>
    </row>
    <row r="295" spans="1:24" ht="13.5" customHeight="1" x14ac:dyDescent="0.15">
      <c r="A295" s="25" t="s">
        <v>1112</v>
      </c>
      <c r="B295" s="25" t="s">
        <v>869</v>
      </c>
      <c r="C295" s="25" t="s">
        <v>870</v>
      </c>
      <c r="D295" s="25" t="s">
        <v>871</v>
      </c>
      <c r="E295" s="26" t="s">
        <v>45</v>
      </c>
      <c r="F295" s="27" t="s">
        <v>45</v>
      </c>
      <c r="G295" s="28" t="s">
        <v>45</v>
      </c>
      <c r="H295" s="29"/>
      <c r="I295" s="29" t="s">
        <v>46</v>
      </c>
      <c r="J295" s="30">
        <v>1</v>
      </c>
      <c r="K295" s="31">
        <f>8095</f>
        <v>8095</v>
      </c>
      <c r="L295" s="32" t="s">
        <v>996</v>
      </c>
      <c r="M295" s="31">
        <f>8100</f>
        <v>8100</v>
      </c>
      <c r="N295" s="32" t="s">
        <v>996</v>
      </c>
      <c r="O295" s="31">
        <f>7645</f>
        <v>7645</v>
      </c>
      <c r="P295" s="32" t="s">
        <v>997</v>
      </c>
      <c r="Q295" s="31">
        <f>7871</f>
        <v>7871</v>
      </c>
      <c r="R295" s="32" t="s">
        <v>791</v>
      </c>
      <c r="S295" s="33">
        <f>7883.55</f>
        <v>7883.55</v>
      </c>
      <c r="T295" s="30">
        <f>87032</f>
        <v>87032</v>
      </c>
      <c r="U295" s="30">
        <f>24004</f>
        <v>24004</v>
      </c>
      <c r="V295" s="30">
        <f>678434105</f>
        <v>678434105</v>
      </c>
      <c r="W295" s="30">
        <f>188942525</f>
        <v>188942525</v>
      </c>
      <c r="X295" s="34">
        <f>20</f>
        <v>20</v>
      </c>
    </row>
    <row r="296" spans="1:24" ht="13.5" customHeight="1" x14ac:dyDescent="0.15">
      <c r="A296" s="25" t="s">
        <v>1112</v>
      </c>
      <c r="B296" s="25" t="s">
        <v>872</v>
      </c>
      <c r="C296" s="25" t="s">
        <v>873</v>
      </c>
      <c r="D296" s="25" t="s">
        <v>874</v>
      </c>
      <c r="E296" s="26" t="s">
        <v>45</v>
      </c>
      <c r="F296" s="27" t="s">
        <v>45</v>
      </c>
      <c r="G296" s="28" t="s">
        <v>45</v>
      </c>
      <c r="H296" s="29"/>
      <c r="I296" s="29" t="s">
        <v>46</v>
      </c>
      <c r="J296" s="30">
        <v>1</v>
      </c>
      <c r="K296" s="31">
        <f>5960</f>
        <v>5960</v>
      </c>
      <c r="L296" s="32" t="s">
        <v>996</v>
      </c>
      <c r="M296" s="31">
        <f>6005</f>
        <v>6005</v>
      </c>
      <c r="N296" s="32" t="s">
        <v>1005</v>
      </c>
      <c r="O296" s="31">
        <f>5844</f>
        <v>5844</v>
      </c>
      <c r="P296" s="32" t="s">
        <v>875</v>
      </c>
      <c r="Q296" s="31">
        <f>5901</f>
        <v>5901</v>
      </c>
      <c r="R296" s="32" t="s">
        <v>791</v>
      </c>
      <c r="S296" s="33">
        <f>5933.85</f>
        <v>5933.85</v>
      </c>
      <c r="T296" s="30">
        <f>75109</f>
        <v>75109</v>
      </c>
      <c r="U296" s="30">
        <f>46000</f>
        <v>46000</v>
      </c>
      <c r="V296" s="30">
        <f>441140537</f>
        <v>441140537</v>
      </c>
      <c r="W296" s="30">
        <f>269008000</f>
        <v>269008000</v>
      </c>
      <c r="X296" s="34">
        <f>20</f>
        <v>20</v>
      </c>
    </row>
    <row r="297" spans="1:24" ht="13.5" customHeight="1" x14ac:dyDescent="0.15">
      <c r="A297" s="25" t="s">
        <v>1112</v>
      </c>
      <c r="B297" s="25" t="s">
        <v>878</v>
      </c>
      <c r="C297" s="25" t="s">
        <v>879</v>
      </c>
      <c r="D297" s="25" t="s">
        <v>880</v>
      </c>
      <c r="E297" s="26" t="s">
        <v>45</v>
      </c>
      <c r="F297" s="27" t="s">
        <v>45</v>
      </c>
      <c r="G297" s="28" t="s">
        <v>45</v>
      </c>
      <c r="H297" s="29"/>
      <c r="I297" s="29" t="s">
        <v>46</v>
      </c>
      <c r="J297" s="30">
        <v>1</v>
      </c>
      <c r="K297" s="31">
        <f>20510</f>
        <v>20510</v>
      </c>
      <c r="L297" s="32" t="s">
        <v>996</v>
      </c>
      <c r="M297" s="31">
        <f>20805</f>
        <v>20805</v>
      </c>
      <c r="N297" s="32" t="s">
        <v>791</v>
      </c>
      <c r="O297" s="31">
        <f>19705</f>
        <v>19705</v>
      </c>
      <c r="P297" s="32" t="s">
        <v>787</v>
      </c>
      <c r="Q297" s="31">
        <f>20800</f>
        <v>20800</v>
      </c>
      <c r="R297" s="32" t="s">
        <v>791</v>
      </c>
      <c r="S297" s="33">
        <f>20294.75</f>
        <v>20294.75</v>
      </c>
      <c r="T297" s="30">
        <f>403383</f>
        <v>403383</v>
      </c>
      <c r="U297" s="30" t="str">
        <f>"－"</f>
        <v>－</v>
      </c>
      <c r="V297" s="30">
        <f>8167390625</f>
        <v>8167390625</v>
      </c>
      <c r="W297" s="30" t="str">
        <f>"－"</f>
        <v>－</v>
      </c>
      <c r="X297" s="34">
        <f>20</f>
        <v>20</v>
      </c>
    </row>
    <row r="298" spans="1:24" ht="13.5" customHeight="1" x14ac:dyDescent="0.15">
      <c r="A298" s="25" t="s">
        <v>1112</v>
      </c>
      <c r="B298" s="25" t="s">
        <v>881</v>
      </c>
      <c r="C298" s="25" t="s">
        <v>882</v>
      </c>
      <c r="D298" s="25" t="s">
        <v>883</v>
      </c>
      <c r="E298" s="26" t="s">
        <v>45</v>
      </c>
      <c r="F298" s="27" t="s">
        <v>45</v>
      </c>
      <c r="G298" s="28" t="s">
        <v>45</v>
      </c>
      <c r="H298" s="29"/>
      <c r="I298" s="29" t="s">
        <v>46</v>
      </c>
      <c r="J298" s="30">
        <v>1</v>
      </c>
      <c r="K298" s="31">
        <f>10120</f>
        <v>10120</v>
      </c>
      <c r="L298" s="32" t="s">
        <v>996</v>
      </c>
      <c r="M298" s="31">
        <f>10505</f>
        <v>10505</v>
      </c>
      <c r="N298" s="32" t="s">
        <v>790</v>
      </c>
      <c r="O298" s="31">
        <f>9944</f>
        <v>9944</v>
      </c>
      <c r="P298" s="32" t="s">
        <v>875</v>
      </c>
      <c r="Q298" s="31">
        <f>10425</f>
        <v>10425</v>
      </c>
      <c r="R298" s="32" t="s">
        <v>791</v>
      </c>
      <c r="S298" s="33">
        <f>10230.7</f>
        <v>10230.700000000001</v>
      </c>
      <c r="T298" s="30">
        <f>728349</f>
        <v>728349</v>
      </c>
      <c r="U298" s="30">
        <f>287200</f>
        <v>287200</v>
      </c>
      <c r="V298" s="30">
        <f>7496442103</f>
        <v>7496442103</v>
      </c>
      <c r="W298" s="30">
        <f>2974257516</f>
        <v>2974257516</v>
      </c>
      <c r="X298" s="34">
        <f>20</f>
        <v>20</v>
      </c>
    </row>
    <row r="299" spans="1:24" ht="13.5" customHeight="1" x14ac:dyDescent="0.15">
      <c r="A299" s="25" t="s">
        <v>1112</v>
      </c>
      <c r="B299" s="25" t="s">
        <v>884</v>
      </c>
      <c r="C299" s="25" t="s">
        <v>885</v>
      </c>
      <c r="D299" s="25" t="s">
        <v>886</v>
      </c>
      <c r="E299" s="26" t="s">
        <v>45</v>
      </c>
      <c r="F299" s="27" t="s">
        <v>45</v>
      </c>
      <c r="G299" s="28" t="s">
        <v>45</v>
      </c>
      <c r="H299" s="29"/>
      <c r="I299" s="29" t="s">
        <v>46</v>
      </c>
      <c r="J299" s="30">
        <v>1</v>
      </c>
      <c r="K299" s="31">
        <f>23925</f>
        <v>23925</v>
      </c>
      <c r="L299" s="32" t="s">
        <v>996</v>
      </c>
      <c r="M299" s="31">
        <f>24355</f>
        <v>24355</v>
      </c>
      <c r="N299" s="32" t="s">
        <v>875</v>
      </c>
      <c r="O299" s="31">
        <f>22985</f>
        <v>22985</v>
      </c>
      <c r="P299" s="32" t="s">
        <v>790</v>
      </c>
      <c r="Q299" s="31">
        <f>23165</f>
        <v>23165</v>
      </c>
      <c r="R299" s="32" t="s">
        <v>791</v>
      </c>
      <c r="S299" s="33">
        <f>23644.75</f>
        <v>23644.75</v>
      </c>
      <c r="T299" s="30">
        <f>211222</f>
        <v>211222</v>
      </c>
      <c r="U299" s="30" t="str">
        <f>"－"</f>
        <v>－</v>
      </c>
      <c r="V299" s="30">
        <f>4997510645</f>
        <v>4997510645</v>
      </c>
      <c r="W299" s="30" t="str">
        <f>"－"</f>
        <v>－</v>
      </c>
      <c r="X299" s="34">
        <f>20</f>
        <v>20</v>
      </c>
    </row>
    <row r="300" spans="1:24" ht="13.5" customHeight="1" x14ac:dyDescent="0.15">
      <c r="A300" s="25" t="s">
        <v>1112</v>
      </c>
      <c r="B300" s="25" t="s">
        <v>887</v>
      </c>
      <c r="C300" s="25" t="s">
        <v>888</v>
      </c>
      <c r="D300" s="25" t="s">
        <v>889</v>
      </c>
      <c r="E300" s="26" t="s">
        <v>45</v>
      </c>
      <c r="F300" s="27" t="s">
        <v>45</v>
      </c>
      <c r="G300" s="28" t="s">
        <v>45</v>
      </c>
      <c r="H300" s="29"/>
      <c r="I300" s="29" t="s">
        <v>46</v>
      </c>
      <c r="J300" s="30">
        <v>10</v>
      </c>
      <c r="K300" s="31">
        <f>4261</f>
        <v>4261</v>
      </c>
      <c r="L300" s="32" t="s">
        <v>996</v>
      </c>
      <c r="M300" s="31">
        <f>4304</f>
        <v>4304</v>
      </c>
      <c r="N300" s="32" t="s">
        <v>80</v>
      </c>
      <c r="O300" s="31">
        <f>4156</f>
        <v>4156</v>
      </c>
      <c r="P300" s="32" t="s">
        <v>875</v>
      </c>
      <c r="Q300" s="31">
        <f>4254</f>
        <v>4254</v>
      </c>
      <c r="R300" s="32" t="s">
        <v>791</v>
      </c>
      <c r="S300" s="33">
        <f>4243.28</f>
        <v>4243.28</v>
      </c>
      <c r="T300" s="30">
        <f>95510</f>
        <v>95510</v>
      </c>
      <c r="U300" s="30">
        <f>94000</f>
        <v>94000</v>
      </c>
      <c r="V300" s="30">
        <f>407046580</f>
        <v>407046580</v>
      </c>
      <c r="W300" s="30">
        <f>400646800</f>
        <v>400646800</v>
      </c>
      <c r="X300" s="34">
        <f>18</f>
        <v>18</v>
      </c>
    </row>
    <row r="301" spans="1:24" ht="13.5" customHeight="1" x14ac:dyDescent="0.15">
      <c r="A301" s="25" t="s">
        <v>1112</v>
      </c>
      <c r="B301" s="25" t="s">
        <v>890</v>
      </c>
      <c r="C301" s="25" t="s">
        <v>891</v>
      </c>
      <c r="D301" s="25" t="s">
        <v>892</v>
      </c>
      <c r="E301" s="26" t="s">
        <v>45</v>
      </c>
      <c r="F301" s="27" t="s">
        <v>45</v>
      </c>
      <c r="G301" s="28" t="s">
        <v>45</v>
      </c>
      <c r="H301" s="29"/>
      <c r="I301" s="29" t="s">
        <v>46</v>
      </c>
      <c r="J301" s="30">
        <v>10</v>
      </c>
      <c r="K301" s="31">
        <f>5112</f>
        <v>5112</v>
      </c>
      <c r="L301" s="32" t="s">
        <v>996</v>
      </c>
      <c r="M301" s="31">
        <f>5175</f>
        <v>5175</v>
      </c>
      <c r="N301" s="32" t="s">
        <v>784</v>
      </c>
      <c r="O301" s="31">
        <f>4865</f>
        <v>4865</v>
      </c>
      <c r="P301" s="32" t="s">
        <v>997</v>
      </c>
      <c r="Q301" s="31">
        <f>5000</f>
        <v>5000</v>
      </c>
      <c r="R301" s="32" t="s">
        <v>791</v>
      </c>
      <c r="S301" s="33">
        <f>5039.9</f>
        <v>5039.8999999999996</v>
      </c>
      <c r="T301" s="30">
        <f>150470</f>
        <v>150470</v>
      </c>
      <c r="U301" s="30">
        <f>110430</f>
        <v>110430</v>
      </c>
      <c r="V301" s="30">
        <f>758396685</f>
        <v>758396685</v>
      </c>
      <c r="W301" s="30">
        <f>559189995</f>
        <v>559189995</v>
      </c>
      <c r="X301" s="34">
        <f>20</f>
        <v>20</v>
      </c>
    </row>
    <row r="302" spans="1:24" ht="13.5" customHeight="1" x14ac:dyDescent="0.15">
      <c r="A302" s="25" t="s">
        <v>1112</v>
      </c>
      <c r="B302" s="25" t="s">
        <v>902</v>
      </c>
      <c r="C302" s="25" t="s">
        <v>903</v>
      </c>
      <c r="D302" s="25" t="s">
        <v>904</v>
      </c>
      <c r="E302" s="26" t="s">
        <v>45</v>
      </c>
      <c r="F302" s="27" t="s">
        <v>45</v>
      </c>
      <c r="G302" s="28" t="s">
        <v>45</v>
      </c>
      <c r="H302" s="29"/>
      <c r="I302" s="29" t="s">
        <v>46</v>
      </c>
      <c r="J302" s="30">
        <v>10</v>
      </c>
      <c r="K302" s="31">
        <f>2114.5</f>
        <v>2114.5</v>
      </c>
      <c r="L302" s="32" t="s">
        <v>996</v>
      </c>
      <c r="M302" s="31">
        <f>2196</f>
        <v>2196</v>
      </c>
      <c r="N302" s="32" t="s">
        <v>790</v>
      </c>
      <c r="O302" s="31">
        <f>2079</f>
        <v>2079</v>
      </c>
      <c r="P302" s="32" t="s">
        <v>875</v>
      </c>
      <c r="Q302" s="31">
        <f>2177</f>
        <v>2177</v>
      </c>
      <c r="R302" s="32" t="s">
        <v>791</v>
      </c>
      <c r="S302" s="33">
        <f>2137.85</f>
        <v>2137.85</v>
      </c>
      <c r="T302" s="30">
        <f>1720810</f>
        <v>1720810</v>
      </c>
      <c r="U302" s="30" t="str">
        <f>"－"</f>
        <v>－</v>
      </c>
      <c r="V302" s="30">
        <f>3699565450</f>
        <v>3699565450</v>
      </c>
      <c r="W302" s="30" t="str">
        <f>"－"</f>
        <v>－</v>
      </c>
      <c r="X302" s="34">
        <f>20</f>
        <v>20</v>
      </c>
    </row>
    <row r="303" spans="1:24" ht="13.5" customHeight="1" x14ac:dyDescent="0.15">
      <c r="A303" s="25" t="s">
        <v>1112</v>
      </c>
      <c r="B303" s="25" t="s">
        <v>905</v>
      </c>
      <c r="C303" s="25" t="s">
        <v>906</v>
      </c>
      <c r="D303" s="25" t="s">
        <v>907</v>
      </c>
      <c r="E303" s="26" t="s">
        <v>45</v>
      </c>
      <c r="F303" s="27" t="s">
        <v>45</v>
      </c>
      <c r="G303" s="28" t="s">
        <v>45</v>
      </c>
      <c r="H303" s="29"/>
      <c r="I303" s="29" t="s">
        <v>46</v>
      </c>
      <c r="J303" s="30">
        <v>10</v>
      </c>
      <c r="K303" s="31">
        <f>1937</f>
        <v>1937</v>
      </c>
      <c r="L303" s="32" t="s">
        <v>996</v>
      </c>
      <c r="M303" s="31">
        <f>1993</f>
        <v>1993</v>
      </c>
      <c r="N303" s="32" t="s">
        <v>255</v>
      </c>
      <c r="O303" s="31">
        <f>1894.5</f>
        <v>1894.5</v>
      </c>
      <c r="P303" s="32" t="s">
        <v>875</v>
      </c>
      <c r="Q303" s="31">
        <f>1985</f>
        <v>1985</v>
      </c>
      <c r="R303" s="32" t="s">
        <v>791</v>
      </c>
      <c r="S303" s="33">
        <f>1950.08</f>
        <v>1950.08</v>
      </c>
      <c r="T303" s="30">
        <f>1195070</f>
        <v>1195070</v>
      </c>
      <c r="U303" s="30">
        <f>924030</f>
        <v>924030</v>
      </c>
      <c r="V303" s="30">
        <f>2347642259</f>
        <v>2347642259</v>
      </c>
      <c r="W303" s="30">
        <f>1817665754</f>
        <v>1817665754</v>
      </c>
      <c r="X303" s="34">
        <f>20</f>
        <v>20</v>
      </c>
    </row>
    <row r="304" spans="1:24" ht="13.5" customHeight="1" x14ac:dyDescent="0.15">
      <c r="A304" s="25" t="s">
        <v>1112</v>
      </c>
      <c r="B304" s="25" t="s">
        <v>908</v>
      </c>
      <c r="C304" s="25" t="s">
        <v>909</v>
      </c>
      <c r="D304" s="25" t="s">
        <v>910</v>
      </c>
      <c r="E304" s="26" t="s">
        <v>45</v>
      </c>
      <c r="F304" s="27" t="s">
        <v>45</v>
      </c>
      <c r="G304" s="28" t="s">
        <v>45</v>
      </c>
      <c r="H304" s="29"/>
      <c r="I304" s="29" t="s">
        <v>46</v>
      </c>
      <c r="J304" s="30">
        <v>1</v>
      </c>
      <c r="K304" s="31">
        <f>1747</f>
        <v>1747</v>
      </c>
      <c r="L304" s="32" t="s">
        <v>996</v>
      </c>
      <c r="M304" s="31">
        <f>1785</f>
        <v>1785</v>
      </c>
      <c r="N304" s="32" t="s">
        <v>785</v>
      </c>
      <c r="O304" s="31">
        <f>1670</f>
        <v>1670</v>
      </c>
      <c r="P304" s="32" t="s">
        <v>787</v>
      </c>
      <c r="Q304" s="31">
        <f>1722</f>
        <v>1722</v>
      </c>
      <c r="R304" s="32" t="s">
        <v>791</v>
      </c>
      <c r="S304" s="33">
        <f>1706.15</f>
        <v>1706.15</v>
      </c>
      <c r="T304" s="30">
        <f>42414</f>
        <v>42414</v>
      </c>
      <c r="U304" s="30" t="str">
        <f>"－"</f>
        <v>－</v>
      </c>
      <c r="V304" s="30">
        <f>73584877</f>
        <v>73584877</v>
      </c>
      <c r="W304" s="30" t="str">
        <f>"－"</f>
        <v>－</v>
      </c>
      <c r="X304" s="34">
        <f>20</f>
        <v>20</v>
      </c>
    </row>
    <row r="305" spans="1:24" ht="13.5" customHeight="1" x14ac:dyDescent="0.15">
      <c r="A305" s="25" t="s">
        <v>1112</v>
      </c>
      <c r="B305" s="25" t="s">
        <v>911</v>
      </c>
      <c r="C305" s="25" t="s">
        <v>912</v>
      </c>
      <c r="D305" s="25" t="s">
        <v>913</v>
      </c>
      <c r="E305" s="26" t="s">
        <v>45</v>
      </c>
      <c r="F305" s="27" t="s">
        <v>45</v>
      </c>
      <c r="G305" s="28" t="s">
        <v>45</v>
      </c>
      <c r="H305" s="29"/>
      <c r="I305" s="29" t="s">
        <v>46</v>
      </c>
      <c r="J305" s="30">
        <v>1</v>
      </c>
      <c r="K305" s="31">
        <f>1820</f>
        <v>1820</v>
      </c>
      <c r="L305" s="32" t="s">
        <v>996</v>
      </c>
      <c r="M305" s="31">
        <f>1824</f>
        <v>1824</v>
      </c>
      <c r="N305" s="32" t="s">
        <v>786</v>
      </c>
      <c r="O305" s="31">
        <f>1737</f>
        <v>1737</v>
      </c>
      <c r="P305" s="32" t="s">
        <v>787</v>
      </c>
      <c r="Q305" s="31">
        <f>1814</f>
        <v>1814</v>
      </c>
      <c r="R305" s="32" t="s">
        <v>791</v>
      </c>
      <c r="S305" s="33">
        <f>1780.4</f>
        <v>1780.4</v>
      </c>
      <c r="T305" s="30">
        <f>29164</f>
        <v>29164</v>
      </c>
      <c r="U305" s="30" t="str">
        <f>"－"</f>
        <v>－</v>
      </c>
      <c r="V305" s="30">
        <f>52756961</f>
        <v>52756961</v>
      </c>
      <c r="W305" s="30" t="str">
        <f>"－"</f>
        <v>－</v>
      </c>
      <c r="X305" s="34">
        <f>20</f>
        <v>20</v>
      </c>
    </row>
    <row r="306" spans="1:24" ht="13.5" customHeight="1" x14ac:dyDescent="0.15">
      <c r="A306" s="25" t="s">
        <v>1112</v>
      </c>
      <c r="B306" s="25" t="s">
        <v>914</v>
      </c>
      <c r="C306" s="25" t="s">
        <v>915</v>
      </c>
      <c r="D306" s="25" t="s">
        <v>916</v>
      </c>
      <c r="E306" s="26" t="s">
        <v>45</v>
      </c>
      <c r="F306" s="27" t="s">
        <v>45</v>
      </c>
      <c r="G306" s="28" t="s">
        <v>45</v>
      </c>
      <c r="H306" s="29"/>
      <c r="I306" s="29" t="s">
        <v>46</v>
      </c>
      <c r="J306" s="30">
        <v>1</v>
      </c>
      <c r="K306" s="31">
        <f>3800</f>
        <v>3800</v>
      </c>
      <c r="L306" s="32" t="s">
        <v>996</v>
      </c>
      <c r="M306" s="31">
        <f>3840</f>
        <v>3840</v>
      </c>
      <c r="N306" s="32" t="s">
        <v>791</v>
      </c>
      <c r="O306" s="31">
        <f>3660</f>
        <v>3660</v>
      </c>
      <c r="P306" s="32" t="s">
        <v>56</v>
      </c>
      <c r="Q306" s="31">
        <f>3825</f>
        <v>3825</v>
      </c>
      <c r="R306" s="32" t="s">
        <v>791</v>
      </c>
      <c r="S306" s="33">
        <f>3741.75</f>
        <v>3741.75</v>
      </c>
      <c r="T306" s="30">
        <f>11569</f>
        <v>11569</v>
      </c>
      <c r="U306" s="30">
        <f>3</f>
        <v>3</v>
      </c>
      <c r="V306" s="30">
        <f>43328900</f>
        <v>43328900</v>
      </c>
      <c r="W306" s="30">
        <f>11190</f>
        <v>11190</v>
      </c>
      <c r="X306" s="34">
        <f>20</f>
        <v>20</v>
      </c>
    </row>
    <row r="307" spans="1:24" ht="13.5" customHeight="1" x14ac:dyDescent="0.15">
      <c r="A307" s="25" t="s">
        <v>1112</v>
      </c>
      <c r="B307" s="25" t="s">
        <v>917</v>
      </c>
      <c r="C307" s="25" t="s">
        <v>918</v>
      </c>
      <c r="D307" s="25" t="s">
        <v>919</v>
      </c>
      <c r="E307" s="26" t="s">
        <v>45</v>
      </c>
      <c r="F307" s="27" t="s">
        <v>45</v>
      </c>
      <c r="G307" s="28" t="s">
        <v>45</v>
      </c>
      <c r="H307" s="29"/>
      <c r="I307" s="29" t="s">
        <v>46</v>
      </c>
      <c r="J307" s="30">
        <v>10</v>
      </c>
      <c r="K307" s="31">
        <f>2377.5</f>
        <v>2377.5</v>
      </c>
      <c r="L307" s="32" t="s">
        <v>996</v>
      </c>
      <c r="M307" s="31">
        <f>2377.5</f>
        <v>2377.5</v>
      </c>
      <c r="N307" s="32" t="s">
        <v>996</v>
      </c>
      <c r="O307" s="31">
        <f>2289</f>
        <v>2289</v>
      </c>
      <c r="P307" s="32" t="s">
        <v>790</v>
      </c>
      <c r="Q307" s="31">
        <f>2343</f>
        <v>2343</v>
      </c>
      <c r="R307" s="32" t="s">
        <v>997</v>
      </c>
      <c r="S307" s="33">
        <f>2321.57</f>
        <v>2321.5700000000002</v>
      </c>
      <c r="T307" s="30">
        <f>830</f>
        <v>830</v>
      </c>
      <c r="U307" s="30" t="str">
        <f>"－"</f>
        <v>－</v>
      </c>
      <c r="V307" s="30">
        <f>1923865</f>
        <v>1923865</v>
      </c>
      <c r="W307" s="30" t="str">
        <f>"－"</f>
        <v>－</v>
      </c>
      <c r="X307" s="34">
        <f>7</f>
        <v>7</v>
      </c>
    </row>
    <row r="308" spans="1:24" ht="13.5" customHeight="1" x14ac:dyDescent="0.15">
      <c r="A308" s="25" t="s">
        <v>1112</v>
      </c>
      <c r="B308" s="25" t="s">
        <v>928</v>
      </c>
      <c r="C308" s="25" t="s">
        <v>929</v>
      </c>
      <c r="D308" s="25" t="s">
        <v>930</v>
      </c>
      <c r="E308" s="26" t="s">
        <v>45</v>
      </c>
      <c r="F308" s="27" t="s">
        <v>45</v>
      </c>
      <c r="G308" s="28" t="s">
        <v>45</v>
      </c>
      <c r="H308" s="29"/>
      <c r="I308" s="29" t="s">
        <v>46</v>
      </c>
      <c r="J308" s="30">
        <v>10</v>
      </c>
      <c r="K308" s="31">
        <f>232</f>
        <v>232</v>
      </c>
      <c r="L308" s="32" t="s">
        <v>996</v>
      </c>
      <c r="M308" s="31">
        <f>244</f>
        <v>244</v>
      </c>
      <c r="N308" s="32" t="s">
        <v>785</v>
      </c>
      <c r="O308" s="31">
        <f>218.4</f>
        <v>218.4</v>
      </c>
      <c r="P308" s="32" t="s">
        <v>875</v>
      </c>
      <c r="Q308" s="31">
        <f>230</f>
        <v>230</v>
      </c>
      <c r="R308" s="32" t="s">
        <v>791</v>
      </c>
      <c r="S308" s="33">
        <f>228.92</f>
        <v>228.92</v>
      </c>
      <c r="T308" s="30">
        <f>22680</f>
        <v>22680</v>
      </c>
      <c r="U308" s="30" t="str">
        <f>"－"</f>
        <v>－</v>
      </c>
      <c r="V308" s="30">
        <f>5204708</f>
        <v>5204708</v>
      </c>
      <c r="W308" s="30" t="str">
        <f>"－"</f>
        <v>－</v>
      </c>
      <c r="X308" s="34">
        <f>19</f>
        <v>19</v>
      </c>
    </row>
    <row r="309" spans="1:24" ht="13.5" customHeight="1" x14ac:dyDescent="0.15">
      <c r="A309" s="25" t="s">
        <v>1112</v>
      </c>
      <c r="B309" s="25" t="s">
        <v>920</v>
      </c>
      <c r="C309" s="25" t="s">
        <v>921</v>
      </c>
      <c r="D309" s="25" t="s">
        <v>922</v>
      </c>
      <c r="E309" s="26" t="s">
        <v>45</v>
      </c>
      <c r="F309" s="27" t="s">
        <v>45</v>
      </c>
      <c r="G309" s="28" t="s">
        <v>45</v>
      </c>
      <c r="H309" s="29"/>
      <c r="I309" s="29" t="s">
        <v>46</v>
      </c>
      <c r="J309" s="30">
        <v>10</v>
      </c>
      <c r="K309" s="31">
        <f>188.5</f>
        <v>188.5</v>
      </c>
      <c r="L309" s="32" t="s">
        <v>996</v>
      </c>
      <c r="M309" s="31">
        <f>194</f>
        <v>194</v>
      </c>
      <c r="N309" s="32" t="s">
        <v>791</v>
      </c>
      <c r="O309" s="31">
        <f>185</f>
        <v>185</v>
      </c>
      <c r="P309" s="32" t="s">
        <v>875</v>
      </c>
      <c r="Q309" s="31">
        <f>188.8</f>
        <v>188.8</v>
      </c>
      <c r="R309" s="32" t="s">
        <v>791</v>
      </c>
      <c r="S309" s="33">
        <f>187.75</f>
        <v>187.75</v>
      </c>
      <c r="T309" s="30">
        <f>1402000</f>
        <v>1402000</v>
      </c>
      <c r="U309" s="30">
        <f>1394690</f>
        <v>1394690</v>
      </c>
      <c r="V309" s="30">
        <f>266891456</f>
        <v>266891456</v>
      </c>
      <c r="W309" s="30">
        <f>265512799</f>
        <v>265512799</v>
      </c>
      <c r="X309" s="34">
        <f>19</f>
        <v>19</v>
      </c>
    </row>
    <row r="310" spans="1:24" ht="13.5" customHeight="1" x14ac:dyDescent="0.15">
      <c r="A310" s="25" t="s">
        <v>1112</v>
      </c>
      <c r="B310" s="25" t="s">
        <v>923</v>
      </c>
      <c r="C310" s="25" t="s">
        <v>924</v>
      </c>
      <c r="D310" s="25" t="s">
        <v>925</v>
      </c>
      <c r="E310" s="26" t="s">
        <v>45</v>
      </c>
      <c r="F310" s="27" t="s">
        <v>45</v>
      </c>
      <c r="G310" s="28" t="s">
        <v>45</v>
      </c>
      <c r="H310" s="29"/>
      <c r="I310" s="29" t="s">
        <v>46</v>
      </c>
      <c r="J310" s="30">
        <v>10</v>
      </c>
      <c r="K310" s="31">
        <f>707.6</f>
        <v>707.6</v>
      </c>
      <c r="L310" s="32" t="s">
        <v>996</v>
      </c>
      <c r="M310" s="31">
        <f>739</f>
        <v>739</v>
      </c>
      <c r="N310" s="32" t="s">
        <v>785</v>
      </c>
      <c r="O310" s="31">
        <f>688</f>
        <v>688</v>
      </c>
      <c r="P310" s="32" t="s">
        <v>875</v>
      </c>
      <c r="Q310" s="31">
        <f>697.8</f>
        <v>697.8</v>
      </c>
      <c r="R310" s="32" t="s">
        <v>791</v>
      </c>
      <c r="S310" s="33">
        <f>697.35</f>
        <v>697.35</v>
      </c>
      <c r="T310" s="30">
        <f>4520</f>
        <v>4520</v>
      </c>
      <c r="U310" s="30" t="str">
        <f>"－"</f>
        <v>－</v>
      </c>
      <c r="V310" s="30">
        <f>3153507</f>
        <v>3153507</v>
      </c>
      <c r="W310" s="30" t="str">
        <f>"－"</f>
        <v>－</v>
      </c>
      <c r="X310" s="34">
        <f>12</f>
        <v>12</v>
      </c>
    </row>
    <row r="311" spans="1:24" ht="13.5" customHeight="1" x14ac:dyDescent="0.15">
      <c r="A311" s="25" t="s">
        <v>1112</v>
      </c>
      <c r="B311" s="25" t="s">
        <v>931</v>
      </c>
      <c r="C311" s="25" t="s">
        <v>932</v>
      </c>
      <c r="D311" s="25" t="s">
        <v>933</v>
      </c>
      <c r="E311" s="26" t="s">
        <v>45</v>
      </c>
      <c r="F311" s="27" t="s">
        <v>45</v>
      </c>
      <c r="G311" s="28" t="s">
        <v>45</v>
      </c>
      <c r="H311" s="29"/>
      <c r="I311" s="29" t="s">
        <v>46</v>
      </c>
      <c r="J311" s="30">
        <v>1</v>
      </c>
      <c r="K311" s="31">
        <f>1232</f>
        <v>1232</v>
      </c>
      <c r="L311" s="32" t="s">
        <v>996</v>
      </c>
      <c r="M311" s="31">
        <f>1244</f>
        <v>1244</v>
      </c>
      <c r="N311" s="32" t="s">
        <v>996</v>
      </c>
      <c r="O311" s="31">
        <f>1165</f>
        <v>1165</v>
      </c>
      <c r="P311" s="32" t="s">
        <v>787</v>
      </c>
      <c r="Q311" s="31">
        <f>1212</f>
        <v>1212</v>
      </c>
      <c r="R311" s="32" t="s">
        <v>791</v>
      </c>
      <c r="S311" s="33">
        <f>1203.9</f>
        <v>1203.9000000000001</v>
      </c>
      <c r="T311" s="30">
        <f>259263</f>
        <v>259263</v>
      </c>
      <c r="U311" s="30">
        <f>1172</f>
        <v>1172</v>
      </c>
      <c r="V311" s="30">
        <f>313458250</f>
        <v>313458250</v>
      </c>
      <c r="W311" s="30">
        <f>1395556</f>
        <v>1395556</v>
      </c>
      <c r="X311" s="34">
        <f>20</f>
        <v>20</v>
      </c>
    </row>
    <row r="312" spans="1:24" ht="13.5" customHeight="1" x14ac:dyDescent="0.15">
      <c r="A312" s="25" t="s">
        <v>1112</v>
      </c>
      <c r="B312" s="25" t="s">
        <v>934</v>
      </c>
      <c r="C312" s="25" t="s">
        <v>935</v>
      </c>
      <c r="D312" s="25" t="s">
        <v>936</v>
      </c>
      <c r="E312" s="26" t="s">
        <v>45</v>
      </c>
      <c r="F312" s="27" t="s">
        <v>45</v>
      </c>
      <c r="G312" s="28" t="s">
        <v>45</v>
      </c>
      <c r="H312" s="29"/>
      <c r="I312" s="29" t="s">
        <v>46</v>
      </c>
      <c r="J312" s="30">
        <v>1</v>
      </c>
      <c r="K312" s="31">
        <f>962</f>
        <v>962</v>
      </c>
      <c r="L312" s="32" t="s">
        <v>996</v>
      </c>
      <c r="M312" s="31">
        <f>983</f>
        <v>983</v>
      </c>
      <c r="N312" s="32" t="s">
        <v>255</v>
      </c>
      <c r="O312" s="31">
        <f>950</f>
        <v>950</v>
      </c>
      <c r="P312" s="32" t="s">
        <v>875</v>
      </c>
      <c r="Q312" s="31">
        <f>973</f>
        <v>973</v>
      </c>
      <c r="R312" s="32" t="s">
        <v>791</v>
      </c>
      <c r="S312" s="33">
        <f>967.15</f>
        <v>967.15</v>
      </c>
      <c r="T312" s="30">
        <f>5024</f>
        <v>5024</v>
      </c>
      <c r="U312" s="30" t="str">
        <f>"－"</f>
        <v>－</v>
      </c>
      <c r="V312" s="30">
        <f>4847043</f>
        <v>4847043</v>
      </c>
      <c r="W312" s="30" t="str">
        <f>"－"</f>
        <v>－</v>
      </c>
      <c r="X312" s="34">
        <f>20</f>
        <v>20</v>
      </c>
    </row>
    <row r="313" spans="1:24" ht="13.5" customHeight="1" x14ac:dyDescent="0.15">
      <c r="A313" s="25" t="s">
        <v>1112</v>
      </c>
      <c r="B313" s="25" t="s">
        <v>937</v>
      </c>
      <c r="C313" s="25" t="s">
        <v>938</v>
      </c>
      <c r="D313" s="25" t="s">
        <v>939</v>
      </c>
      <c r="E313" s="26" t="s">
        <v>45</v>
      </c>
      <c r="F313" s="27" t="s">
        <v>45</v>
      </c>
      <c r="G313" s="28" t="s">
        <v>45</v>
      </c>
      <c r="H313" s="29"/>
      <c r="I313" s="29" t="s">
        <v>46</v>
      </c>
      <c r="J313" s="30">
        <v>10</v>
      </c>
      <c r="K313" s="31">
        <f>736.7</f>
        <v>736.7</v>
      </c>
      <c r="L313" s="32" t="s">
        <v>996</v>
      </c>
      <c r="M313" s="31">
        <f>774</f>
        <v>774</v>
      </c>
      <c r="N313" s="32" t="s">
        <v>1003</v>
      </c>
      <c r="O313" s="31">
        <f>723.3</f>
        <v>723.3</v>
      </c>
      <c r="P313" s="32" t="s">
        <v>1003</v>
      </c>
      <c r="Q313" s="31">
        <f>728.5</f>
        <v>728.5</v>
      </c>
      <c r="R313" s="32" t="s">
        <v>791</v>
      </c>
      <c r="S313" s="33">
        <f>732.03</f>
        <v>732.03</v>
      </c>
      <c r="T313" s="30">
        <f>3694670</f>
        <v>3694670</v>
      </c>
      <c r="U313" s="30">
        <f>3175160</f>
        <v>3175160</v>
      </c>
      <c r="V313" s="30">
        <f>2700405931</f>
        <v>2700405931</v>
      </c>
      <c r="W313" s="30">
        <f>2319433600</f>
        <v>2319433600</v>
      </c>
      <c r="X313" s="34">
        <f>20</f>
        <v>20</v>
      </c>
    </row>
    <row r="314" spans="1:24" ht="13.5" customHeight="1" x14ac:dyDescent="0.15">
      <c r="A314" s="25" t="s">
        <v>1112</v>
      </c>
      <c r="B314" s="25" t="s">
        <v>940</v>
      </c>
      <c r="C314" s="25" t="s">
        <v>941</v>
      </c>
      <c r="D314" s="25" t="s">
        <v>942</v>
      </c>
      <c r="E314" s="26" t="s">
        <v>45</v>
      </c>
      <c r="F314" s="27" t="s">
        <v>45</v>
      </c>
      <c r="G314" s="28" t="s">
        <v>45</v>
      </c>
      <c r="H314" s="29"/>
      <c r="I314" s="29" t="s">
        <v>46</v>
      </c>
      <c r="J314" s="30">
        <v>10</v>
      </c>
      <c r="K314" s="31">
        <f>719.1</f>
        <v>719.1</v>
      </c>
      <c r="L314" s="32" t="s">
        <v>996</v>
      </c>
      <c r="M314" s="31">
        <f>719.1</f>
        <v>719.1</v>
      </c>
      <c r="N314" s="32" t="s">
        <v>996</v>
      </c>
      <c r="O314" s="31">
        <f>694.1</f>
        <v>694.1</v>
      </c>
      <c r="P314" s="32" t="s">
        <v>997</v>
      </c>
      <c r="Q314" s="31">
        <f>702.9</f>
        <v>702.9</v>
      </c>
      <c r="R314" s="32" t="s">
        <v>791</v>
      </c>
      <c r="S314" s="33">
        <f>704.7</f>
        <v>704.7</v>
      </c>
      <c r="T314" s="30">
        <f>2832300</f>
        <v>2832300</v>
      </c>
      <c r="U314" s="30">
        <f>2610810</f>
        <v>2610810</v>
      </c>
      <c r="V314" s="30">
        <f>1997835986</f>
        <v>1997835986</v>
      </c>
      <c r="W314" s="30">
        <f>1842727806</f>
        <v>1842727806</v>
      </c>
      <c r="X314" s="34">
        <f>20</f>
        <v>20</v>
      </c>
    </row>
    <row r="315" spans="1:24" ht="13.5" customHeight="1" x14ac:dyDescent="0.15">
      <c r="A315" s="25" t="s">
        <v>1112</v>
      </c>
      <c r="B315" s="25" t="s">
        <v>943</v>
      </c>
      <c r="C315" s="25" t="s">
        <v>944</v>
      </c>
      <c r="D315" s="25" t="s">
        <v>945</v>
      </c>
      <c r="E315" s="26" t="s">
        <v>45</v>
      </c>
      <c r="F315" s="27" t="s">
        <v>45</v>
      </c>
      <c r="G315" s="28" t="s">
        <v>45</v>
      </c>
      <c r="H315" s="29"/>
      <c r="I315" s="29" t="s">
        <v>46</v>
      </c>
      <c r="J315" s="30">
        <v>1</v>
      </c>
      <c r="K315" s="31">
        <f>1114</f>
        <v>1114</v>
      </c>
      <c r="L315" s="32" t="s">
        <v>996</v>
      </c>
      <c r="M315" s="31">
        <f>1144</f>
        <v>1144</v>
      </c>
      <c r="N315" s="32" t="s">
        <v>80</v>
      </c>
      <c r="O315" s="31">
        <f>1107</f>
        <v>1107</v>
      </c>
      <c r="P315" s="32" t="s">
        <v>1005</v>
      </c>
      <c r="Q315" s="31">
        <f>1128</f>
        <v>1128</v>
      </c>
      <c r="R315" s="32" t="s">
        <v>791</v>
      </c>
      <c r="S315" s="33">
        <f>1116.2</f>
        <v>1116.2</v>
      </c>
      <c r="T315" s="30">
        <f>35405</f>
        <v>35405</v>
      </c>
      <c r="U315" s="30" t="str">
        <f>"－"</f>
        <v>－</v>
      </c>
      <c r="V315" s="30">
        <f>39557489</f>
        <v>39557489</v>
      </c>
      <c r="W315" s="30" t="str">
        <f>"－"</f>
        <v>－</v>
      </c>
      <c r="X315" s="34">
        <f>20</f>
        <v>20</v>
      </c>
    </row>
    <row r="316" spans="1:24" ht="13.5" customHeight="1" x14ac:dyDescent="0.15">
      <c r="A316" s="25" t="s">
        <v>1112</v>
      </c>
      <c r="B316" s="25" t="s">
        <v>952</v>
      </c>
      <c r="C316" s="25" t="s">
        <v>953</v>
      </c>
      <c r="D316" s="25" t="s">
        <v>954</v>
      </c>
      <c r="E316" s="26" t="s">
        <v>45</v>
      </c>
      <c r="F316" s="27" t="s">
        <v>45</v>
      </c>
      <c r="G316" s="28" t="s">
        <v>45</v>
      </c>
      <c r="H316" s="29"/>
      <c r="I316" s="29" t="s">
        <v>46</v>
      </c>
      <c r="J316" s="30">
        <v>10</v>
      </c>
      <c r="K316" s="31">
        <f>2424.5</f>
        <v>2424.5</v>
      </c>
      <c r="L316" s="32" t="s">
        <v>996</v>
      </c>
      <c r="M316" s="31">
        <f>2453.5</f>
        <v>2453.5</v>
      </c>
      <c r="N316" s="32" t="s">
        <v>785</v>
      </c>
      <c r="O316" s="31">
        <f>2314.5</f>
        <v>2314.5</v>
      </c>
      <c r="P316" s="32" t="s">
        <v>875</v>
      </c>
      <c r="Q316" s="31">
        <f>2437.5</f>
        <v>2437.5</v>
      </c>
      <c r="R316" s="32" t="s">
        <v>791</v>
      </c>
      <c r="S316" s="33">
        <f>2386.63</f>
        <v>2386.63</v>
      </c>
      <c r="T316" s="30">
        <f>98920</f>
        <v>98920</v>
      </c>
      <c r="U316" s="30" t="str">
        <f>"－"</f>
        <v>－</v>
      </c>
      <c r="V316" s="30">
        <f>240109190</f>
        <v>240109190</v>
      </c>
      <c r="W316" s="30" t="str">
        <f>"－"</f>
        <v>－</v>
      </c>
      <c r="X316" s="34">
        <f>20</f>
        <v>20</v>
      </c>
    </row>
    <row r="317" spans="1:24" ht="13.5" customHeight="1" x14ac:dyDescent="0.15">
      <c r="A317" s="25" t="s">
        <v>1112</v>
      </c>
      <c r="B317" s="25" t="s">
        <v>955</v>
      </c>
      <c r="C317" s="25" t="s">
        <v>956</v>
      </c>
      <c r="D317" s="25" t="s">
        <v>957</v>
      </c>
      <c r="E317" s="26" t="s">
        <v>45</v>
      </c>
      <c r="F317" s="27" t="s">
        <v>45</v>
      </c>
      <c r="G317" s="28" t="s">
        <v>45</v>
      </c>
      <c r="H317" s="29"/>
      <c r="I317" s="29" t="s">
        <v>46</v>
      </c>
      <c r="J317" s="30">
        <v>10</v>
      </c>
      <c r="K317" s="31">
        <f>2406</f>
        <v>2406</v>
      </c>
      <c r="L317" s="32" t="s">
        <v>996</v>
      </c>
      <c r="M317" s="31">
        <f>2451.5</f>
        <v>2451.5</v>
      </c>
      <c r="N317" s="32" t="s">
        <v>791</v>
      </c>
      <c r="O317" s="31">
        <f>2288</f>
        <v>2288</v>
      </c>
      <c r="P317" s="32" t="s">
        <v>1003</v>
      </c>
      <c r="Q317" s="31">
        <f>2415.5</f>
        <v>2415.5</v>
      </c>
      <c r="R317" s="32" t="s">
        <v>791</v>
      </c>
      <c r="S317" s="33">
        <f>2361.43</f>
        <v>2361.4299999999998</v>
      </c>
      <c r="T317" s="30">
        <f>167690</f>
        <v>167690</v>
      </c>
      <c r="U317" s="30">
        <f>76500</f>
        <v>76500</v>
      </c>
      <c r="V317" s="30">
        <f>397919445</f>
        <v>397919445</v>
      </c>
      <c r="W317" s="30">
        <f>181758160</f>
        <v>181758160</v>
      </c>
      <c r="X317" s="34">
        <f>20</f>
        <v>20</v>
      </c>
    </row>
    <row r="318" spans="1:24" ht="13.5" customHeight="1" x14ac:dyDescent="0.15">
      <c r="A318" s="25" t="s">
        <v>1112</v>
      </c>
      <c r="B318" s="25" t="s">
        <v>946</v>
      </c>
      <c r="C318" s="25" t="s">
        <v>947</v>
      </c>
      <c r="D318" s="25" t="s">
        <v>948</v>
      </c>
      <c r="E318" s="26" t="s">
        <v>45</v>
      </c>
      <c r="F318" s="27" t="s">
        <v>45</v>
      </c>
      <c r="G318" s="28" t="s">
        <v>45</v>
      </c>
      <c r="H318" s="29"/>
      <c r="I318" s="29" t="s">
        <v>46</v>
      </c>
      <c r="J318" s="30">
        <v>10</v>
      </c>
      <c r="K318" s="31">
        <f>5205</f>
        <v>5205</v>
      </c>
      <c r="L318" s="32" t="s">
        <v>996</v>
      </c>
      <c r="M318" s="31">
        <f>5205</f>
        <v>5205</v>
      </c>
      <c r="N318" s="32" t="s">
        <v>996</v>
      </c>
      <c r="O318" s="31">
        <f>5010</f>
        <v>5010</v>
      </c>
      <c r="P318" s="32" t="s">
        <v>997</v>
      </c>
      <c r="Q318" s="31">
        <f>5010</f>
        <v>5010</v>
      </c>
      <c r="R318" s="32" t="s">
        <v>997</v>
      </c>
      <c r="S318" s="33">
        <f>5135.63</f>
        <v>5135.63</v>
      </c>
      <c r="T318" s="30">
        <f>110</f>
        <v>110</v>
      </c>
      <c r="U318" s="30" t="str">
        <f>"－"</f>
        <v>－</v>
      </c>
      <c r="V318" s="30">
        <f>565560</f>
        <v>565560</v>
      </c>
      <c r="W318" s="30" t="str">
        <f>"－"</f>
        <v>－</v>
      </c>
      <c r="X318" s="34">
        <f>8</f>
        <v>8</v>
      </c>
    </row>
    <row r="319" spans="1:24" ht="13.5" customHeight="1" x14ac:dyDescent="0.15">
      <c r="A319" s="25" t="s">
        <v>1112</v>
      </c>
      <c r="B319" s="25" t="s">
        <v>949</v>
      </c>
      <c r="C319" s="25" t="s">
        <v>950</v>
      </c>
      <c r="D319" s="25" t="s">
        <v>951</v>
      </c>
      <c r="E319" s="26" t="s">
        <v>45</v>
      </c>
      <c r="F319" s="27" t="s">
        <v>45</v>
      </c>
      <c r="G319" s="28" t="s">
        <v>45</v>
      </c>
      <c r="H319" s="29"/>
      <c r="I319" s="29" t="s">
        <v>46</v>
      </c>
      <c r="J319" s="30">
        <v>10</v>
      </c>
      <c r="K319" s="31">
        <f>4380</f>
        <v>4380</v>
      </c>
      <c r="L319" s="32" t="s">
        <v>785</v>
      </c>
      <c r="M319" s="31">
        <f>4380</f>
        <v>4380</v>
      </c>
      <c r="N319" s="32" t="s">
        <v>785</v>
      </c>
      <c r="O319" s="31">
        <f>4260</f>
        <v>4260</v>
      </c>
      <c r="P319" s="32" t="s">
        <v>1003</v>
      </c>
      <c r="Q319" s="31">
        <f>4348</f>
        <v>4348</v>
      </c>
      <c r="R319" s="32" t="s">
        <v>791</v>
      </c>
      <c r="S319" s="33">
        <f>4350.25</f>
        <v>4350.25</v>
      </c>
      <c r="T319" s="30">
        <f>103220</f>
        <v>103220</v>
      </c>
      <c r="U319" s="30">
        <f>103000</f>
        <v>103000</v>
      </c>
      <c r="V319" s="30">
        <f>444909420</f>
        <v>444909420</v>
      </c>
      <c r="W319" s="30">
        <f>443951700</f>
        <v>443951700</v>
      </c>
      <c r="X319" s="34">
        <f>4</f>
        <v>4</v>
      </c>
    </row>
    <row r="320" spans="1:24" ht="13.5" customHeight="1" x14ac:dyDescent="0.15">
      <c r="A320" s="25" t="s">
        <v>1112</v>
      </c>
      <c r="B320" s="25" t="s">
        <v>958</v>
      </c>
      <c r="C320" s="25" t="s">
        <v>959</v>
      </c>
      <c r="D320" s="25" t="s">
        <v>960</v>
      </c>
      <c r="E320" s="26" t="s">
        <v>45</v>
      </c>
      <c r="F320" s="27" t="s">
        <v>45</v>
      </c>
      <c r="G320" s="28" t="s">
        <v>45</v>
      </c>
      <c r="H320" s="29"/>
      <c r="I320" s="29" t="s">
        <v>46</v>
      </c>
      <c r="J320" s="30">
        <v>10</v>
      </c>
      <c r="K320" s="31">
        <f>1956.5</f>
        <v>1956.5</v>
      </c>
      <c r="L320" s="32" t="s">
        <v>996</v>
      </c>
      <c r="M320" s="31">
        <f>1968</f>
        <v>1968</v>
      </c>
      <c r="N320" s="32" t="s">
        <v>788</v>
      </c>
      <c r="O320" s="31">
        <f>1933.5</f>
        <v>1933.5</v>
      </c>
      <c r="P320" s="32" t="s">
        <v>787</v>
      </c>
      <c r="Q320" s="31">
        <f>1957</f>
        <v>1957</v>
      </c>
      <c r="R320" s="32" t="s">
        <v>791</v>
      </c>
      <c r="S320" s="33">
        <f>1955.46</f>
        <v>1955.46</v>
      </c>
      <c r="T320" s="30">
        <f>1110</f>
        <v>1110</v>
      </c>
      <c r="U320" s="30" t="str">
        <f>"－"</f>
        <v>－</v>
      </c>
      <c r="V320" s="30">
        <f>2174420</f>
        <v>2174420</v>
      </c>
      <c r="W320" s="30" t="str">
        <f>"－"</f>
        <v>－</v>
      </c>
      <c r="X320" s="34">
        <f>12</f>
        <v>12</v>
      </c>
    </row>
    <row r="321" spans="1:24" ht="13.5" customHeight="1" x14ac:dyDescent="0.15">
      <c r="A321" s="25" t="s">
        <v>1112</v>
      </c>
      <c r="B321" s="25" t="s">
        <v>961</v>
      </c>
      <c r="C321" s="25" t="s">
        <v>962</v>
      </c>
      <c r="D321" s="25" t="s">
        <v>963</v>
      </c>
      <c r="E321" s="26" t="s">
        <v>45</v>
      </c>
      <c r="F321" s="27" t="s">
        <v>45</v>
      </c>
      <c r="G321" s="28" t="s">
        <v>45</v>
      </c>
      <c r="H321" s="29"/>
      <c r="I321" s="29" t="s">
        <v>46</v>
      </c>
      <c r="J321" s="30">
        <v>1</v>
      </c>
      <c r="K321" s="31">
        <f>1198</f>
        <v>1198</v>
      </c>
      <c r="L321" s="32" t="s">
        <v>996</v>
      </c>
      <c r="M321" s="31">
        <f>1224</f>
        <v>1224</v>
      </c>
      <c r="N321" s="32" t="s">
        <v>789</v>
      </c>
      <c r="O321" s="31">
        <f>1141</f>
        <v>1141</v>
      </c>
      <c r="P321" s="32" t="s">
        <v>794</v>
      </c>
      <c r="Q321" s="31">
        <f>1174</f>
        <v>1174</v>
      </c>
      <c r="R321" s="32" t="s">
        <v>791</v>
      </c>
      <c r="S321" s="33">
        <f>1178.65</f>
        <v>1178.6500000000001</v>
      </c>
      <c r="T321" s="30">
        <f>7220</f>
        <v>7220</v>
      </c>
      <c r="U321" s="30" t="str">
        <f>"－"</f>
        <v>－</v>
      </c>
      <c r="V321" s="30">
        <f>8482357</f>
        <v>8482357</v>
      </c>
      <c r="W321" s="30" t="str">
        <f>"－"</f>
        <v>－</v>
      </c>
      <c r="X321" s="34">
        <f>20</f>
        <v>20</v>
      </c>
    </row>
    <row r="322" spans="1:24" ht="13.5" customHeight="1" x14ac:dyDescent="0.15">
      <c r="A322" s="25" t="s">
        <v>1112</v>
      </c>
      <c r="B322" s="25" t="s">
        <v>964</v>
      </c>
      <c r="C322" s="25" t="s">
        <v>965</v>
      </c>
      <c r="D322" s="25" t="s">
        <v>966</v>
      </c>
      <c r="E322" s="26" t="s">
        <v>45</v>
      </c>
      <c r="F322" s="27" t="s">
        <v>45</v>
      </c>
      <c r="G322" s="28" t="s">
        <v>45</v>
      </c>
      <c r="H322" s="29"/>
      <c r="I322" s="29" t="s">
        <v>46</v>
      </c>
      <c r="J322" s="30">
        <v>1</v>
      </c>
      <c r="K322" s="31">
        <f>1118</f>
        <v>1118</v>
      </c>
      <c r="L322" s="32" t="s">
        <v>996</v>
      </c>
      <c r="M322" s="31">
        <f>1190</f>
        <v>1190</v>
      </c>
      <c r="N322" s="32" t="s">
        <v>784</v>
      </c>
      <c r="O322" s="31">
        <f>1069</f>
        <v>1069</v>
      </c>
      <c r="P322" s="32" t="s">
        <v>1005</v>
      </c>
      <c r="Q322" s="31">
        <f>1115</f>
        <v>1115</v>
      </c>
      <c r="R322" s="32" t="s">
        <v>791</v>
      </c>
      <c r="S322" s="33">
        <f>1100.55</f>
        <v>1100.55</v>
      </c>
      <c r="T322" s="30">
        <f>894148</f>
        <v>894148</v>
      </c>
      <c r="U322" s="30">
        <f>50</f>
        <v>50</v>
      </c>
      <c r="V322" s="30">
        <f>981954919</f>
        <v>981954919</v>
      </c>
      <c r="W322" s="30">
        <f>54850</f>
        <v>54850</v>
      </c>
      <c r="X322" s="34">
        <f>20</f>
        <v>20</v>
      </c>
    </row>
    <row r="323" spans="1:24" ht="13.5" customHeight="1" x14ac:dyDescent="0.15">
      <c r="A323" s="25" t="s">
        <v>1112</v>
      </c>
      <c r="B323" s="25" t="s">
        <v>967</v>
      </c>
      <c r="C323" s="25" t="s">
        <v>968</v>
      </c>
      <c r="D323" s="25" t="s">
        <v>969</v>
      </c>
      <c r="E323" s="26" t="s">
        <v>45</v>
      </c>
      <c r="F323" s="27" t="s">
        <v>45</v>
      </c>
      <c r="G323" s="28" t="s">
        <v>45</v>
      </c>
      <c r="H323" s="29"/>
      <c r="I323" s="29" t="s">
        <v>46</v>
      </c>
      <c r="J323" s="30">
        <v>1</v>
      </c>
      <c r="K323" s="31">
        <f>934</f>
        <v>934</v>
      </c>
      <c r="L323" s="32" t="s">
        <v>996</v>
      </c>
      <c r="M323" s="31">
        <f>950</f>
        <v>950</v>
      </c>
      <c r="N323" s="32" t="s">
        <v>78</v>
      </c>
      <c r="O323" s="31">
        <f>906</f>
        <v>906</v>
      </c>
      <c r="P323" s="32" t="s">
        <v>787</v>
      </c>
      <c r="Q323" s="31">
        <f>922</f>
        <v>922</v>
      </c>
      <c r="R323" s="32" t="s">
        <v>791</v>
      </c>
      <c r="S323" s="33">
        <f>922.65</f>
        <v>922.65</v>
      </c>
      <c r="T323" s="30">
        <f>735223</f>
        <v>735223</v>
      </c>
      <c r="U323" s="30" t="str">
        <f>"－"</f>
        <v>－</v>
      </c>
      <c r="V323" s="30">
        <f>677935572</f>
        <v>677935572</v>
      </c>
      <c r="W323" s="30" t="str">
        <f>"－"</f>
        <v>－</v>
      </c>
      <c r="X323" s="34">
        <f>20</f>
        <v>20</v>
      </c>
    </row>
    <row r="324" spans="1:24" ht="13.5" customHeight="1" x14ac:dyDescent="0.15">
      <c r="A324" s="25" t="s">
        <v>1112</v>
      </c>
      <c r="B324" s="25" t="s">
        <v>974</v>
      </c>
      <c r="C324" s="25" t="s">
        <v>975</v>
      </c>
      <c r="D324" s="25" t="s">
        <v>976</v>
      </c>
      <c r="E324" s="26" t="s">
        <v>45</v>
      </c>
      <c r="F324" s="27" t="s">
        <v>45</v>
      </c>
      <c r="G324" s="28" t="s">
        <v>45</v>
      </c>
      <c r="H324" s="29"/>
      <c r="I324" s="29" t="s">
        <v>46</v>
      </c>
      <c r="J324" s="30">
        <v>1</v>
      </c>
      <c r="K324" s="31">
        <f>1187</f>
        <v>1187</v>
      </c>
      <c r="L324" s="32" t="s">
        <v>996</v>
      </c>
      <c r="M324" s="31">
        <f>1241</f>
        <v>1241</v>
      </c>
      <c r="N324" s="32" t="s">
        <v>791</v>
      </c>
      <c r="O324" s="31">
        <f>1169</f>
        <v>1169</v>
      </c>
      <c r="P324" s="32" t="s">
        <v>1003</v>
      </c>
      <c r="Q324" s="31">
        <f>1239</f>
        <v>1239</v>
      </c>
      <c r="R324" s="32" t="s">
        <v>791</v>
      </c>
      <c r="S324" s="33">
        <f>1198.1</f>
        <v>1198.0999999999999</v>
      </c>
      <c r="T324" s="30">
        <f>69839</f>
        <v>69839</v>
      </c>
      <c r="U324" s="30" t="str">
        <f>"－"</f>
        <v>－</v>
      </c>
      <c r="V324" s="30">
        <f>83712593</f>
        <v>83712593</v>
      </c>
      <c r="W324" s="30" t="str">
        <f>"－"</f>
        <v>－</v>
      </c>
      <c r="X324" s="34">
        <f>20</f>
        <v>20</v>
      </c>
    </row>
    <row r="325" spans="1:24" ht="13.5" customHeight="1" x14ac:dyDescent="0.15">
      <c r="A325" s="25" t="s">
        <v>1112</v>
      </c>
      <c r="B325" s="25" t="s">
        <v>977</v>
      </c>
      <c r="C325" s="25" t="s">
        <v>978</v>
      </c>
      <c r="D325" s="25" t="s">
        <v>979</v>
      </c>
      <c r="E325" s="26" t="s">
        <v>45</v>
      </c>
      <c r="F325" s="27" t="s">
        <v>45</v>
      </c>
      <c r="G325" s="28" t="s">
        <v>45</v>
      </c>
      <c r="H325" s="29"/>
      <c r="I325" s="29" t="s">
        <v>46</v>
      </c>
      <c r="J325" s="30">
        <v>1</v>
      </c>
      <c r="K325" s="31">
        <f>1023</f>
        <v>1023</v>
      </c>
      <c r="L325" s="32" t="s">
        <v>996</v>
      </c>
      <c r="M325" s="31">
        <f>1034</f>
        <v>1034</v>
      </c>
      <c r="N325" s="32" t="s">
        <v>784</v>
      </c>
      <c r="O325" s="31">
        <f>975</f>
        <v>975</v>
      </c>
      <c r="P325" s="32" t="s">
        <v>1005</v>
      </c>
      <c r="Q325" s="31">
        <f>1015</f>
        <v>1015</v>
      </c>
      <c r="R325" s="32" t="s">
        <v>791</v>
      </c>
      <c r="S325" s="33">
        <f>1001.9</f>
        <v>1001.9</v>
      </c>
      <c r="T325" s="30">
        <f>475314</f>
        <v>475314</v>
      </c>
      <c r="U325" s="30" t="str">
        <f>"－"</f>
        <v>－</v>
      </c>
      <c r="V325" s="30">
        <f>477442120</f>
        <v>477442120</v>
      </c>
      <c r="W325" s="30" t="str">
        <f>"－"</f>
        <v>－</v>
      </c>
      <c r="X325" s="34">
        <f>20</f>
        <v>20</v>
      </c>
    </row>
    <row r="326" spans="1:24" ht="13.5" customHeight="1" x14ac:dyDescent="0.15">
      <c r="A326" s="25" t="s">
        <v>1112</v>
      </c>
      <c r="B326" s="25" t="s">
        <v>980</v>
      </c>
      <c r="C326" s="25" t="s">
        <v>981</v>
      </c>
      <c r="D326" s="25" t="s">
        <v>1089</v>
      </c>
      <c r="E326" s="26" t="s">
        <v>45</v>
      </c>
      <c r="F326" s="27" t="s">
        <v>45</v>
      </c>
      <c r="G326" s="28" t="s">
        <v>45</v>
      </c>
      <c r="H326" s="29"/>
      <c r="I326" s="29" t="s">
        <v>46</v>
      </c>
      <c r="J326" s="30">
        <v>1</v>
      </c>
      <c r="K326" s="31">
        <f>30490</f>
        <v>30490</v>
      </c>
      <c r="L326" s="32" t="s">
        <v>996</v>
      </c>
      <c r="M326" s="31">
        <f>32930</f>
        <v>32930</v>
      </c>
      <c r="N326" s="32" t="s">
        <v>790</v>
      </c>
      <c r="O326" s="31">
        <f>29435</f>
        <v>29435</v>
      </c>
      <c r="P326" s="32" t="s">
        <v>875</v>
      </c>
      <c r="Q326" s="31">
        <f>32250</f>
        <v>32250</v>
      </c>
      <c r="R326" s="32" t="s">
        <v>791</v>
      </c>
      <c r="S326" s="33">
        <f>31155</f>
        <v>31155</v>
      </c>
      <c r="T326" s="30">
        <f>306415</f>
        <v>306415</v>
      </c>
      <c r="U326" s="30">
        <f>1</f>
        <v>1</v>
      </c>
      <c r="V326" s="30">
        <f>9610183910</f>
        <v>9610183910</v>
      </c>
      <c r="W326" s="30">
        <f>29915</f>
        <v>29915</v>
      </c>
      <c r="X326" s="34">
        <f>20</f>
        <v>20</v>
      </c>
    </row>
    <row r="327" spans="1:24" ht="13.5" customHeight="1" x14ac:dyDescent="0.15">
      <c r="A327" s="25" t="s">
        <v>1112</v>
      </c>
      <c r="B327" s="25" t="s">
        <v>983</v>
      </c>
      <c r="C327" s="25" t="s">
        <v>984</v>
      </c>
      <c r="D327" s="25" t="s">
        <v>1090</v>
      </c>
      <c r="E327" s="26" t="s">
        <v>45</v>
      </c>
      <c r="F327" s="27" t="s">
        <v>45</v>
      </c>
      <c r="G327" s="28" t="s">
        <v>45</v>
      </c>
      <c r="H327" s="29"/>
      <c r="I327" s="29" t="s">
        <v>46</v>
      </c>
      <c r="J327" s="30">
        <v>1</v>
      </c>
      <c r="K327" s="31">
        <f>33860</f>
        <v>33860</v>
      </c>
      <c r="L327" s="32" t="s">
        <v>996</v>
      </c>
      <c r="M327" s="31">
        <f>35100</f>
        <v>35100</v>
      </c>
      <c r="N327" s="32" t="s">
        <v>875</v>
      </c>
      <c r="O327" s="31">
        <f>31270</f>
        <v>31270</v>
      </c>
      <c r="P327" s="32" t="s">
        <v>790</v>
      </c>
      <c r="Q327" s="31">
        <f>31710</f>
        <v>31710</v>
      </c>
      <c r="R327" s="32" t="s">
        <v>791</v>
      </c>
      <c r="S327" s="33">
        <f>33096</f>
        <v>33096</v>
      </c>
      <c r="T327" s="30">
        <f>135234</f>
        <v>135234</v>
      </c>
      <c r="U327" s="30" t="str">
        <f>"－"</f>
        <v>－</v>
      </c>
      <c r="V327" s="30">
        <f>4487107190</f>
        <v>4487107190</v>
      </c>
      <c r="W327" s="30" t="str">
        <f>"－"</f>
        <v>－</v>
      </c>
      <c r="X327" s="34">
        <f>20</f>
        <v>20</v>
      </c>
    </row>
  </sheetData>
  <mergeCells count="3">
    <mergeCell ref="N1:X3"/>
    <mergeCell ref="A2:M2"/>
    <mergeCell ref="A3:M3"/>
  </mergeCells>
  <phoneticPr fontId="3"/>
  <printOptions horizontalCentered="1"/>
  <pageMargins left="0.39370078740157483" right="0.39370078740157483" top="0.39370078740157483" bottom="0.59055118110236227" header="0.27559055118110237" footer="0.27559055118110237"/>
  <pageSetup paperSize="9" scale="34" fitToHeight="0" orientation="landscape" r:id="rId1"/>
  <headerFooter>
    <oddFooter>&amp;C&amp;P/&amp;N&amp;RCopyright (c) Tokyo Stock Exchange, Inc. All Rights Reserved.</oddFooter>
  </headerFooter>
  <customProperties>
    <customPr name="layoutContexts" r:id="rId2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E106F5-C19C-4175-AD3C-D1868FEA4742}">
  <sheetPr>
    <pageSetUpPr fitToPage="1"/>
  </sheetPr>
  <dimension ref="A1:X326"/>
  <sheetViews>
    <sheetView showGridLines="0" view="pageBreakPreview" zoomScaleNormal="70" zoomScaleSheetLayoutView="100" workbookViewId="0">
      <pane ySplit="6" topLeftCell="A7" activePane="bottomLeft" state="frozen"/>
      <selection activeCell="A2" sqref="A2:M2"/>
      <selection pane="bottomLeft" activeCell="A2" sqref="A2:M2"/>
    </sheetView>
  </sheetViews>
  <sheetFormatPr defaultRowHeight="13.5" customHeight="1" x14ac:dyDescent="0.4"/>
  <cols>
    <col min="1" max="1" width="13.125" style="3" bestFit="1" customWidth="1"/>
    <col min="2" max="2" width="10.75" style="3" bestFit="1" customWidth="1"/>
    <col min="3" max="4" width="27.625" style="3" customWidth="1"/>
    <col min="5" max="5" width="13.75" style="3" bestFit="1" customWidth="1"/>
    <col min="6" max="6" width="20.75" style="3" bestFit="1" customWidth="1"/>
    <col min="7" max="7" width="11.25" style="3" customWidth="1"/>
    <col min="8" max="8" width="8.75" style="3" bestFit="1" customWidth="1"/>
    <col min="9" max="9" width="11.75" style="3" bestFit="1" customWidth="1"/>
    <col min="10" max="10" width="12.625" style="3" bestFit="1" customWidth="1"/>
    <col min="11" max="11" width="16.25" style="3" customWidth="1"/>
    <col min="12" max="12" width="5.625" style="3" bestFit="1" customWidth="1"/>
    <col min="13" max="13" width="16.25" style="3" customWidth="1"/>
    <col min="14" max="14" width="5.625" style="3" bestFit="1" customWidth="1"/>
    <col min="15" max="15" width="16.25" style="3" customWidth="1"/>
    <col min="16" max="16" width="5.625" style="3" bestFit="1" customWidth="1"/>
    <col min="17" max="17" width="16.25" style="3" customWidth="1"/>
    <col min="18" max="18" width="5.625" style="3" bestFit="1" customWidth="1"/>
    <col min="19" max="19" width="23.875" style="3" bestFit="1" customWidth="1"/>
    <col min="20" max="20" width="16.25" style="3" customWidth="1"/>
    <col min="21" max="21" width="24.125" style="3" customWidth="1"/>
    <col min="22" max="22" width="19.875" style="3" bestFit="1" customWidth="1"/>
    <col min="23" max="23" width="25" style="3" bestFit="1" customWidth="1"/>
    <col min="24" max="24" width="13.125" style="3" bestFit="1" customWidth="1"/>
    <col min="25" max="16384" width="9" style="3"/>
  </cols>
  <sheetData>
    <row r="1" spans="1:24" ht="13.5" customHeight="1" x14ac:dyDescent="0.4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6" t="s">
        <v>0</v>
      </c>
      <c r="O1" s="36"/>
      <c r="P1" s="36"/>
      <c r="Q1" s="36"/>
      <c r="R1" s="36"/>
      <c r="S1" s="36"/>
      <c r="T1" s="36"/>
      <c r="U1" s="36"/>
      <c r="V1" s="36"/>
      <c r="W1" s="36"/>
      <c r="X1" s="37"/>
    </row>
    <row r="2" spans="1:24" ht="99" customHeight="1" x14ac:dyDescent="0.4">
      <c r="A2" s="42" t="s">
        <v>1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38"/>
      <c r="O2" s="38"/>
      <c r="P2" s="38"/>
      <c r="Q2" s="38"/>
      <c r="R2" s="38"/>
      <c r="S2" s="38"/>
      <c r="T2" s="38"/>
      <c r="U2" s="38"/>
      <c r="V2" s="38"/>
      <c r="W2" s="38"/>
      <c r="X2" s="39"/>
    </row>
    <row r="3" spans="1:24" ht="39" customHeight="1" x14ac:dyDescent="0.4">
      <c r="A3" s="44" t="s">
        <v>2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0"/>
      <c r="O3" s="40"/>
      <c r="P3" s="40"/>
      <c r="Q3" s="40"/>
      <c r="R3" s="40"/>
      <c r="S3" s="40"/>
      <c r="T3" s="40"/>
      <c r="U3" s="40"/>
      <c r="V3" s="40"/>
      <c r="W3" s="40"/>
      <c r="X3" s="41"/>
    </row>
    <row r="4" spans="1:24" s="10" customFormat="1" ht="13.5" customHeight="1" x14ac:dyDescent="0.4">
      <c r="A4" s="4" t="s">
        <v>3</v>
      </c>
      <c r="B4" s="4" t="s">
        <v>4</v>
      </c>
      <c r="C4" s="4"/>
      <c r="D4" s="4"/>
      <c r="E4" s="5"/>
      <c r="F4" s="6"/>
      <c r="G4" s="7" t="s">
        <v>5</v>
      </c>
      <c r="H4" s="4" t="s">
        <v>6</v>
      </c>
      <c r="I4" s="4" t="s">
        <v>7</v>
      </c>
      <c r="J4" s="4" t="s">
        <v>8</v>
      </c>
      <c r="K4" s="8" t="s">
        <v>9</v>
      </c>
      <c r="L4" s="7" t="s">
        <v>5</v>
      </c>
      <c r="M4" s="8" t="s">
        <v>10</v>
      </c>
      <c r="N4" s="7" t="s">
        <v>5</v>
      </c>
      <c r="O4" s="8" t="s">
        <v>11</v>
      </c>
      <c r="P4" s="7" t="s">
        <v>5</v>
      </c>
      <c r="Q4" s="8" t="s">
        <v>12</v>
      </c>
      <c r="R4" s="7" t="s">
        <v>5</v>
      </c>
      <c r="S4" s="4" t="s">
        <v>13</v>
      </c>
      <c r="T4" s="4" t="s">
        <v>14</v>
      </c>
      <c r="U4" s="9" t="s">
        <v>15</v>
      </c>
      <c r="V4" s="4" t="s">
        <v>16</v>
      </c>
      <c r="W4" s="4" t="s">
        <v>17</v>
      </c>
      <c r="X4" s="4" t="s">
        <v>18</v>
      </c>
    </row>
    <row r="5" spans="1:24" ht="13.5" customHeight="1" x14ac:dyDescent="0.4">
      <c r="A5" s="11" t="s">
        <v>19</v>
      </c>
      <c r="B5" s="11" t="s">
        <v>20</v>
      </c>
      <c r="C5" s="11" t="s">
        <v>21</v>
      </c>
      <c r="D5" s="11" t="s">
        <v>22</v>
      </c>
      <c r="E5" s="12" t="s">
        <v>23</v>
      </c>
      <c r="F5" s="13" t="s">
        <v>24</v>
      </c>
      <c r="G5" s="14" t="s">
        <v>25</v>
      </c>
      <c r="H5" s="15" t="s">
        <v>26</v>
      </c>
      <c r="I5" s="15" t="s">
        <v>27</v>
      </c>
      <c r="J5" s="15" t="s">
        <v>28</v>
      </c>
      <c r="K5" s="16" t="s">
        <v>29</v>
      </c>
      <c r="L5" s="14" t="s">
        <v>25</v>
      </c>
      <c r="M5" s="16" t="s">
        <v>30</v>
      </c>
      <c r="N5" s="14" t="s">
        <v>25</v>
      </c>
      <c r="O5" s="16" t="s">
        <v>31</v>
      </c>
      <c r="P5" s="14" t="s">
        <v>25</v>
      </c>
      <c r="Q5" s="16" t="s">
        <v>32</v>
      </c>
      <c r="R5" s="14" t="s">
        <v>25</v>
      </c>
      <c r="S5" s="17" t="s">
        <v>33</v>
      </c>
      <c r="T5" s="17" t="s">
        <v>34</v>
      </c>
      <c r="U5" s="11" t="s">
        <v>35</v>
      </c>
      <c r="V5" s="17" t="s">
        <v>36</v>
      </c>
      <c r="W5" s="17" t="s">
        <v>37</v>
      </c>
      <c r="X5" s="17" t="s">
        <v>38</v>
      </c>
    </row>
    <row r="6" spans="1:24" ht="13.5" customHeight="1" x14ac:dyDescent="0.15">
      <c r="A6" s="18"/>
      <c r="B6" s="18"/>
      <c r="C6" s="18"/>
      <c r="D6" s="18"/>
      <c r="E6" s="19"/>
      <c r="F6" s="20"/>
      <c r="G6" s="21"/>
      <c r="H6" s="22"/>
      <c r="I6" s="22"/>
      <c r="J6" s="22" t="s">
        <v>39</v>
      </c>
      <c r="K6" s="23" t="s">
        <v>40</v>
      </c>
      <c r="L6" s="24"/>
      <c r="M6" s="23" t="s">
        <v>40</v>
      </c>
      <c r="N6" s="24"/>
      <c r="O6" s="23" t="s">
        <v>40</v>
      </c>
      <c r="P6" s="24"/>
      <c r="Q6" s="23" t="s">
        <v>40</v>
      </c>
      <c r="R6" s="24"/>
      <c r="S6" s="23" t="s">
        <v>40</v>
      </c>
      <c r="T6" s="22" t="s">
        <v>41</v>
      </c>
      <c r="U6" s="22" t="s">
        <v>41</v>
      </c>
      <c r="V6" s="23" t="s">
        <v>40</v>
      </c>
      <c r="W6" s="23" t="s">
        <v>40</v>
      </c>
      <c r="X6" s="22"/>
    </row>
    <row r="7" spans="1:24" s="35" customFormat="1" ht="13.5" customHeight="1" x14ac:dyDescent="0.15">
      <c r="A7" s="25" t="s">
        <v>1102</v>
      </c>
      <c r="B7" s="25" t="s">
        <v>42</v>
      </c>
      <c r="C7" s="25" t="s">
        <v>1033</v>
      </c>
      <c r="D7" s="25" t="s">
        <v>1034</v>
      </c>
      <c r="E7" s="26" t="s">
        <v>45</v>
      </c>
      <c r="F7" s="27" t="s">
        <v>45</v>
      </c>
      <c r="G7" s="28" t="s">
        <v>45</v>
      </c>
      <c r="H7" s="29"/>
      <c r="I7" s="29" t="s">
        <v>46</v>
      </c>
      <c r="J7" s="30">
        <v>10</v>
      </c>
      <c r="K7" s="31">
        <f>2276</f>
        <v>2276</v>
      </c>
      <c r="L7" s="32" t="s">
        <v>995</v>
      </c>
      <c r="M7" s="31">
        <f>2474.5</f>
        <v>2474.5</v>
      </c>
      <c r="N7" s="32" t="s">
        <v>1017</v>
      </c>
      <c r="O7" s="31">
        <f>2274.5</f>
        <v>2274.5</v>
      </c>
      <c r="P7" s="32" t="s">
        <v>995</v>
      </c>
      <c r="Q7" s="31">
        <f>2448.5</f>
        <v>2448.5</v>
      </c>
      <c r="R7" s="32" t="s">
        <v>893</v>
      </c>
      <c r="S7" s="33">
        <f>2411.48</f>
        <v>2411.48</v>
      </c>
      <c r="T7" s="30">
        <f>34900540</f>
        <v>34900540</v>
      </c>
      <c r="U7" s="30">
        <f>23982380</f>
        <v>23982380</v>
      </c>
      <c r="V7" s="30">
        <f>84398280195</f>
        <v>84398280195</v>
      </c>
      <c r="W7" s="30">
        <f>57994597930</f>
        <v>57994597930</v>
      </c>
      <c r="X7" s="34">
        <f>22</f>
        <v>22</v>
      </c>
    </row>
    <row r="8" spans="1:24" ht="13.5" customHeight="1" x14ac:dyDescent="0.15">
      <c r="A8" s="25" t="s">
        <v>1102</v>
      </c>
      <c r="B8" s="25" t="s">
        <v>47</v>
      </c>
      <c r="C8" s="25" t="s">
        <v>48</v>
      </c>
      <c r="D8" s="25" t="s">
        <v>49</v>
      </c>
      <c r="E8" s="26" t="s">
        <v>45</v>
      </c>
      <c r="F8" s="27" t="s">
        <v>45</v>
      </c>
      <c r="G8" s="28" t="s">
        <v>45</v>
      </c>
      <c r="H8" s="29"/>
      <c r="I8" s="29" t="s">
        <v>46</v>
      </c>
      <c r="J8" s="30">
        <v>10</v>
      </c>
      <c r="K8" s="31">
        <f>2253.5</f>
        <v>2253.5</v>
      </c>
      <c r="L8" s="32" t="s">
        <v>995</v>
      </c>
      <c r="M8" s="31">
        <f>2447.5</f>
        <v>2447.5</v>
      </c>
      <c r="N8" s="32" t="s">
        <v>1017</v>
      </c>
      <c r="O8" s="31">
        <f>2248</f>
        <v>2248</v>
      </c>
      <c r="P8" s="32" t="s">
        <v>995</v>
      </c>
      <c r="Q8" s="31">
        <f>2419.5</f>
        <v>2419.5</v>
      </c>
      <c r="R8" s="32" t="s">
        <v>893</v>
      </c>
      <c r="S8" s="33">
        <f>2384.52</f>
        <v>2384.52</v>
      </c>
      <c r="T8" s="30">
        <f>67897200</f>
        <v>67897200</v>
      </c>
      <c r="U8" s="30">
        <f>8047320</f>
        <v>8047320</v>
      </c>
      <c r="V8" s="30">
        <f>162062770045</f>
        <v>162062770045</v>
      </c>
      <c r="W8" s="30">
        <f>19297055450</f>
        <v>19297055450</v>
      </c>
      <c r="X8" s="34">
        <f>22</f>
        <v>22</v>
      </c>
    </row>
    <row r="9" spans="1:24" ht="13.5" customHeight="1" x14ac:dyDescent="0.15">
      <c r="A9" s="25" t="s">
        <v>1102</v>
      </c>
      <c r="B9" s="25" t="s">
        <v>50</v>
      </c>
      <c r="C9" s="25" t="s">
        <v>51</v>
      </c>
      <c r="D9" s="25" t="s">
        <v>52</v>
      </c>
      <c r="E9" s="26" t="s">
        <v>45</v>
      </c>
      <c r="F9" s="27" t="s">
        <v>45</v>
      </c>
      <c r="G9" s="28" t="s">
        <v>45</v>
      </c>
      <c r="H9" s="29"/>
      <c r="I9" s="29" t="s">
        <v>46</v>
      </c>
      <c r="J9" s="30">
        <v>100</v>
      </c>
      <c r="K9" s="31">
        <f>2225</f>
        <v>2225</v>
      </c>
      <c r="L9" s="32" t="s">
        <v>995</v>
      </c>
      <c r="M9" s="31">
        <f>2418</f>
        <v>2418</v>
      </c>
      <c r="N9" s="32" t="s">
        <v>1017</v>
      </c>
      <c r="O9" s="31">
        <f>2225</f>
        <v>2225</v>
      </c>
      <c r="P9" s="32" t="s">
        <v>995</v>
      </c>
      <c r="Q9" s="31">
        <f>2405</f>
        <v>2405</v>
      </c>
      <c r="R9" s="32" t="s">
        <v>893</v>
      </c>
      <c r="S9" s="33">
        <f>2357.89</f>
        <v>2357.89</v>
      </c>
      <c r="T9" s="30">
        <f>27718400</f>
        <v>27718400</v>
      </c>
      <c r="U9" s="30">
        <f>9910400</f>
        <v>9910400</v>
      </c>
      <c r="V9" s="30">
        <f>64986470876</f>
        <v>64986470876</v>
      </c>
      <c r="W9" s="30">
        <f>23265873926</f>
        <v>23265873926</v>
      </c>
      <c r="X9" s="34">
        <f>22</f>
        <v>22</v>
      </c>
    </row>
    <row r="10" spans="1:24" ht="13.5" customHeight="1" x14ac:dyDescent="0.15">
      <c r="A10" s="25" t="s">
        <v>1102</v>
      </c>
      <c r="B10" s="25" t="s">
        <v>53</v>
      </c>
      <c r="C10" s="25" t="s">
        <v>54</v>
      </c>
      <c r="D10" s="25" t="s">
        <v>55</v>
      </c>
      <c r="E10" s="26" t="s">
        <v>45</v>
      </c>
      <c r="F10" s="27" t="s">
        <v>45</v>
      </c>
      <c r="G10" s="28" t="s">
        <v>45</v>
      </c>
      <c r="H10" s="29"/>
      <c r="I10" s="29" t="s">
        <v>46</v>
      </c>
      <c r="J10" s="30">
        <v>1</v>
      </c>
      <c r="K10" s="31">
        <f>38500</f>
        <v>38500</v>
      </c>
      <c r="L10" s="32" t="s">
        <v>995</v>
      </c>
      <c r="M10" s="31">
        <f>39740</f>
        <v>39740</v>
      </c>
      <c r="N10" s="32" t="s">
        <v>790</v>
      </c>
      <c r="O10" s="31">
        <f>38060</f>
        <v>38060</v>
      </c>
      <c r="P10" s="32" t="s">
        <v>78</v>
      </c>
      <c r="Q10" s="31">
        <f>38840</f>
        <v>38840</v>
      </c>
      <c r="R10" s="32" t="s">
        <v>893</v>
      </c>
      <c r="S10" s="33">
        <f>38630</f>
        <v>38630</v>
      </c>
      <c r="T10" s="30">
        <f>3512</f>
        <v>3512</v>
      </c>
      <c r="U10" s="30" t="str">
        <f>"－"</f>
        <v>－</v>
      </c>
      <c r="V10" s="30">
        <f>135950470</f>
        <v>135950470</v>
      </c>
      <c r="W10" s="30" t="str">
        <f>"－"</f>
        <v>－</v>
      </c>
      <c r="X10" s="34">
        <f>22</f>
        <v>22</v>
      </c>
    </row>
    <row r="11" spans="1:24" ht="13.5" customHeight="1" x14ac:dyDescent="0.15">
      <c r="A11" s="25" t="s">
        <v>1102</v>
      </c>
      <c r="B11" s="25" t="s">
        <v>57</v>
      </c>
      <c r="C11" s="25" t="s">
        <v>58</v>
      </c>
      <c r="D11" s="25" t="s">
        <v>59</v>
      </c>
      <c r="E11" s="26" t="s">
        <v>45</v>
      </c>
      <c r="F11" s="27" t="s">
        <v>45</v>
      </c>
      <c r="G11" s="28" t="s">
        <v>45</v>
      </c>
      <c r="H11" s="29"/>
      <c r="I11" s="29" t="s">
        <v>46</v>
      </c>
      <c r="J11" s="30">
        <v>10</v>
      </c>
      <c r="K11" s="31">
        <f>1077</f>
        <v>1077</v>
      </c>
      <c r="L11" s="32" t="s">
        <v>995</v>
      </c>
      <c r="M11" s="31">
        <f>1180</f>
        <v>1180</v>
      </c>
      <c r="N11" s="32" t="s">
        <v>876</v>
      </c>
      <c r="O11" s="31">
        <f>1065.5</f>
        <v>1065.5</v>
      </c>
      <c r="P11" s="32" t="s">
        <v>995</v>
      </c>
      <c r="Q11" s="31">
        <f>1166.5</f>
        <v>1166.5</v>
      </c>
      <c r="R11" s="32" t="s">
        <v>893</v>
      </c>
      <c r="S11" s="33">
        <f>1145.91</f>
        <v>1145.9100000000001</v>
      </c>
      <c r="T11" s="30">
        <f>353900</f>
        <v>353900</v>
      </c>
      <c r="U11" s="30" t="str">
        <f>"－"</f>
        <v>－</v>
      </c>
      <c r="V11" s="30">
        <f>405850615</f>
        <v>405850615</v>
      </c>
      <c r="W11" s="30" t="str">
        <f>"－"</f>
        <v>－</v>
      </c>
      <c r="X11" s="34">
        <f>22</f>
        <v>22</v>
      </c>
    </row>
    <row r="12" spans="1:24" ht="13.5" customHeight="1" x14ac:dyDescent="0.15">
      <c r="A12" s="25" t="s">
        <v>1102</v>
      </c>
      <c r="B12" s="25" t="s">
        <v>66</v>
      </c>
      <c r="C12" s="25" t="s">
        <v>67</v>
      </c>
      <c r="D12" s="25" t="s">
        <v>68</v>
      </c>
      <c r="E12" s="26" t="s">
        <v>45</v>
      </c>
      <c r="F12" s="27" t="s">
        <v>45</v>
      </c>
      <c r="G12" s="28" t="s">
        <v>45</v>
      </c>
      <c r="H12" s="29"/>
      <c r="I12" s="29" t="s">
        <v>46</v>
      </c>
      <c r="J12" s="30">
        <v>1000</v>
      </c>
      <c r="K12" s="31">
        <f>372</f>
        <v>372</v>
      </c>
      <c r="L12" s="32" t="s">
        <v>995</v>
      </c>
      <c r="M12" s="31">
        <f>389.5</f>
        <v>389.5</v>
      </c>
      <c r="N12" s="32" t="s">
        <v>1005</v>
      </c>
      <c r="O12" s="31">
        <f>369.1</f>
        <v>369.1</v>
      </c>
      <c r="P12" s="32" t="s">
        <v>1002</v>
      </c>
      <c r="Q12" s="31">
        <f>376</f>
        <v>376</v>
      </c>
      <c r="R12" s="32" t="s">
        <v>1017</v>
      </c>
      <c r="S12" s="33">
        <f>376.81</f>
        <v>376.81</v>
      </c>
      <c r="T12" s="30">
        <f>245000</f>
        <v>245000</v>
      </c>
      <c r="U12" s="30" t="str">
        <f>"－"</f>
        <v>－</v>
      </c>
      <c r="V12" s="30">
        <f>92680800</f>
        <v>92680800</v>
      </c>
      <c r="W12" s="30" t="str">
        <f>"－"</f>
        <v>－</v>
      </c>
      <c r="X12" s="34">
        <f>20</f>
        <v>20</v>
      </c>
    </row>
    <row r="13" spans="1:24" ht="13.5" customHeight="1" x14ac:dyDescent="0.15">
      <c r="A13" s="25" t="s">
        <v>1102</v>
      </c>
      <c r="B13" s="25" t="s">
        <v>69</v>
      </c>
      <c r="C13" s="25" t="s">
        <v>1035</v>
      </c>
      <c r="D13" s="25" t="s">
        <v>1036</v>
      </c>
      <c r="E13" s="26" t="s">
        <v>45</v>
      </c>
      <c r="F13" s="27" t="s">
        <v>45</v>
      </c>
      <c r="G13" s="28" t="s">
        <v>45</v>
      </c>
      <c r="H13" s="29"/>
      <c r="I13" s="29" t="s">
        <v>46</v>
      </c>
      <c r="J13" s="30">
        <v>1</v>
      </c>
      <c r="K13" s="31">
        <f>32180</f>
        <v>32180</v>
      </c>
      <c r="L13" s="32" t="s">
        <v>995</v>
      </c>
      <c r="M13" s="31">
        <f>35230</f>
        <v>35230</v>
      </c>
      <c r="N13" s="32" t="s">
        <v>790</v>
      </c>
      <c r="O13" s="31">
        <f>32140</f>
        <v>32140</v>
      </c>
      <c r="P13" s="32" t="s">
        <v>995</v>
      </c>
      <c r="Q13" s="31">
        <f>34640</f>
        <v>34640</v>
      </c>
      <c r="R13" s="32" t="s">
        <v>893</v>
      </c>
      <c r="S13" s="33">
        <f>34144.09</f>
        <v>34144.089999999997</v>
      </c>
      <c r="T13" s="30">
        <f>1837883</f>
        <v>1837883</v>
      </c>
      <c r="U13" s="30">
        <f>212848</f>
        <v>212848</v>
      </c>
      <c r="V13" s="30">
        <f>62970698379</f>
        <v>62970698379</v>
      </c>
      <c r="W13" s="30">
        <f>7406307909</f>
        <v>7406307909</v>
      </c>
      <c r="X13" s="34">
        <f>22</f>
        <v>22</v>
      </c>
    </row>
    <row r="14" spans="1:24" ht="13.5" customHeight="1" x14ac:dyDescent="0.15">
      <c r="A14" s="25" t="s">
        <v>1102</v>
      </c>
      <c r="B14" s="25" t="s">
        <v>72</v>
      </c>
      <c r="C14" s="25" t="s">
        <v>73</v>
      </c>
      <c r="D14" s="25" t="s">
        <v>74</v>
      </c>
      <c r="E14" s="26" t="s">
        <v>45</v>
      </c>
      <c r="F14" s="27" t="s">
        <v>45</v>
      </c>
      <c r="G14" s="28" t="s">
        <v>45</v>
      </c>
      <c r="H14" s="29"/>
      <c r="I14" s="29" t="s">
        <v>46</v>
      </c>
      <c r="J14" s="30">
        <v>1</v>
      </c>
      <c r="K14" s="31">
        <f>32270</f>
        <v>32270</v>
      </c>
      <c r="L14" s="32" t="s">
        <v>995</v>
      </c>
      <c r="M14" s="31">
        <f>35330</f>
        <v>35330</v>
      </c>
      <c r="N14" s="32" t="s">
        <v>790</v>
      </c>
      <c r="O14" s="31">
        <f>32240</f>
        <v>32240</v>
      </c>
      <c r="P14" s="32" t="s">
        <v>995</v>
      </c>
      <c r="Q14" s="31">
        <f>34740</f>
        <v>34740</v>
      </c>
      <c r="R14" s="32" t="s">
        <v>893</v>
      </c>
      <c r="S14" s="33">
        <f>34238.18</f>
        <v>34238.18</v>
      </c>
      <c r="T14" s="30">
        <f>10288943</f>
        <v>10288943</v>
      </c>
      <c r="U14" s="30">
        <f>212461</f>
        <v>212461</v>
      </c>
      <c r="V14" s="30">
        <f>352029016638</f>
        <v>352029016638</v>
      </c>
      <c r="W14" s="30">
        <f>7221429758</f>
        <v>7221429758</v>
      </c>
      <c r="X14" s="34">
        <f>22</f>
        <v>22</v>
      </c>
    </row>
    <row r="15" spans="1:24" ht="13.5" customHeight="1" x14ac:dyDescent="0.15">
      <c r="A15" s="25" t="s">
        <v>1102</v>
      </c>
      <c r="B15" s="25" t="s">
        <v>75</v>
      </c>
      <c r="C15" s="25" t="s">
        <v>76</v>
      </c>
      <c r="D15" s="25" t="s">
        <v>77</v>
      </c>
      <c r="E15" s="26" t="s">
        <v>45</v>
      </c>
      <c r="F15" s="27" t="s">
        <v>45</v>
      </c>
      <c r="G15" s="28" t="s">
        <v>45</v>
      </c>
      <c r="H15" s="29"/>
      <c r="I15" s="29" t="s">
        <v>46</v>
      </c>
      <c r="J15" s="30">
        <v>10</v>
      </c>
      <c r="K15" s="31">
        <f>7620</f>
        <v>7620</v>
      </c>
      <c r="L15" s="32" t="s">
        <v>995</v>
      </c>
      <c r="M15" s="31">
        <f>7850</f>
        <v>7850</v>
      </c>
      <c r="N15" s="32" t="s">
        <v>790</v>
      </c>
      <c r="O15" s="31">
        <f>7350</f>
        <v>7350</v>
      </c>
      <c r="P15" s="32" t="s">
        <v>787</v>
      </c>
      <c r="Q15" s="31">
        <f>7627</f>
        <v>7627</v>
      </c>
      <c r="R15" s="32" t="s">
        <v>893</v>
      </c>
      <c r="S15" s="33">
        <f>7598.05</f>
        <v>7598.05</v>
      </c>
      <c r="T15" s="30">
        <f>16920</f>
        <v>16920</v>
      </c>
      <c r="U15" s="30">
        <f>40</f>
        <v>40</v>
      </c>
      <c r="V15" s="30">
        <f>128967550</f>
        <v>128967550</v>
      </c>
      <c r="W15" s="30">
        <f>303270</f>
        <v>303270</v>
      </c>
      <c r="X15" s="34">
        <f>22</f>
        <v>22</v>
      </c>
    </row>
    <row r="16" spans="1:24" ht="13.5" customHeight="1" x14ac:dyDescent="0.15">
      <c r="A16" s="25" t="s">
        <v>1102</v>
      </c>
      <c r="B16" s="25" t="s">
        <v>79</v>
      </c>
      <c r="C16" s="25" t="s">
        <v>926</v>
      </c>
      <c r="D16" s="25" t="s">
        <v>927</v>
      </c>
      <c r="E16" s="26" t="s">
        <v>45</v>
      </c>
      <c r="F16" s="27" t="s">
        <v>45</v>
      </c>
      <c r="G16" s="28" t="s">
        <v>45</v>
      </c>
      <c r="H16" s="29"/>
      <c r="I16" s="29" t="s">
        <v>46</v>
      </c>
      <c r="J16" s="30">
        <v>100</v>
      </c>
      <c r="K16" s="31" t="str">
        <f>"－"</f>
        <v>－</v>
      </c>
      <c r="L16" s="32"/>
      <c r="M16" s="31" t="str">
        <f>"－"</f>
        <v>－</v>
      </c>
      <c r="N16" s="32"/>
      <c r="O16" s="31" t="str">
        <f>"－"</f>
        <v>－</v>
      </c>
      <c r="P16" s="32"/>
      <c r="Q16" s="31" t="str">
        <f>"－"</f>
        <v>－</v>
      </c>
      <c r="R16" s="32"/>
      <c r="S16" s="33" t="str">
        <f t="shared" ref="S16:X16" si="0">"－"</f>
        <v>－</v>
      </c>
      <c r="T16" s="30" t="str">
        <f t="shared" si="0"/>
        <v>－</v>
      </c>
      <c r="U16" s="30" t="str">
        <f t="shared" si="0"/>
        <v>－</v>
      </c>
      <c r="V16" s="30" t="str">
        <f t="shared" si="0"/>
        <v>－</v>
      </c>
      <c r="W16" s="30" t="str">
        <f t="shared" si="0"/>
        <v>－</v>
      </c>
      <c r="X16" s="34" t="str">
        <f t="shared" si="0"/>
        <v>－</v>
      </c>
    </row>
    <row r="17" spans="1:24" ht="13.5" customHeight="1" x14ac:dyDescent="0.15">
      <c r="A17" s="25" t="s">
        <v>1102</v>
      </c>
      <c r="B17" s="25" t="s">
        <v>81</v>
      </c>
      <c r="C17" s="25" t="s">
        <v>82</v>
      </c>
      <c r="D17" s="25" t="s">
        <v>83</v>
      </c>
      <c r="E17" s="26" t="s">
        <v>45</v>
      </c>
      <c r="F17" s="27" t="s">
        <v>45</v>
      </c>
      <c r="G17" s="28" t="s">
        <v>45</v>
      </c>
      <c r="H17" s="29"/>
      <c r="I17" s="29" t="s">
        <v>46</v>
      </c>
      <c r="J17" s="30">
        <v>100</v>
      </c>
      <c r="K17" s="31">
        <f>204</f>
        <v>204</v>
      </c>
      <c r="L17" s="32" t="s">
        <v>995</v>
      </c>
      <c r="M17" s="31">
        <f>239.5</f>
        <v>239.5</v>
      </c>
      <c r="N17" s="32" t="s">
        <v>893</v>
      </c>
      <c r="O17" s="31">
        <f>202</f>
        <v>202</v>
      </c>
      <c r="P17" s="32" t="s">
        <v>995</v>
      </c>
      <c r="Q17" s="31">
        <f>239.5</f>
        <v>239.5</v>
      </c>
      <c r="R17" s="32" t="s">
        <v>893</v>
      </c>
      <c r="S17" s="33">
        <f>224.15</f>
        <v>224.15</v>
      </c>
      <c r="T17" s="30">
        <f>1066300</f>
        <v>1066300</v>
      </c>
      <c r="U17" s="30">
        <f>700</f>
        <v>700</v>
      </c>
      <c r="V17" s="30">
        <f>238672030</f>
        <v>238672030</v>
      </c>
      <c r="W17" s="30">
        <f>158660</f>
        <v>158660</v>
      </c>
      <c r="X17" s="34">
        <f>22</f>
        <v>22</v>
      </c>
    </row>
    <row r="18" spans="1:24" ht="13.5" customHeight="1" x14ac:dyDescent="0.15">
      <c r="A18" s="25" t="s">
        <v>1102</v>
      </c>
      <c r="B18" s="25" t="s">
        <v>84</v>
      </c>
      <c r="C18" s="25" t="s">
        <v>85</v>
      </c>
      <c r="D18" s="25" t="s">
        <v>86</v>
      </c>
      <c r="E18" s="26" t="s">
        <v>45</v>
      </c>
      <c r="F18" s="27" t="s">
        <v>45</v>
      </c>
      <c r="G18" s="28" t="s">
        <v>45</v>
      </c>
      <c r="H18" s="29"/>
      <c r="I18" s="29" t="s">
        <v>46</v>
      </c>
      <c r="J18" s="30">
        <v>1</v>
      </c>
      <c r="K18" s="31">
        <f>25420</f>
        <v>25420</v>
      </c>
      <c r="L18" s="32" t="s">
        <v>995</v>
      </c>
      <c r="M18" s="31">
        <f>25820</f>
        <v>25820</v>
      </c>
      <c r="N18" s="32" t="s">
        <v>790</v>
      </c>
      <c r="O18" s="31">
        <f>25235</f>
        <v>25235</v>
      </c>
      <c r="P18" s="32" t="s">
        <v>1002</v>
      </c>
      <c r="Q18" s="31">
        <f>25630</f>
        <v>25630</v>
      </c>
      <c r="R18" s="32" t="s">
        <v>893</v>
      </c>
      <c r="S18" s="33">
        <f>25496.59</f>
        <v>25496.59</v>
      </c>
      <c r="T18" s="30">
        <f>136749</f>
        <v>136749</v>
      </c>
      <c r="U18" s="30" t="str">
        <f>"－"</f>
        <v>－</v>
      </c>
      <c r="V18" s="30">
        <f>3478355230</f>
        <v>3478355230</v>
      </c>
      <c r="W18" s="30" t="str">
        <f>"－"</f>
        <v>－</v>
      </c>
      <c r="X18" s="34">
        <f>22</f>
        <v>22</v>
      </c>
    </row>
    <row r="19" spans="1:24" ht="13.5" customHeight="1" x14ac:dyDescent="0.15">
      <c r="A19" s="25" t="s">
        <v>1102</v>
      </c>
      <c r="B19" s="25" t="s">
        <v>87</v>
      </c>
      <c r="C19" s="25" t="s">
        <v>88</v>
      </c>
      <c r="D19" s="25" t="s">
        <v>89</v>
      </c>
      <c r="E19" s="26" t="s">
        <v>45</v>
      </c>
      <c r="F19" s="27" t="s">
        <v>45</v>
      </c>
      <c r="G19" s="28" t="s">
        <v>45</v>
      </c>
      <c r="H19" s="29"/>
      <c r="I19" s="29" t="s">
        <v>46</v>
      </c>
      <c r="J19" s="30">
        <v>10</v>
      </c>
      <c r="K19" s="31">
        <f>6789</f>
        <v>6789</v>
      </c>
      <c r="L19" s="32" t="s">
        <v>995</v>
      </c>
      <c r="M19" s="31">
        <f>6898</f>
        <v>6898</v>
      </c>
      <c r="N19" s="32" t="s">
        <v>790</v>
      </c>
      <c r="O19" s="31">
        <f>6742</f>
        <v>6742</v>
      </c>
      <c r="P19" s="32" t="s">
        <v>1002</v>
      </c>
      <c r="Q19" s="31">
        <f>6839</f>
        <v>6839</v>
      </c>
      <c r="R19" s="32" t="s">
        <v>893</v>
      </c>
      <c r="S19" s="33">
        <f>6811.36</f>
        <v>6811.36</v>
      </c>
      <c r="T19" s="30">
        <f>240510</f>
        <v>240510</v>
      </c>
      <c r="U19" s="30">
        <f>410</f>
        <v>410</v>
      </c>
      <c r="V19" s="30">
        <f>1633861390</f>
        <v>1633861390</v>
      </c>
      <c r="W19" s="30">
        <f>2800430</f>
        <v>2800430</v>
      </c>
      <c r="X19" s="34">
        <f>22</f>
        <v>22</v>
      </c>
    </row>
    <row r="20" spans="1:24" ht="13.5" customHeight="1" x14ac:dyDescent="0.15">
      <c r="A20" s="25" t="s">
        <v>1102</v>
      </c>
      <c r="B20" s="25" t="s">
        <v>90</v>
      </c>
      <c r="C20" s="25" t="s">
        <v>91</v>
      </c>
      <c r="D20" s="25" t="s">
        <v>92</v>
      </c>
      <c r="E20" s="26" t="s">
        <v>45</v>
      </c>
      <c r="F20" s="27" t="s">
        <v>45</v>
      </c>
      <c r="G20" s="28" t="s">
        <v>45</v>
      </c>
      <c r="H20" s="29"/>
      <c r="I20" s="29" t="s">
        <v>46</v>
      </c>
      <c r="J20" s="30">
        <v>1</v>
      </c>
      <c r="K20" s="31">
        <f>32150</f>
        <v>32150</v>
      </c>
      <c r="L20" s="32" t="s">
        <v>995</v>
      </c>
      <c r="M20" s="31">
        <f>35210</f>
        <v>35210</v>
      </c>
      <c r="N20" s="32" t="s">
        <v>790</v>
      </c>
      <c r="O20" s="31">
        <f>32130</f>
        <v>32130</v>
      </c>
      <c r="P20" s="32" t="s">
        <v>995</v>
      </c>
      <c r="Q20" s="31">
        <f>34630</f>
        <v>34630</v>
      </c>
      <c r="R20" s="32" t="s">
        <v>893</v>
      </c>
      <c r="S20" s="33">
        <f>34117.73</f>
        <v>34117.730000000003</v>
      </c>
      <c r="T20" s="30">
        <f>2233483</f>
        <v>2233483</v>
      </c>
      <c r="U20" s="30">
        <f>1300849</f>
        <v>1300849</v>
      </c>
      <c r="V20" s="30">
        <f>76398171068</f>
        <v>76398171068</v>
      </c>
      <c r="W20" s="30">
        <f>44563377508</f>
        <v>44563377508</v>
      </c>
      <c r="X20" s="34">
        <f>22</f>
        <v>22</v>
      </c>
    </row>
    <row r="21" spans="1:24" ht="13.5" customHeight="1" x14ac:dyDescent="0.15">
      <c r="A21" s="25" t="s">
        <v>1102</v>
      </c>
      <c r="B21" s="25" t="s">
        <v>93</v>
      </c>
      <c r="C21" s="25" t="s">
        <v>94</v>
      </c>
      <c r="D21" s="25" t="s">
        <v>95</v>
      </c>
      <c r="E21" s="26" t="s">
        <v>45</v>
      </c>
      <c r="F21" s="27" t="s">
        <v>45</v>
      </c>
      <c r="G21" s="28" t="s">
        <v>45</v>
      </c>
      <c r="H21" s="29"/>
      <c r="I21" s="29" t="s">
        <v>46</v>
      </c>
      <c r="J21" s="30">
        <v>10</v>
      </c>
      <c r="K21" s="31">
        <f>32300</f>
        <v>32300</v>
      </c>
      <c r="L21" s="32" t="s">
        <v>995</v>
      </c>
      <c r="M21" s="31">
        <f>35360</f>
        <v>35360</v>
      </c>
      <c r="N21" s="32" t="s">
        <v>790</v>
      </c>
      <c r="O21" s="31">
        <f>32260</f>
        <v>32260</v>
      </c>
      <c r="P21" s="32" t="s">
        <v>995</v>
      </c>
      <c r="Q21" s="31">
        <f>34760</f>
        <v>34760</v>
      </c>
      <c r="R21" s="32" t="s">
        <v>893</v>
      </c>
      <c r="S21" s="33">
        <f>34261.36</f>
        <v>34261.360000000001</v>
      </c>
      <c r="T21" s="30">
        <f>1116290</f>
        <v>1116290</v>
      </c>
      <c r="U21" s="30">
        <f>118320</f>
        <v>118320</v>
      </c>
      <c r="V21" s="30">
        <f>38274593200</f>
        <v>38274593200</v>
      </c>
      <c r="W21" s="30">
        <f>4061055800</f>
        <v>4061055800</v>
      </c>
      <c r="X21" s="34">
        <f>22</f>
        <v>22</v>
      </c>
    </row>
    <row r="22" spans="1:24" ht="13.5" customHeight="1" x14ac:dyDescent="0.15">
      <c r="A22" s="25" t="s">
        <v>1102</v>
      </c>
      <c r="B22" s="25" t="s">
        <v>96</v>
      </c>
      <c r="C22" s="25" t="s">
        <v>97</v>
      </c>
      <c r="D22" s="25" t="s">
        <v>98</v>
      </c>
      <c r="E22" s="26" t="s">
        <v>45</v>
      </c>
      <c r="F22" s="27" t="s">
        <v>45</v>
      </c>
      <c r="G22" s="28" t="s">
        <v>45</v>
      </c>
      <c r="H22" s="29"/>
      <c r="I22" s="29" t="s">
        <v>46</v>
      </c>
      <c r="J22" s="30">
        <v>10</v>
      </c>
      <c r="K22" s="31">
        <f>1985</f>
        <v>1985</v>
      </c>
      <c r="L22" s="32" t="s">
        <v>995</v>
      </c>
      <c r="M22" s="31">
        <f>2015.5</f>
        <v>2015.5</v>
      </c>
      <c r="N22" s="32" t="s">
        <v>997</v>
      </c>
      <c r="O22" s="31">
        <f>1973</f>
        <v>1973</v>
      </c>
      <c r="P22" s="32" t="s">
        <v>786</v>
      </c>
      <c r="Q22" s="31">
        <f>2002.5</f>
        <v>2002.5</v>
      </c>
      <c r="R22" s="32" t="s">
        <v>893</v>
      </c>
      <c r="S22" s="33">
        <f>1998.5</f>
        <v>1998.5</v>
      </c>
      <c r="T22" s="30">
        <f>10679210</f>
        <v>10679210</v>
      </c>
      <c r="U22" s="30">
        <f>2879620</f>
        <v>2879620</v>
      </c>
      <c r="V22" s="30">
        <f>21357889939</f>
        <v>21357889939</v>
      </c>
      <c r="W22" s="30">
        <f>5763806459</f>
        <v>5763806459</v>
      </c>
      <c r="X22" s="34">
        <f>22</f>
        <v>22</v>
      </c>
    </row>
    <row r="23" spans="1:24" ht="13.5" customHeight="1" x14ac:dyDescent="0.15">
      <c r="A23" s="25" t="s">
        <v>1102</v>
      </c>
      <c r="B23" s="25" t="s">
        <v>99</v>
      </c>
      <c r="C23" s="25" t="s">
        <v>100</v>
      </c>
      <c r="D23" s="25" t="s">
        <v>101</v>
      </c>
      <c r="E23" s="26" t="s">
        <v>45</v>
      </c>
      <c r="F23" s="27" t="s">
        <v>45</v>
      </c>
      <c r="G23" s="28" t="s">
        <v>45</v>
      </c>
      <c r="H23" s="29"/>
      <c r="I23" s="29" t="s">
        <v>46</v>
      </c>
      <c r="J23" s="30">
        <v>100</v>
      </c>
      <c r="K23" s="31">
        <f>1889.5</f>
        <v>1889.5</v>
      </c>
      <c r="L23" s="32" t="s">
        <v>995</v>
      </c>
      <c r="M23" s="31">
        <f>1900.5</f>
        <v>1900.5</v>
      </c>
      <c r="N23" s="32" t="s">
        <v>997</v>
      </c>
      <c r="O23" s="31">
        <f>1861</f>
        <v>1861</v>
      </c>
      <c r="P23" s="32" t="s">
        <v>786</v>
      </c>
      <c r="Q23" s="31">
        <f>1892</f>
        <v>1892</v>
      </c>
      <c r="R23" s="32" t="s">
        <v>893</v>
      </c>
      <c r="S23" s="33">
        <f>1885</f>
        <v>1885</v>
      </c>
      <c r="T23" s="30">
        <f>989000</f>
        <v>989000</v>
      </c>
      <c r="U23" s="30">
        <f>100100</f>
        <v>100100</v>
      </c>
      <c r="V23" s="30">
        <f>1865204150</f>
        <v>1865204150</v>
      </c>
      <c r="W23" s="30">
        <f>188490900</f>
        <v>188490900</v>
      </c>
      <c r="X23" s="34">
        <f>22</f>
        <v>22</v>
      </c>
    </row>
    <row r="24" spans="1:24" ht="13.5" customHeight="1" x14ac:dyDescent="0.15">
      <c r="A24" s="25" t="s">
        <v>1102</v>
      </c>
      <c r="B24" s="25" t="s">
        <v>102</v>
      </c>
      <c r="C24" s="25" t="s">
        <v>103</v>
      </c>
      <c r="D24" s="25" t="s">
        <v>104</v>
      </c>
      <c r="E24" s="26" t="s">
        <v>45</v>
      </c>
      <c r="F24" s="27" t="s">
        <v>45</v>
      </c>
      <c r="G24" s="28" t="s">
        <v>45</v>
      </c>
      <c r="H24" s="29"/>
      <c r="I24" s="29" t="s">
        <v>46</v>
      </c>
      <c r="J24" s="30">
        <v>1</v>
      </c>
      <c r="K24" s="31">
        <f>32100</f>
        <v>32100</v>
      </c>
      <c r="L24" s="32" t="s">
        <v>995</v>
      </c>
      <c r="M24" s="31">
        <f>35130</f>
        <v>35130</v>
      </c>
      <c r="N24" s="32" t="s">
        <v>790</v>
      </c>
      <c r="O24" s="31">
        <f>32050</f>
        <v>32050</v>
      </c>
      <c r="P24" s="32" t="s">
        <v>995</v>
      </c>
      <c r="Q24" s="31">
        <f>34550</f>
        <v>34550</v>
      </c>
      <c r="R24" s="32" t="s">
        <v>893</v>
      </c>
      <c r="S24" s="33">
        <f>34046.36</f>
        <v>34046.36</v>
      </c>
      <c r="T24" s="30">
        <f>2475953</f>
        <v>2475953</v>
      </c>
      <c r="U24" s="30">
        <f>1946399</f>
        <v>1946399</v>
      </c>
      <c r="V24" s="30">
        <f>85052598019</f>
        <v>85052598019</v>
      </c>
      <c r="W24" s="30">
        <f>67012607999</f>
        <v>67012607999</v>
      </c>
      <c r="X24" s="34">
        <f>22</f>
        <v>22</v>
      </c>
    </row>
    <row r="25" spans="1:24" ht="13.5" customHeight="1" x14ac:dyDescent="0.15">
      <c r="A25" s="25" t="s">
        <v>1102</v>
      </c>
      <c r="B25" s="25" t="s">
        <v>105</v>
      </c>
      <c r="C25" s="25" t="s">
        <v>106</v>
      </c>
      <c r="D25" s="25" t="s">
        <v>107</v>
      </c>
      <c r="E25" s="26" t="s">
        <v>45</v>
      </c>
      <c r="F25" s="27" t="s">
        <v>45</v>
      </c>
      <c r="G25" s="28" t="s">
        <v>45</v>
      </c>
      <c r="H25" s="29"/>
      <c r="I25" s="29" t="s">
        <v>46</v>
      </c>
      <c r="J25" s="30">
        <v>10</v>
      </c>
      <c r="K25" s="31">
        <f>2225.5</f>
        <v>2225.5</v>
      </c>
      <c r="L25" s="32" t="s">
        <v>995</v>
      </c>
      <c r="M25" s="31">
        <f>2420</f>
        <v>2420</v>
      </c>
      <c r="N25" s="32" t="s">
        <v>1017</v>
      </c>
      <c r="O25" s="31">
        <f>2224</f>
        <v>2224</v>
      </c>
      <c r="P25" s="32" t="s">
        <v>995</v>
      </c>
      <c r="Q25" s="31">
        <f>2394</f>
        <v>2394</v>
      </c>
      <c r="R25" s="32" t="s">
        <v>893</v>
      </c>
      <c r="S25" s="33">
        <f>2357.91</f>
        <v>2357.91</v>
      </c>
      <c r="T25" s="30">
        <f>6759240</f>
        <v>6759240</v>
      </c>
      <c r="U25" s="30">
        <f>1206460</f>
        <v>1206460</v>
      </c>
      <c r="V25" s="30">
        <f>15967999915</f>
        <v>15967999915</v>
      </c>
      <c r="W25" s="30">
        <f>2881050575</f>
        <v>2881050575</v>
      </c>
      <c r="X25" s="34">
        <f>22</f>
        <v>22</v>
      </c>
    </row>
    <row r="26" spans="1:24" ht="13.5" customHeight="1" x14ac:dyDescent="0.15">
      <c r="A26" s="25" t="s">
        <v>1102</v>
      </c>
      <c r="B26" s="25" t="s">
        <v>108</v>
      </c>
      <c r="C26" s="25" t="s">
        <v>109</v>
      </c>
      <c r="D26" s="25" t="s">
        <v>110</v>
      </c>
      <c r="E26" s="26" t="s">
        <v>45</v>
      </c>
      <c r="F26" s="27" t="s">
        <v>45</v>
      </c>
      <c r="G26" s="28" t="s">
        <v>45</v>
      </c>
      <c r="H26" s="29"/>
      <c r="I26" s="29" t="s">
        <v>46</v>
      </c>
      <c r="J26" s="30">
        <v>1</v>
      </c>
      <c r="K26" s="31">
        <f>15000</f>
        <v>15000</v>
      </c>
      <c r="L26" s="32" t="s">
        <v>995</v>
      </c>
      <c r="M26" s="31">
        <f>15435</f>
        <v>15435</v>
      </c>
      <c r="N26" s="32" t="s">
        <v>80</v>
      </c>
      <c r="O26" s="31">
        <f>14985</f>
        <v>14985</v>
      </c>
      <c r="P26" s="32" t="s">
        <v>999</v>
      </c>
      <c r="Q26" s="31">
        <f>15390</f>
        <v>15390</v>
      </c>
      <c r="R26" s="32" t="s">
        <v>893</v>
      </c>
      <c r="S26" s="33">
        <f>15190.25</f>
        <v>15190.25</v>
      </c>
      <c r="T26" s="30">
        <f>914</f>
        <v>914</v>
      </c>
      <c r="U26" s="30" t="str">
        <f>"－"</f>
        <v>－</v>
      </c>
      <c r="V26" s="30">
        <f>13844625</f>
        <v>13844625</v>
      </c>
      <c r="W26" s="30" t="str">
        <f>"－"</f>
        <v>－</v>
      </c>
      <c r="X26" s="34">
        <f>20</f>
        <v>20</v>
      </c>
    </row>
    <row r="27" spans="1:24" ht="13.5" customHeight="1" x14ac:dyDescent="0.15">
      <c r="A27" s="25" t="s">
        <v>1102</v>
      </c>
      <c r="B27" s="25" t="s">
        <v>111</v>
      </c>
      <c r="C27" s="25" t="s">
        <v>112</v>
      </c>
      <c r="D27" s="25" t="s">
        <v>113</v>
      </c>
      <c r="E27" s="26" t="s">
        <v>45</v>
      </c>
      <c r="F27" s="27" t="s">
        <v>45</v>
      </c>
      <c r="G27" s="28" t="s">
        <v>45</v>
      </c>
      <c r="H27" s="29"/>
      <c r="I27" s="29" t="s">
        <v>46</v>
      </c>
      <c r="J27" s="30">
        <v>10</v>
      </c>
      <c r="K27" s="31">
        <f>717.4</f>
        <v>717.4</v>
      </c>
      <c r="L27" s="32" t="s">
        <v>995</v>
      </c>
      <c r="M27" s="31">
        <f>720.3</f>
        <v>720.3</v>
      </c>
      <c r="N27" s="32" t="s">
        <v>995</v>
      </c>
      <c r="O27" s="31">
        <f>602.8</f>
        <v>602.79999999999995</v>
      </c>
      <c r="P27" s="32" t="s">
        <v>1017</v>
      </c>
      <c r="Q27" s="31">
        <f>615.4</f>
        <v>615.4</v>
      </c>
      <c r="R27" s="32" t="s">
        <v>893</v>
      </c>
      <c r="S27" s="33">
        <f>637.44</f>
        <v>637.44000000000005</v>
      </c>
      <c r="T27" s="30">
        <f>23957890</f>
        <v>23957890</v>
      </c>
      <c r="U27" s="30">
        <f>300</f>
        <v>300</v>
      </c>
      <c r="V27" s="30">
        <f>15341256824</f>
        <v>15341256824</v>
      </c>
      <c r="W27" s="30">
        <f>188040</f>
        <v>188040</v>
      </c>
      <c r="X27" s="34">
        <f>22</f>
        <v>22</v>
      </c>
    </row>
    <row r="28" spans="1:24" ht="13.5" customHeight="1" x14ac:dyDescent="0.15">
      <c r="A28" s="25" t="s">
        <v>1102</v>
      </c>
      <c r="B28" s="25" t="s">
        <v>114</v>
      </c>
      <c r="C28" s="25" t="s">
        <v>115</v>
      </c>
      <c r="D28" s="25" t="s">
        <v>116</v>
      </c>
      <c r="E28" s="26" t="s">
        <v>45</v>
      </c>
      <c r="F28" s="27" t="s">
        <v>45</v>
      </c>
      <c r="G28" s="28" t="s">
        <v>45</v>
      </c>
      <c r="H28" s="29"/>
      <c r="I28" s="29" t="s">
        <v>46</v>
      </c>
      <c r="J28" s="30">
        <v>1</v>
      </c>
      <c r="K28" s="31">
        <f>266</f>
        <v>266</v>
      </c>
      <c r="L28" s="32" t="s">
        <v>995</v>
      </c>
      <c r="M28" s="31">
        <f>267</f>
        <v>267</v>
      </c>
      <c r="N28" s="32" t="s">
        <v>995</v>
      </c>
      <c r="O28" s="31">
        <f>220</f>
        <v>220</v>
      </c>
      <c r="P28" s="32" t="s">
        <v>1002</v>
      </c>
      <c r="Q28" s="31">
        <f>227</f>
        <v>227</v>
      </c>
      <c r="R28" s="32" t="s">
        <v>893</v>
      </c>
      <c r="S28" s="33">
        <f>234.91</f>
        <v>234.91</v>
      </c>
      <c r="T28" s="30">
        <f>2307461390</f>
        <v>2307461390</v>
      </c>
      <c r="U28" s="30">
        <f>7468103</f>
        <v>7468103</v>
      </c>
      <c r="V28" s="30">
        <f>543134804302</f>
        <v>543134804302</v>
      </c>
      <c r="W28" s="30">
        <f>1758219809</f>
        <v>1758219809</v>
      </c>
      <c r="X28" s="34">
        <f>22</f>
        <v>22</v>
      </c>
    </row>
    <row r="29" spans="1:24" ht="13.5" customHeight="1" x14ac:dyDescent="0.15">
      <c r="A29" s="25" t="s">
        <v>1102</v>
      </c>
      <c r="B29" s="25" t="s">
        <v>117</v>
      </c>
      <c r="C29" s="25" t="s">
        <v>118</v>
      </c>
      <c r="D29" s="25" t="s">
        <v>119</v>
      </c>
      <c r="E29" s="26" t="s">
        <v>45</v>
      </c>
      <c r="F29" s="27" t="s">
        <v>45</v>
      </c>
      <c r="G29" s="28" t="s">
        <v>45</v>
      </c>
      <c r="H29" s="29"/>
      <c r="I29" s="29" t="s">
        <v>46</v>
      </c>
      <c r="J29" s="30">
        <v>1</v>
      </c>
      <c r="K29" s="31">
        <f>33500</f>
        <v>33500</v>
      </c>
      <c r="L29" s="32" t="s">
        <v>995</v>
      </c>
      <c r="M29" s="31">
        <f>40010</f>
        <v>40010</v>
      </c>
      <c r="N29" s="32" t="s">
        <v>790</v>
      </c>
      <c r="O29" s="31">
        <f>33430</f>
        <v>33430</v>
      </c>
      <c r="P29" s="32" t="s">
        <v>995</v>
      </c>
      <c r="Q29" s="31">
        <f>38620</f>
        <v>38620</v>
      </c>
      <c r="R29" s="32" t="s">
        <v>893</v>
      </c>
      <c r="S29" s="33">
        <f>37608.18</f>
        <v>37608.18</v>
      </c>
      <c r="T29" s="30">
        <f>507207</f>
        <v>507207</v>
      </c>
      <c r="U29" s="30" t="str">
        <f>"－"</f>
        <v>－</v>
      </c>
      <c r="V29" s="30">
        <f>19083590210</f>
        <v>19083590210</v>
      </c>
      <c r="W29" s="30" t="str">
        <f>"－"</f>
        <v>－</v>
      </c>
      <c r="X29" s="34">
        <f>22</f>
        <v>22</v>
      </c>
    </row>
    <row r="30" spans="1:24" ht="13.5" customHeight="1" x14ac:dyDescent="0.15">
      <c r="A30" s="25" t="s">
        <v>1102</v>
      </c>
      <c r="B30" s="25" t="s">
        <v>120</v>
      </c>
      <c r="C30" s="25" t="s">
        <v>121</v>
      </c>
      <c r="D30" s="25" t="s">
        <v>122</v>
      </c>
      <c r="E30" s="26" t="s">
        <v>45</v>
      </c>
      <c r="F30" s="27" t="s">
        <v>45</v>
      </c>
      <c r="G30" s="28" t="s">
        <v>45</v>
      </c>
      <c r="H30" s="29"/>
      <c r="I30" s="29" t="s">
        <v>46</v>
      </c>
      <c r="J30" s="30">
        <v>10</v>
      </c>
      <c r="K30" s="31">
        <f>649</f>
        <v>649</v>
      </c>
      <c r="L30" s="32" t="s">
        <v>995</v>
      </c>
      <c r="M30" s="31">
        <f>651</f>
        <v>651</v>
      </c>
      <c r="N30" s="32" t="s">
        <v>995</v>
      </c>
      <c r="O30" s="31">
        <f>537.8</f>
        <v>537.79999999999995</v>
      </c>
      <c r="P30" s="32" t="s">
        <v>790</v>
      </c>
      <c r="Q30" s="31">
        <f>554.8</f>
        <v>554.79999999999995</v>
      </c>
      <c r="R30" s="32" t="s">
        <v>893</v>
      </c>
      <c r="S30" s="33">
        <f>574.34</f>
        <v>574.34</v>
      </c>
      <c r="T30" s="30">
        <f>453219650</f>
        <v>453219650</v>
      </c>
      <c r="U30" s="30">
        <f>1852920</f>
        <v>1852920</v>
      </c>
      <c r="V30" s="30">
        <f>261639154898</f>
        <v>261639154898</v>
      </c>
      <c r="W30" s="30">
        <f>1112575778</f>
        <v>1112575778</v>
      </c>
      <c r="X30" s="34">
        <f>22</f>
        <v>22</v>
      </c>
    </row>
    <row r="31" spans="1:24" ht="13.5" customHeight="1" x14ac:dyDescent="0.15">
      <c r="A31" s="25" t="s">
        <v>1102</v>
      </c>
      <c r="B31" s="25" t="s">
        <v>123</v>
      </c>
      <c r="C31" s="25" t="s">
        <v>124</v>
      </c>
      <c r="D31" s="25" t="s">
        <v>125</v>
      </c>
      <c r="E31" s="26" t="s">
        <v>45</v>
      </c>
      <c r="F31" s="27" t="s">
        <v>45</v>
      </c>
      <c r="G31" s="28" t="s">
        <v>45</v>
      </c>
      <c r="H31" s="29"/>
      <c r="I31" s="29" t="s">
        <v>46</v>
      </c>
      <c r="J31" s="30">
        <v>1</v>
      </c>
      <c r="K31" s="31">
        <f>19905</f>
        <v>19905</v>
      </c>
      <c r="L31" s="32" t="s">
        <v>995</v>
      </c>
      <c r="M31" s="31">
        <f>21660</f>
        <v>21660</v>
      </c>
      <c r="N31" s="32" t="s">
        <v>790</v>
      </c>
      <c r="O31" s="31">
        <f>19890</f>
        <v>19890</v>
      </c>
      <c r="P31" s="32" t="s">
        <v>995</v>
      </c>
      <c r="Q31" s="31">
        <f>21455</f>
        <v>21455</v>
      </c>
      <c r="R31" s="32" t="s">
        <v>893</v>
      </c>
      <c r="S31" s="33">
        <f>21125.68</f>
        <v>21125.68</v>
      </c>
      <c r="T31" s="30">
        <f>12563</f>
        <v>12563</v>
      </c>
      <c r="U31" s="30" t="str">
        <f>"－"</f>
        <v>－</v>
      </c>
      <c r="V31" s="30">
        <f>265566895</f>
        <v>265566895</v>
      </c>
      <c r="W31" s="30" t="str">
        <f>"－"</f>
        <v>－</v>
      </c>
      <c r="X31" s="34">
        <f>22</f>
        <v>22</v>
      </c>
    </row>
    <row r="32" spans="1:24" ht="13.5" customHeight="1" x14ac:dyDescent="0.15">
      <c r="A32" s="25" t="s">
        <v>1102</v>
      </c>
      <c r="B32" s="25" t="s">
        <v>126</v>
      </c>
      <c r="C32" s="25" t="s">
        <v>1037</v>
      </c>
      <c r="D32" s="25" t="s">
        <v>1038</v>
      </c>
      <c r="E32" s="26" t="s">
        <v>45</v>
      </c>
      <c r="F32" s="27" t="s">
        <v>45</v>
      </c>
      <c r="G32" s="28" t="s">
        <v>45</v>
      </c>
      <c r="H32" s="29"/>
      <c r="I32" s="29" t="s">
        <v>46</v>
      </c>
      <c r="J32" s="30">
        <v>1</v>
      </c>
      <c r="K32" s="31">
        <f>27835</f>
        <v>27835</v>
      </c>
      <c r="L32" s="32" t="s">
        <v>995</v>
      </c>
      <c r="M32" s="31">
        <f>33280</f>
        <v>33280</v>
      </c>
      <c r="N32" s="32" t="s">
        <v>790</v>
      </c>
      <c r="O32" s="31">
        <f>27785</f>
        <v>27785</v>
      </c>
      <c r="P32" s="32" t="s">
        <v>995</v>
      </c>
      <c r="Q32" s="31">
        <f>32140</f>
        <v>32140</v>
      </c>
      <c r="R32" s="32" t="s">
        <v>893</v>
      </c>
      <c r="S32" s="33">
        <f>31270.91</f>
        <v>31270.91</v>
      </c>
      <c r="T32" s="30">
        <f>977580</f>
        <v>977580</v>
      </c>
      <c r="U32" s="30">
        <f>18</f>
        <v>18</v>
      </c>
      <c r="V32" s="30">
        <f>30687487730</f>
        <v>30687487730</v>
      </c>
      <c r="W32" s="30">
        <f>594580</f>
        <v>594580</v>
      </c>
      <c r="X32" s="34">
        <f>22</f>
        <v>22</v>
      </c>
    </row>
    <row r="33" spans="1:24" ht="13.5" customHeight="1" x14ac:dyDescent="0.15">
      <c r="A33" s="25" t="s">
        <v>1102</v>
      </c>
      <c r="B33" s="25" t="s">
        <v>129</v>
      </c>
      <c r="C33" s="25" t="s">
        <v>1039</v>
      </c>
      <c r="D33" s="25" t="s">
        <v>1040</v>
      </c>
      <c r="E33" s="26" t="s">
        <v>45</v>
      </c>
      <c r="F33" s="27" t="s">
        <v>45</v>
      </c>
      <c r="G33" s="28" t="s">
        <v>45</v>
      </c>
      <c r="H33" s="29"/>
      <c r="I33" s="29" t="s">
        <v>46</v>
      </c>
      <c r="J33" s="30">
        <v>1</v>
      </c>
      <c r="K33" s="31">
        <f>691</f>
        <v>691</v>
      </c>
      <c r="L33" s="32" t="s">
        <v>995</v>
      </c>
      <c r="M33" s="31">
        <f>693</f>
        <v>693</v>
      </c>
      <c r="N33" s="32" t="s">
        <v>995</v>
      </c>
      <c r="O33" s="31">
        <f>572</f>
        <v>572</v>
      </c>
      <c r="P33" s="32" t="s">
        <v>790</v>
      </c>
      <c r="Q33" s="31">
        <f>591</f>
        <v>591</v>
      </c>
      <c r="R33" s="32" t="s">
        <v>893</v>
      </c>
      <c r="S33" s="33">
        <f>611.77</f>
        <v>611.77</v>
      </c>
      <c r="T33" s="30">
        <f>47447373</f>
        <v>47447373</v>
      </c>
      <c r="U33" s="30">
        <f>357550</f>
        <v>357550</v>
      </c>
      <c r="V33" s="30">
        <f>28955364341</f>
        <v>28955364341</v>
      </c>
      <c r="W33" s="30">
        <f>217825050</f>
        <v>217825050</v>
      </c>
      <c r="X33" s="34">
        <f>22</f>
        <v>22</v>
      </c>
    </row>
    <row r="34" spans="1:24" ht="13.5" customHeight="1" x14ac:dyDescent="0.15">
      <c r="A34" s="25" t="s">
        <v>1102</v>
      </c>
      <c r="B34" s="25" t="s">
        <v>132</v>
      </c>
      <c r="C34" s="25" t="s">
        <v>1041</v>
      </c>
      <c r="D34" s="25" t="s">
        <v>1042</v>
      </c>
      <c r="E34" s="26" t="s">
        <v>45</v>
      </c>
      <c r="F34" s="27" t="s">
        <v>45</v>
      </c>
      <c r="G34" s="28" t="s">
        <v>45</v>
      </c>
      <c r="H34" s="29"/>
      <c r="I34" s="29" t="s">
        <v>46</v>
      </c>
      <c r="J34" s="30">
        <v>1</v>
      </c>
      <c r="K34" s="31">
        <f>22850</f>
        <v>22850</v>
      </c>
      <c r="L34" s="32" t="s">
        <v>995</v>
      </c>
      <c r="M34" s="31">
        <f>26925</f>
        <v>26925</v>
      </c>
      <c r="N34" s="32" t="s">
        <v>1017</v>
      </c>
      <c r="O34" s="31">
        <f>22785</f>
        <v>22785</v>
      </c>
      <c r="P34" s="32" t="s">
        <v>995</v>
      </c>
      <c r="Q34" s="31">
        <f>26335</f>
        <v>26335</v>
      </c>
      <c r="R34" s="32" t="s">
        <v>893</v>
      </c>
      <c r="S34" s="33">
        <f>25601.59</f>
        <v>25601.59</v>
      </c>
      <c r="T34" s="30">
        <f>633084</f>
        <v>633084</v>
      </c>
      <c r="U34" s="30">
        <f>4</f>
        <v>4</v>
      </c>
      <c r="V34" s="30">
        <f>16232236125</f>
        <v>16232236125</v>
      </c>
      <c r="W34" s="30">
        <f>100900</f>
        <v>100900</v>
      </c>
      <c r="X34" s="34">
        <f>22</f>
        <v>22</v>
      </c>
    </row>
    <row r="35" spans="1:24" ht="13.5" customHeight="1" x14ac:dyDescent="0.15">
      <c r="A35" s="25" t="s">
        <v>1102</v>
      </c>
      <c r="B35" s="25" t="s">
        <v>135</v>
      </c>
      <c r="C35" s="25" t="s">
        <v>1043</v>
      </c>
      <c r="D35" s="25" t="s">
        <v>1044</v>
      </c>
      <c r="E35" s="26" t="s">
        <v>45</v>
      </c>
      <c r="F35" s="27" t="s">
        <v>45</v>
      </c>
      <c r="G35" s="28" t="s">
        <v>45</v>
      </c>
      <c r="H35" s="29"/>
      <c r="I35" s="29" t="s">
        <v>46</v>
      </c>
      <c r="J35" s="30">
        <v>1</v>
      </c>
      <c r="K35" s="31">
        <f>1043</f>
        <v>1043</v>
      </c>
      <c r="L35" s="32" t="s">
        <v>995</v>
      </c>
      <c r="M35" s="31">
        <f>1045</f>
        <v>1045</v>
      </c>
      <c r="N35" s="32" t="s">
        <v>995</v>
      </c>
      <c r="O35" s="31">
        <f>874</f>
        <v>874</v>
      </c>
      <c r="P35" s="32" t="s">
        <v>1017</v>
      </c>
      <c r="Q35" s="31">
        <f>894</f>
        <v>894</v>
      </c>
      <c r="R35" s="32" t="s">
        <v>893</v>
      </c>
      <c r="S35" s="33">
        <f>925.82</f>
        <v>925.82</v>
      </c>
      <c r="T35" s="30">
        <f>3279561</f>
        <v>3279561</v>
      </c>
      <c r="U35" s="30" t="str">
        <f>"－"</f>
        <v>－</v>
      </c>
      <c r="V35" s="30">
        <f>3033699426</f>
        <v>3033699426</v>
      </c>
      <c r="W35" s="30" t="str">
        <f>"－"</f>
        <v>－</v>
      </c>
      <c r="X35" s="34">
        <f>22</f>
        <v>22</v>
      </c>
    </row>
    <row r="36" spans="1:24" ht="13.5" customHeight="1" x14ac:dyDescent="0.15">
      <c r="A36" s="25" t="s">
        <v>1102</v>
      </c>
      <c r="B36" s="25" t="s">
        <v>138</v>
      </c>
      <c r="C36" s="25" t="s">
        <v>139</v>
      </c>
      <c r="D36" s="25" t="s">
        <v>140</v>
      </c>
      <c r="E36" s="26" t="s">
        <v>45</v>
      </c>
      <c r="F36" s="27" t="s">
        <v>45</v>
      </c>
      <c r="G36" s="28" t="s">
        <v>45</v>
      </c>
      <c r="H36" s="29"/>
      <c r="I36" s="29" t="s">
        <v>46</v>
      </c>
      <c r="J36" s="30">
        <v>1</v>
      </c>
      <c r="K36" s="31">
        <f>31180</f>
        <v>31180</v>
      </c>
      <c r="L36" s="32" t="s">
        <v>995</v>
      </c>
      <c r="M36" s="31">
        <f>34140</f>
        <v>34140</v>
      </c>
      <c r="N36" s="32" t="s">
        <v>790</v>
      </c>
      <c r="O36" s="31">
        <f>31180</f>
        <v>31180</v>
      </c>
      <c r="P36" s="32" t="s">
        <v>995</v>
      </c>
      <c r="Q36" s="31">
        <f>33520</f>
        <v>33520</v>
      </c>
      <c r="R36" s="32" t="s">
        <v>893</v>
      </c>
      <c r="S36" s="33">
        <f>33070.45</f>
        <v>33070.449999999997</v>
      </c>
      <c r="T36" s="30">
        <f>194103</f>
        <v>194103</v>
      </c>
      <c r="U36" s="30">
        <f>45702</f>
        <v>45702</v>
      </c>
      <c r="V36" s="30">
        <f>6359544835</f>
        <v>6359544835</v>
      </c>
      <c r="W36" s="30">
        <f>1498357995</f>
        <v>1498357995</v>
      </c>
      <c r="X36" s="34">
        <f>22</f>
        <v>22</v>
      </c>
    </row>
    <row r="37" spans="1:24" ht="13.5" customHeight="1" x14ac:dyDescent="0.15">
      <c r="A37" s="25" t="s">
        <v>1102</v>
      </c>
      <c r="B37" s="25" t="s">
        <v>141</v>
      </c>
      <c r="C37" s="25" t="s">
        <v>142</v>
      </c>
      <c r="D37" s="25" t="s">
        <v>143</v>
      </c>
      <c r="E37" s="26" t="s">
        <v>45</v>
      </c>
      <c r="F37" s="27" t="s">
        <v>45</v>
      </c>
      <c r="G37" s="28" t="s">
        <v>45</v>
      </c>
      <c r="H37" s="29" t="s">
        <v>877</v>
      </c>
      <c r="I37" s="29"/>
      <c r="J37" s="30">
        <v>1</v>
      </c>
      <c r="K37" s="31">
        <f>6220</f>
        <v>6220</v>
      </c>
      <c r="L37" s="32" t="s">
        <v>995</v>
      </c>
      <c r="M37" s="31">
        <f>6710</f>
        <v>6710</v>
      </c>
      <c r="N37" s="32" t="s">
        <v>1017</v>
      </c>
      <c r="O37" s="31">
        <f>6200</f>
        <v>6200</v>
      </c>
      <c r="P37" s="32" t="s">
        <v>995</v>
      </c>
      <c r="Q37" s="31">
        <f>6670</f>
        <v>6670</v>
      </c>
      <c r="R37" s="32" t="s">
        <v>893</v>
      </c>
      <c r="S37" s="33">
        <f>6460.45</f>
        <v>6460.45</v>
      </c>
      <c r="T37" s="30">
        <f>34828</f>
        <v>34828</v>
      </c>
      <c r="U37" s="30">
        <f>2</f>
        <v>2</v>
      </c>
      <c r="V37" s="30">
        <f>227383870</f>
        <v>227383870</v>
      </c>
      <c r="W37" s="30">
        <f>13060</f>
        <v>13060</v>
      </c>
      <c r="X37" s="34">
        <f>22</f>
        <v>22</v>
      </c>
    </row>
    <row r="38" spans="1:24" ht="13.5" customHeight="1" x14ac:dyDescent="0.15">
      <c r="A38" s="25" t="s">
        <v>1102</v>
      </c>
      <c r="B38" s="25" t="s">
        <v>144</v>
      </c>
      <c r="C38" s="25" t="s">
        <v>145</v>
      </c>
      <c r="D38" s="25" t="s">
        <v>146</v>
      </c>
      <c r="E38" s="26" t="s">
        <v>45</v>
      </c>
      <c r="F38" s="27" t="s">
        <v>45</v>
      </c>
      <c r="G38" s="28" t="s">
        <v>45</v>
      </c>
      <c r="H38" s="29" t="s">
        <v>877</v>
      </c>
      <c r="I38" s="29"/>
      <c r="J38" s="30">
        <v>1</v>
      </c>
      <c r="K38" s="31">
        <f>10825</f>
        <v>10825</v>
      </c>
      <c r="L38" s="32" t="s">
        <v>995</v>
      </c>
      <c r="M38" s="31">
        <f>11545</f>
        <v>11545</v>
      </c>
      <c r="N38" s="32" t="s">
        <v>998</v>
      </c>
      <c r="O38" s="31">
        <f>10700</f>
        <v>10700</v>
      </c>
      <c r="P38" s="32" t="s">
        <v>995</v>
      </c>
      <c r="Q38" s="31">
        <f>11420</f>
        <v>11420</v>
      </c>
      <c r="R38" s="32" t="s">
        <v>893</v>
      </c>
      <c r="S38" s="33">
        <f>11191.14</f>
        <v>11191.14</v>
      </c>
      <c r="T38" s="30">
        <f>7942</f>
        <v>7942</v>
      </c>
      <c r="U38" s="30">
        <f>2</f>
        <v>2</v>
      </c>
      <c r="V38" s="30">
        <f>89282260</f>
        <v>89282260</v>
      </c>
      <c r="W38" s="30">
        <f>22430</f>
        <v>22430</v>
      </c>
      <c r="X38" s="34">
        <f>22</f>
        <v>22</v>
      </c>
    </row>
    <row r="39" spans="1:24" ht="13.5" customHeight="1" x14ac:dyDescent="0.15">
      <c r="A39" s="25" t="s">
        <v>1102</v>
      </c>
      <c r="B39" s="25" t="s">
        <v>147</v>
      </c>
      <c r="C39" s="25" t="s">
        <v>148</v>
      </c>
      <c r="D39" s="25" t="s">
        <v>149</v>
      </c>
      <c r="E39" s="26" t="s">
        <v>45</v>
      </c>
      <c r="F39" s="27" t="s">
        <v>45</v>
      </c>
      <c r="G39" s="28" t="s">
        <v>45</v>
      </c>
      <c r="H39" s="29" t="s">
        <v>877</v>
      </c>
      <c r="I39" s="29"/>
      <c r="J39" s="30">
        <v>1</v>
      </c>
      <c r="K39" s="31">
        <f>20475</f>
        <v>20475</v>
      </c>
      <c r="L39" s="32" t="s">
        <v>995</v>
      </c>
      <c r="M39" s="31">
        <f>22310</f>
        <v>22310</v>
      </c>
      <c r="N39" s="32" t="s">
        <v>1017</v>
      </c>
      <c r="O39" s="31">
        <f>20475</f>
        <v>20475</v>
      </c>
      <c r="P39" s="32" t="s">
        <v>995</v>
      </c>
      <c r="Q39" s="31">
        <f>22280</f>
        <v>22280</v>
      </c>
      <c r="R39" s="32" t="s">
        <v>893</v>
      </c>
      <c r="S39" s="33">
        <f>21559.5</f>
        <v>21559.5</v>
      </c>
      <c r="T39" s="30">
        <f>935</f>
        <v>935</v>
      </c>
      <c r="U39" s="30">
        <f>1</f>
        <v>1</v>
      </c>
      <c r="V39" s="30">
        <f>20239665</f>
        <v>20239665</v>
      </c>
      <c r="W39" s="30">
        <f>21680</f>
        <v>21680</v>
      </c>
      <c r="X39" s="34">
        <f>20</f>
        <v>20</v>
      </c>
    </row>
    <row r="40" spans="1:24" ht="13.5" customHeight="1" x14ac:dyDescent="0.15">
      <c r="A40" s="25" t="s">
        <v>1102</v>
      </c>
      <c r="B40" s="25" t="s">
        <v>150</v>
      </c>
      <c r="C40" s="25" t="s">
        <v>151</v>
      </c>
      <c r="D40" s="25" t="s">
        <v>152</v>
      </c>
      <c r="E40" s="26" t="s">
        <v>45</v>
      </c>
      <c r="F40" s="27" t="s">
        <v>45</v>
      </c>
      <c r="G40" s="28" t="s">
        <v>45</v>
      </c>
      <c r="H40" s="29" t="s">
        <v>877</v>
      </c>
      <c r="I40" s="29"/>
      <c r="J40" s="30">
        <v>1</v>
      </c>
      <c r="K40" s="31">
        <f>16280</f>
        <v>16280</v>
      </c>
      <c r="L40" s="32" t="s">
        <v>999</v>
      </c>
      <c r="M40" s="31">
        <f>17250</f>
        <v>17250</v>
      </c>
      <c r="N40" s="32" t="s">
        <v>876</v>
      </c>
      <c r="O40" s="31">
        <f>16165</f>
        <v>16165</v>
      </c>
      <c r="P40" s="32" t="s">
        <v>999</v>
      </c>
      <c r="Q40" s="31">
        <f>17205</f>
        <v>17205</v>
      </c>
      <c r="R40" s="32" t="s">
        <v>893</v>
      </c>
      <c r="S40" s="33">
        <f>16901.67</f>
        <v>16901.669999999998</v>
      </c>
      <c r="T40" s="30">
        <f>427</f>
        <v>427</v>
      </c>
      <c r="U40" s="30" t="str">
        <f>"－"</f>
        <v>－</v>
      </c>
      <c r="V40" s="30">
        <f>7120310</f>
        <v>7120310</v>
      </c>
      <c r="W40" s="30" t="str">
        <f>"－"</f>
        <v>－</v>
      </c>
      <c r="X40" s="34">
        <f>18</f>
        <v>18</v>
      </c>
    </row>
    <row r="41" spans="1:24" ht="13.5" customHeight="1" x14ac:dyDescent="0.15">
      <c r="A41" s="25" t="s">
        <v>1102</v>
      </c>
      <c r="B41" s="25" t="s">
        <v>153</v>
      </c>
      <c r="C41" s="25" t="s">
        <v>154</v>
      </c>
      <c r="D41" s="25" t="s">
        <v>155</v>
      </c>
      <c r="E41" s="26" t="s">
        <v>45</v>
      </c>
      <c r="F41" s="27" t="s">
        <v>45</v>
      </c>
      <c r="G41" s="28" t="s">
        <v>45</v>
      </c>
      <c r="H41" s="29" t="s">
        <v>877</v>
      </c>
      <c r="I41" s="29"/>
      <c r="J41" s="30">
        <v>1</v>
      </c>
      <c r="K41" s="31">
        <f>11610</f>
        <v>11610</v>
      </c>
      <c r="L41" s="32" t="s">
        <v>995</v>
      </c>
      <c r="M41" s="31">
        <f>12400</f>
        <v>12400</v>
      </c>
      <c r="N41" s="32" t="s">
        <v>80</v>
      </c>
      <c r="O41" s="31">
        <f>11505</f>
        <v>11505</v>
      </c>
      <c r="P41" s="32" t="s">
        <v>995</v>
      </c>
      <c r="Q41" s="31">
        <f>12190</f>
        <v>12190</v>
      </c>
      <c r="R41" s="32" t="s">
        <v>893</v>
      </c>
      <c r="S41" s="33">
        <f>11991.82</f>
        <v>11991.82</v>
      </c>
      <c r="T41" s="30">
        <f>2258</f>
        <v>2258</v>
      </c>
      <c r="U41" s="30" t="str">
        <f>"－"</f>
        <v>－</v>
      </c>
      <c r="V41" s="30">
        <f>27000825</f>
        <v>27000825</v>
      </c>
      <c r="W41" s="30" t="str">
        <f>"－"</f>
        <v>－</v>
      </c>
      <c r="X41" s="34">
        <f>22</f>
        <v>22</v>
      </c>
    </row>
    <row r="42" spans="1:24" ht="13.5" customHeight="1" x14ac:dyDescent="0.15">
      <c r="A42" s="25" t="s">
        <v>1102</v>
      </c>
      <c r="B42" s="25" t="s">
        <v>156</v>
      </c>
      <c r="C42" s="25" t="s">
        <v>157</v>
      </c>
      <c r="D42" s="25" t="s">
        <v>158</v>
      </c>
      <c r="E42" s="26" t="s">
        <v>45</v>
      </c>
      <c r="F42" s="27" t="s">
        <v>45</v>
      </c>
      <c r="G42" s="28" t="s">
        <v>45</v>
      </c>
      <c r="H42" s="29" t="s">
        <v>877</v>
      </c>
      <c r="I42" s="29"/>
      <c r="J42" s="30">
        <v>1</v>
      </c>
      <c r="K42" s="31">
        <f>5460</f>
        <v>5460</v>
      </c>
      <c r="L42" s="32" t="s">
        <v>995</v>
      </c>
      <c r="M42" s="31">
        <f>5870</f>
        <v>5870</v>
      </c>
      <c r="N42" s="32" t="s">
        <v>790</v>
      </c>
      <c r="O42" s="31">
        <f>5310</f>
        <v>5310</v>
      </c>
      <c r="P42" s="32" t="s">
        <v>995</v>
      </c>
      <c r="Q42" s="31">
        <f>5760</f>
        <v>5760</v>
      </c>
      <c r="R42" s="32" t="s">
        <v>893</v>
      </c>
      <c r="S42" s="33">
        <f>5652.73</f>
        <v>5652.73</v>
      </c>
      <c r="T42" s="30">
        <f>10030</f>
        <v>10030</v>
      </c>
      <c r="U42" s="30">
        <f>1</f>
        <v>1</v>
      </c>
      <c r="V42" s="30">
        <f>56810280</f>
        <v>56810280</v>
      </c>
      <c r="W42" s="30">
        <f>5720</f>
        <v>5720</v>
      </c>
      <c r="X42" s="34">
        <f>22</f>
        <v>22</v>
      </c>
    </row>
    <row r="43" spans="1:24" ht="13.5" customHeight="1" x14ac:dyDescent="0.15">
      <c r="A43" s="25" t="s">
        <v>1102</v>
      </c>
      <c r="B43" s="25" t="s">
        <v>159</v>
      </c>
      <c r="C43" s="25" t="s">
        <v>160</v>
      </c>
      <c r="D43" s="25" t="s">
        <v>161</v>
      </c>
      <c r="E43" s="26" t="s">
        <v>45</v>
      </c>
      <c r="F43" s="27" t="s">
        <v>45</v>
      </c>
      <c r="G43" s="28" t="s">
        <v>45</v>
      </c>
      <c r="H43" s="29" t="s">
        <v>877</v>
      </c>
      <c r="I43" s="29"/>
      <c r="J43" s="30">
        <v>1</v>
      </c>
      <c r="K43" s="31">
        <f>3145</f>
        <v>3145</v>
      </c>
      <c r="L43" s="32" t="s">
        <v>995</v>
      </c>
      <c r="M43" s="31">
        <f>3295</f>
        <v>3295</v>
      </c>
      <c r="N43" s="32" t="s">
        <v>997</v>
      </c>
      <c r="O43" s="31">
        <f>3140</f>
        <v>3140</v>
      </c>
      <c r="P43" s="32" t="s">
        <v>995</v>
      </c>
      <c r="Q43" s="31">
        <f>3280</f>
        <v>3280</v>
      </c>
      <c r="R43" s="32" t="s">
        <v>893</v>
      </c>
      <c r="S43" s="33">
        <f>3224.55</f>
        <v>3224.55</v>
      </c>
      <c r="T43" s="30">
        <f>14938</f>
        <v>14938</v>
      </c>
      <c r="U43" s="30">
        <f>2</f>
        <v>2</v>
      </c>
      <c r="V43" s="30">
        <f>48207460</f>
        <v>48207460</v>
      </c>
      <c r="W43" s="30">
        <f>6420</f>
        <v>6420</v>
      </c>
      <c r="X43" s="34">
        <f>22</f>
        <v>22</v>
      </c>
    </row>
    <row r="44" spans="1:24" ht="13.5" customHeight="1" x14ac:dyDescent="0.15">
      <c r="A44" s="25" t="s">
        <v>1102</v>
      </c>
      <c r="B44" s="25" t="s">
        <v>162</v>
      </c>
      <c r="C44" s="25" t="s">
        <v>163</v>
      </c>
      <c r="D44" s="25" t="s">
        <v>164</v>
      </c>
      <c r="E44" s="26" t="s">
        <v>45</v>
      </c>
      <c r="F44" s="27" t="s">
        <v>45</v>
      </c>
      <c r="G44" s="28" t="s">
        <v>45</v>
      </c>
      <c r="H44" s="29" t="s">
        <v>877</v>
      </c>
      <c r="I44" s="29"/>
      <c r="J44" s="30">
        <v>1</v>
      </c>
      <c r="K44" s="31">
        <f>3145</f>
        <v>3145</v>
      </c>
      <c r="L44" s="32" t="s">
        <v>995</v>
      </c>
      <c r="M44" s="31">
        <f>3375</f>
        <v>3375</v>
      </c>
      <c r="N44" s="32" t="s">
        <v>790</v>
      </c>
      <c r="O44" s="31">
        <f>3140</f>
        <v>3140</v>
      </c>
      <c r="P44" s="32" t="s">
        <v>995</v>
      </c>
      <c r="Q44" s="31">
        <f>3315</f>
        <v>3315</v>
      </c>
      <c r="R44" s="32" t="s">
        <v>893</v>
      </c>
      <c r="S44" s="33">
        <f>3285.91</f>
        <v>3285.91</v>
      </c>
      <c r="T44" s="30">
        <f>5047</f>
        <v>5047</v>
      </c>
      <c r="U44" s="30">
        <f>1</f>
        <v>1</v>
      </c>
      <c r="V44" s="30">
        <f>16619900</f>
        <v>16619900</v>
      </c>
      <c r="W44" s="30">
        <f>3330</f>
        <v>3330</v>
      </c>
      <c r="X44" s="34">
        <f>22</f>
        <v>22</v>
      </c>
    </row>
    <row r="45" spans="1:24" ht="13.5" customHeight="1" x14ac:dyDescent="0.15">
      <c r="A45" s="25" t="s">
        <v>1102</v>
      </c>
      <c r="B45" s="25" t="s">
        <v>165</v>
      </c>
      <c r="C45" s="25" t="s">
        <v>166</v>
      </c>
      <c r="D45" s="25" t="s">
        <v>167</v>
      </c>
      <c r="E45" s="26" t="s">
        <v>45</v>
      </c>
      <c r="F45" s="27" t="s">
        <v>45</v>
      </c>
      <c r="G45" s="28" t="s">
        <v>45</v>
      </c>
      <c r="H45" s="29" t="s">
        <v>877</v>
      </c>
      <c r="I45" s="29"/>
      <c r="J45" s="30">
        <v>1</v>
      </c>
      <c r="K45" s="31">
        <f>54310</f>
        <v>54310</v>
      </c>
      <c r="L45" s="32" t="s">
        <v>995</v>
      </c>
      <c r="M45" s="31">
        <f>58500</f>
        <v>58500</v>
      </c>
      <c r="N45" s="32" t="s">
        <v>893</v>
      </c>
      <c r="O45" s="31">
        <f>53300</f>
        <v>53300</v>
      </c>
      <c r="P45" s="32" t="s">
        <v>995</v>
      </c>
      <c r="Q45" s="31">
        <f>58500</f>
        <v>58500</v>
      </c>
      <c r="R45" s="32" t="s">
        <v>893</v>
      </c>
      <c r="S45" s="33">
        <f>56218.64</f>
        <v>56218.64</v>
      </c>
      <c r="T45" s="30">
        <f>2559</f>
        <v>2559</v>
      </c>
      <c r="U45" s="30" t="str">
        <f>"－"</f>
        <v>－</v>
      </c>
      <c r="V45" s="30">
        <f>143091590</f>
        <v>143091590</v>
      </c>
      <c r="W45" s="30" t="str">
        <f>"－"</f>
        <v>－</v>
      </c>
      <c r="X45" s="34">
        <f>22</f>
        <v>22</v>
      </c>
    </row>
    <row r="46" spans="1:24" ht="13.5" customHeight="1" x14ac:dyDescent="0.15">
      <c r="A46" s="25" t="s">
        <v>1102</v>
      </c>
      <c r="B46" s="25" t="s">
        <v>168</v>
      </c>
      <c r="C46" s="25" t="s">
        <v>169</v>
      </c>
      <c r="D46" s="25" t="s">
        <v>170</v>
      </c>
      <c r="E46" s="26" t="s">
        <v>45</v>
      </c>
      <c r="F46" s="27" t="s">
        <v>45</v>
      </c>
      <c r="G46" s="28" t="s">
        <v>45</v>
      </c>
      <c r="H46" s="29" t="s">
        <v>877</v>
      </c>
      <c r="I46" s="29"/>
      <c r="J46" s="30">
        <v>1</v>
      </c>
      <c r="K46" s="31">
        <f>37660</f>
        <v>37660</v>
      </c>
      <c r="L46" s="32" t="s">
        <v>995</v>
      </c>
      <c r="M46" s="31">
        <f>40870</f>
        <v>40870</v>
      </c>
      <c r="N46" s="32" t="s">
        <v>790</v>
      </c>
      <c r="O46" s="31">
        <f>37530</f>
        <v>37530</v>
      </c>
      <c r="P46" s="32" t="s">
        <v>995</v>
      </c>
      <c r="Q46" s="31">
        <f>40830</f>
        <v>40830</v>
      </c>
      <c r="R46" s="32" t="s">
        <v>893</v>
      </c>
      <c r="S46" s="33">
        <f>39646.25</f>
        <v>39646.25</v>
      </c>
      <c r="T46" s="30">
        <f>1065</f>
        <v>1065</v>
      </c>
      <c r="U46" s="30" t="str">
        <f>"－"</f>
        <v>－</v>
      </c>
      <c r="V46" s="30">
        <f>41521310</f>
        <v>41521310</v>
      </c>
      <c r="W46" s="30" t="str">
        <f>"－"</f>
        <v>－</v>
      </c>
      <c r="X46" s="34">
        <f>16</f>
        <v>16</v>
      </c>
    </row>
    <row r="47" spans="1:24" ht="13.5" customHeight="1" x14ac:dyDescent="0.15">
      <c r="A47" s="25" t="s">
        <v>1102</v>
      </c>
      <c r="B47" s="25" t="s">
        <v>171</v>
      </c>
      <c r="C47" s="25" t="s">
        <v>172</v>
      </c>
      <c r="D47" s="25" t="s">
        <v>173</v>
      </c>
      <c r="E47" s="26" t="s">
        <v>45</v>
      </c>
      <c r="F47" s="27" t="s">
        <v>45</v>
      </c>
      <c r="G47" s="28" t="s">
        <v>45</v>
      </c>
      <c r="H47" s="29"/>
      <c r="I47" s="29" t="s">
        <v>46</v>
      </c>
      <c r="J47" s="30">
        <v>1</v>
      </c>
      <c r="K47" s="31">
        <f>31170</f>
        <v>31170</v>
      </c>
      <c r="L47" s="32" t="s">
        <v>995</v>
      </c>
      <c r="M47" s="31">
        <f>34080</f>
        <v>34080</v>
      </c>
      <c r="N47" s="32" t="s">
        <v>876</v>
      </c>
      <c r="O47" s="31">
        <f>31170</f>
        <v>31170</v>
      </c>
      <c r="P47" s="32" t="s">
        <v>995</v>
      </c>
      <c r="Q47" s="31">
        <f>33530</f>
        <v>33530</v>
      </c>
      <c r="R47" s="32" t="s">
        <v>893</v>
      </c>
      <c r="S47" s="33">
        <f>33118.57</f>
        <v>33118.57</v>
      </c>
      <c r="T47" s="30">
        <f>1275818</f>
        <v>1275818</v>
      </c>
      <c r="U47" s="30">
        <f>1215302</f>
        <v>1215302</v>
      </c>
      <c r="V47" s="30">
        <f>43044281711</f>
        <v>43044281711</v>
      </c>
      <c r="W47" s="30">
        <f>41054615911</f>
        <v>41054615911</v>
      </c>
      <c r="X47" s="34">
        <f>21</f>
        <v>21</v>
      </c>
    </row>
    <row r="48" spans="1:24" ht="13.5" customHeight="1" x14ac:dyDescent="0.15">
      <c r="A48" s="25" t="s">
        <v>1102</v>
      </c>
      <c r="B48" s="25" t="s">
        <v>174</v>
      </c>
      <c r="C48" s="25" t="s">
        <v>175</v>
      </c>
      <c r="D48" s="25" t="s">
        <v>176</v>
      </c>
      <c r="E48" s="26" t="s">
        <v>45</v>
      </c>
      <c r="F48" s="27" t="s">
        <v>45</v>
      </c>
      <c r="G48" s="28" t="s">
        <v>45</v>
      </c>
      <c r="H48" s="29"/>
      <c r="I48" s="29" t="s">
        <v>46</v>
      </c>
      <c r="J48" s="30">
        <v>10</v>
      </c>
      <c r="K48" s="31">
        <f>1918</f>
        <v>1918</v>
      </c>
      <c r="L48" s="32" t="s">
        <v>995</v>
      </c>
      <c r="M48" s="31">
        <f>1923</f>
        <v>1923</v>
      </c>
      <c r="N48" s="32" t="s">
        <v>784</v>
      </c>
      <c r="O48" s="31">
        <f>1875</f>
        <v>1875</v>
      </c>
      <c r="P48" s="32" t="s">
        <v>786</v>
      </c>
      <c r="Q48" s="31">
        <f>1904.5</f>
        <v>1904.5</v>
      </c>
      <c r="R48" s="32" t="s">
        <v>893</v>
      </c>
      <c r="S48" s="33">
        <f>1902.07</f>
        <v>1902.07</v>
      </c>
      <c r="T48" s="30">
        <f>3500020</f>
        <v>3500020</v>
      </c>
      <c r="U48" s="30">
        <f>307900</f>
        <v>307900</v>
      </c>
      <c r="V48" s="30">
        <f>6660941123</f>
        <v>6660941123</v>
      </c>
      <c r="W48" s="30">
        <f>587578923</f>
        <v>587578923</v>
      </c>
      <c r="X48" s="34">
        <f>22</f>
        <v>22</v>
      </c>
    </row>
    <row r="49" spans="1:24" ht="13.5" customHeight="1" x14ac:dyDescent="0.15">
      <c r="A49" s="25" t="s">
        <v>1102</v>
      </c>
      <c r="B49" s="25" t="s">
        <v>177</v>
      </c>
      <c r="C49" s="25" t="s">
        <v>178</v>
      </c>
      <c r="D49" s="25" t="s">
        <v>179</v>
      </c>
      <c r="E49" s="26" t="s">
        <v>45</v>
      </c>
      <c r="F49" s="27" t="s">
        <v>45</v>
      </c>
      <c r="G49" s="28" t="s">
        <v>45</v>
      </c>
      <c r="H49" s="29"/>
      <c r="I49" s="29" t="s">
        <v>46</v>
      </c>
      <c r="J49" s="30">
        <v>10</v>
      </c>
      <c r="K49" s="31">
        <f>1746</f>
        <v>1746</v>
      </c>
      <c r="L49" s="32" t="s">
        <v>995</v>
      </c>
      <c r="M49" s="31">
        <f>1881.5</f>
        <v>1881.5</v>
      </c>
      <c r="N49" s="32" t="s">
        <v>1017</v>
      </c>
      <c r="O49" s="31">
        <f>1746</f>
        <v>1746</v>
      </c>
      <c r="P49" s="32" t="s">
        <v>995</v>
      </c>
      <c r="Q49" s="31">
        <f>1865</f>
        <v>1865</v>
      </c>
      <c r="R49" s="32" t="s">
        <v>893</v>
      </c>
      <c r="S49" s="33">
        <f>1830.45</f>
        <v>1830.45</v>
      </c>
      <c r="T49" s="30">
        <f>15470</f>
        <v>15470</v>
      </c>
      <c r="U49" s="30" t="str">
        <f>"－"</f>
        <v>－</v>
      </c>
      <c r="V49" s="30">
        <f>28211230</f>
        <v>28211230</v>
      </c>
      <c r="W49" s="30" t="str">
        <f>"－"</f>
        <v>－</v>
      </c>
      <c r="X49" s="34">
        <f>22</f>
        <v>22</v>
      </c>
    </row>
    <row r="50" spans="1:24" ht="13.5" customHeight="1" x14ac:dyDescent="0.15">
      <c r="A50" s="25" t="s">
        <v>1102</v>
      </c>
      <c r="B50" s="25" t="s">
        <v>180</v>
      </c>
      <c r="C50" s="25" t="s">
        <v>1045</v>
      </c>
      <c r="D50" s="25" t="s">
        <v>1046</v>
      </c>
      <c r="E50" s="26" t="s">
        <v>45</v>
      </c>
      <c r="F50" s="27" t="s">
        <v>45</v>
      </c>
      <c r="G50" s="28" t="s">
        <v>45</v>
      </c>
      <c r="H50" s="29"/>
      <c r="I50" s="29" t="s">
        <v>46</v>
      </c>
      <c r="J50" s="30">
        <v>1</v>
      </c>
      <c r="K50" s="31">
        <f>3570</f>
        <v>3570</v>
      </c>
      <c r="L50" s="32" t="s">
        <v>995</v>
      </c>
      <c r="M50" s="31">
        <f>3575</f>
        <v>3575</v>
      </c>
      <c r="N50" s="32" t="s">
        <v>995</v>
      </c>
      <c r="O50" s="31">
        <f>3255</f>
        <v>3255</v>
      </c>
      <c r="P50" s="32" t="s">
        <v>876</v>
      </c>
      <c r="Q50" s="31">
        <f>3305</f>
        <v>3305</v>
      </c>
      <c r="R50" s="32" t="s">
        <v>893</v>
      </c>
      <c r="S50" s="33">
        <f>3359.55</f>
        <v>3359.55</v>
      </c>
      <c r="T50" s="30">
        <f>2261637</f>
        <v>2261637</v>
      </c>
      <c r="U50" s="30">
        <f>917000</f>
        <v>917000</v>
      </c>
      <c r="V50" s="30">
        <f>7666001870</f>
        <v>7666001870</v>
      </c>
      <c r="W50" s="30">
        <f>3073427200</f>
        <v>3073427200</v>
      </c>
      <c r="X50" s="34">
        <f>22</f>
        <v>22</v>
      </c>
    </row>
    <row r="51" spans="1:24" ht="13.5" customHeight="1" x14ac:dyDescent="0.15">
      <c r="A51" s="25" t="s">
        <v>1102</v>
      </c>
      <c r="B51" s="25" t="s">
        <v>183</v>
      </c>
      <c r="C51" s="25" t="s">
        <v>1047</v>
      </c>
      <c r="D51" s="25" t="s">
        <v>1048</v>
      </c>
      <c r="E51" s="26" t="s">
        <v>45</v>
      </c>
      <c r="F51" s="27" t="s">
        <v>45</v>
      </c>
      <c r="G51" s="28" t="s">
        <v>45</v>
      </c>
      <c r="H51" s="29"/>
      <c r="I51" s="29" t="s">
        <v>46</v>
      </c>
      <c r="J51" s="30">
        <v>1</v>
      </c>
      <c r="K51" s="31">
        <f>4290</f>
        <v>4290</v>
      </c>
      <c r="L51" s="32" t="s">
        <v>995</v>
      </c>
      <c r="M51" s="31">
        <f>4295</f>
        <v>4295</v>
      </c>
      <c r="N51" s="32" t="s">
        <v>995</v>
      </c>
      <c r="O51" s="31">
        <f>3940</f>
        <v>3940</v>
      </c>
      <c r="P51" s="32" t="s">
        <v>1017</v>
      </c>
      <c r="Q51" s="31">
        <f>3985</f>
        <v>3985</v>
      </c>
      <c r="R51" s="32" t="s">
        <v>893</v>
      </c>
      <c r="S51" s="33">
        <f>4048.64</f>
        <v>4048.64</v>
      </c>
      <c r="T51" s="30">
        <f>95729</f>
        <v>95729</v>
      </c>
      <c r="U51" s="30">
        <f>40000</f>
        <v>40000</v>
      </c>
      <c r="V51" s="30">
        <f>384969630</f>
        <v>384969630</v>
      </c>
      <c r="W51" s="30">
        <f>159084000</f>
        <v>159084000</v>
      </c>
      <c r="X51" s="34">
        <f>22</f>
        <v>22</v>
      </c>
    </row>
    <row r="52" spans="1:24" ht="13.5" customHeight="1" x14ac:dyDescent="0.15">
      <c r="A52" s="25" t="s">
        <v>1102</v>
      </c>
      <c r="B52" s="25" t="s">
        <v>186</v>
      </c>
      <c r="C52" s="25" t="s">
        <v>187</v>
      </c>
      <c r="D52" s="25" t="s">
        <v>188</v>
      </c>
      <c r="E52" s="26" t="s">
        <v>45</v>
      </c>
      <c r="F52" s="27" t="s">
        <v>45</v>
      </c>
      <c r="G52" s="28" t="s">
        <v>45</v>
      </c>
      <c r="H52" s="29"/>
      <c r="I52" s="29" t="s">
        <v>46</v>
      </c>
      <c r="J52" s="30">
        <v>1</v>
      </c>
      <c r="K52" s="31">
        <f>21200</f>
        <v>21200</v>
      </c>
      <c r="L52" s="32" t="s">
        <v>995</v>
      </c>
      <c r="M52" s="31">
        <f>25350</f>
        <v>25350</v>
      </c>
      <c r="N52" s="32" t="s">
        <v>790</v>
      </c>
      <c r="O52" s="31">
        <f>21150</f>
        <v>21150</v>
      </c>
      <c r="P52" s="32" t="s">
        <v>995</v>
      </c>
      <c r="Q52" s="31">
        <f>24490</f>
        <v>24490</v>
      </c>
      <c r="R52" s="32" t="s">
        <v>893</v>
      </c>
      <c r="S52" s="33">
        <f>23820.23</f>
        <v>23820.23</v>
      </c>
      <c r="T52" s="30">
        <f>12610267</f>
        <v>12610267</v>
      </c>
      <c r="U52" s="30">
        <f>20303</f>
        <v>20303</v>
      </c>
      <c r="V52" s="30">
        <f>299341754200</f>
        <v>299341754200</v>
      </c>
      <c r="W52" s="30">
        <f>510708905</f>
        <v>510708905</v>
      </c>
      <c r="X52" s="34">
        <f>22</f>
        <v>22</v>
      </c>
    </row>
    <row r="53" spans="1:24" ht="13.5" customHeight="1" x14ac:dyDescent="0.15">
      <c r="A53" s="25" t="s">
        <v>1102</v>
      </c>
      <c r="B53" s="25" t="s">
        <v>189</v>
      </c>
      <c r="C53" s="25" t="s">
        <v>190</v>
      </c>
      <c r="D53" s="25" t="s">
        <v>191</v>
      </c>
      <c r="E53" s="26" t="s">
        <v>45</v>
      </c>
      <c r="F53" s="27" t="s">
        <v>45</v>
      </c>
      <c r="G53" s="28" t="s">
        <v>45</v>
      </c>
      <c r="H53" s="29"/>
      <c r="I53" s="29" t="s">
        <v>46</v>
      </c>
      <c r="J53" s="30">
        <v>1</v>
      </c>
      <c r="K53" s="31">
        <f>1069</f>
        <v>1069</v>
      </c>
      <c r="L53" s="32" t="s">
        <v>995</v>
      </c>
      <c r="M53" s="31">
        <f>1072</f>
        <v>1072</v>
      </c>
      <c r="N53" s="32" t="s">
        <v>995</v>
      </c>
      <c r="O53" s="31">
        <f>885</f>
        <v>885</v>
      </c>
      <c r="P53" s="32" t="s">
        <v>790</v>
      </c>
      <c r="Q53" s="31">
        <f>913</f>
        <v>913</v>
      </c>
      <c r="R53" s="32" t="s">
        <v>893</v>
      </c>
      <c r="S53" s="33">
        <f>945.41</f>
        <v>945.41</v>
      </c>
      <c r="T53" s="30">
        <f>338561934</f>
        <v>338561934</v>
      </c>
      <c r="U53" s="30">
        <f>500447</f>
        <v>500447</v>
      </c>
      <c r="V53" s="30">
        <f>319657703227</f>
        <v>319657703227</v>
      </c>
      <c r="W53" s="30">
        <f>491478159</f>
        <v>491478159</v>
      </c>
      <c r="X53" s="34">
        <f>22</f>
        <v>22</v>
      </c>
    </row>
    <row r="54" spans="1:24" ht="13.5" customHeight="1" x14ac:dyDescent="0.15">
      <c r="A54" s="25" t="s">
        <v>1102</v>
      </c>
      <c r="B54" s="25" t="s">
        <v>192</v>
      </c>
      <c r="C54" s="25" t="s">
        <v>1049</v>
      </c>
      <c r="D54" s="25" t="s">
        <v>1050</v>
      </c>
      <c r="E54" s="26" t="s">
        <v>45</v>
      </c>
      <c r="F54" s="27" t="s">
        <v>45</v>
      </c>
      <c r="G54" s="28" t="s">
        <v>45</v>
      </c>
      <c r="H54" s="29"/>
      <c r="I54" s="29" t="s">
        <v>46</v>
      </c>
      <c r="J54" s="30">
        <v>1</v>
      </c>
      <c r="K54" s="31">
        <f>18435</f>
        <v>18435</v>
      </c>
      <c r="L54" s="32" t="s">
        <v>995</v>
      </c>
      <c r="M54" s="31">
        <f>22500</f>
        <v>22500</v>
      </c>
      <c r="N54" s="32" t="s">
        <v>876</v>
      </c>
      <c r="O54" s="31">
        <f>18435</f>
        <v>18435</v>
      </c>
      <c r="P54" s="32" t="s">
        <v>995</v>
      </c>
      <c r="Q54" s="31">
        <f>21155</f>
        <v>21155</v>
      </c>
      <c r="R54" s="32" t="s">
        <v>893</v>
      </c>
      <c r="S54" s="33">
        <f>20713.86</f>
        <v>20713.86</v>
      </c>
      <c r="T54" s="30">
        <f>5877</f>
        <v>5877</v>
      </c>
      <c r="U54" s="30" t="str">
        <f t="shared" ref="U54:U60" si="1">"－"</f>
        <v>－</v>
      </c>
      <c r="V54" s="30">
        <f>122510485</f>
        <v>122510485</v>
      </c>
      <c r="W54" s="30" t="str">
        <f t="shared" ref="W54:W60" si="2">"－"</f>
        <v>－</v>
      </c>
      <c r="X54" s="34">
        <f>22</f>
        <v>22</v>
      </c>
    </row>
    <row r="55" spans="1:24" ht="13.5" customHeight="1" x14ac:dyDescent="0.15">
      <c r="A55" s="25" t="s">
        <v>1102</v>
      </c>
      <c r="B55" s="25" t="s">
        <v>195</v>
      </c>
      <c r="C55" s="25" t="s">
        <v>1051</v>
      </c>
      <c r="D55" s="25" t="s">
        <v>1052</v>
      </c>
      <c r="E55" s="26" t="s">
        <v>45</v>
      </c>
      <c r="F55" s="27" t="s">
        <v>45</v>
      </c>
      <c r="G55" s="28" t="s">
        <v>45</v>
      </c>
      <c r="H55" s="29"/>
      <c r="I55" s="29" t="s">
        <v>46</v>
      </c>
      <c r="J55" s="30">
        <v>1</v>
      </c>
      <c r="K55" s="31">
        <f>3985</f>
        <v>3985</v>
      </c>
      <c r="L55" s="32" t="s">
        <v>784</v>
      </c>
      <c r="M55" s="31">
        <f>4030</f>
        <v>4030</v>
      </c>
      <c r="N55" s="32" t="s">
        <v>1000</v>
      </c>
      <c r="O55" s="31">
        <f>3745</f>
        <v>3745</v>
      </c>
      <c r="P55" s="32" t="s">
        <v>1002</v>
      </c>
      <c r="Q55" s="31">
        <f>3850</f>
        <v>3850</v>
      </c>
      <c r="R55" s="32" t="s">
        <v>893</v>
      </c>
      <c r="S55" s="33">
        <f>3871.18</f>
        <v>3871.18</v>
      </c>
      <c r="T55" s="30">
        <f>3389</f>
        <v>3389</v>
      </c>
      <c r="U55" s="30" t="str">
        <f t="shared" si="1"/>
        <v>－</v>
      </c>
      <c r="V55" s="30">
        <f>13053855</f>
        <v>13053855</v>
      </c>
      <c r="W55" s="30" t="str">
        <f t="shared" si="2"/>
        <v>－</v>
      </c>
      <c r="X55" s="34">
        <f>17</f>
        <v>17</v>
      </c>
    </row>
    <row r="56" spans="1:24" ht="13.5" customHeight="1" x14ac:dyDescent="0.15">
      <c r="A56" s="25" t="s">
        <v>1102</v>
      </c>
      <c r="B56" s="25" t="s">
        <v>198</v>
      </c>
      <c r="C56" s="25" t="s">
        <v>1053</v>
      </c>
      <c r="D56" s="25" t="s">
        <v>1054</v>
      </c>
      <c r="E56" s="26" t="s">
        <v>45</v>
      </c>
      <c r="F56" s="27" t="s">
        <v>45</v>
      </c>
      <c r="G56" s="28" t="s">
        <v>45</v>
      </c>
      <c r="H56" s="29"/>
      <c r="I56" s="29" t="s">
        <v>46</v>
      </c>
      <c r="J56" s="30">
        <v>1</v>
      </c>
      <c r="K56" s="31">
        <f>1320</f>
        <v>1320</v>
      </c>
      <c r="L56" s="32" t="s">
        <v>995</v>
      </c>
      <c r="M56" s="31">
        <f>1320</f>
        <v>1320</v>
      </c>
      <c r="N56" s="32" t="s">
        <v>995</v>
      </c>
      <c r="O56" s="31">
        <f>1111</f>
        <v>1111</v>
      </c>
      <c r="P56" s="32" t="s">
        <v>894</v>
      </c>
      <c r="Q56" s="31">
        <f>1140</f>
        <v>1140</v>
      </c>
      <c r="R56" s="32" t="s">
        <v>893</v>
      </c>
      <c r="S56" s="33">
        <f>1170.64</f>
        <v>1170.6400000000001</v>
      </c>
      <c r="T56" s="30">
        <f>66176</f>
        <v>66176</v>
      </c>
      <c r="U56" s="30" t="str">
        <f t="shared" si="1"/>
        <v>－</v>
      </c>
      <c r="V56" s="30">
        <f>77802343</f>
        <v>77802343</v>
      </c>
      <c r="W56" s="30" t="str">
        <f t="shared" si="2"/>
        <v>－</v>
      </c>
      <c r="X56" s="34">
        <f>22</f>
        <v>22</v>
      </c>
    </row>
    <row r="57" spans="1:24" ht="13.5" customHeight="1" x14ac:dyDescent="0.15">
      <c r="A57" s="25" t="s">
        <v>1102</v>
      </c>
      <c r="B57" s="25" t="s">
        <v>201</v>
      </c>
      <c r="C57" s="25" t="s">
        <v>202</v>
      </c>
      <c r="D57" s="25" t="s">
        <v>203</v>
      </c>
      <c r="E57" s="26" t="s">
        <v>1014</v>
      </c>
      <c r="F57" s="27" t="s">
        <v>1015</v>
      </c>
      <c r="G57" s="28" t="s">
        <v>1103</v>
      </c>
      <c r="H57" s="29" t="s">
        <v>877</v>
      </c>
      <c r="I57" s="29"/>
      <c r="J57" s="30">
        <v>10</v>
      </c>
      <c r="K57" s="31">
        <f>17450</f>
        <v>17450</v>
      </c>
      <c r="L57" s="32" t="s">
        <v>995</v>
      </c>
      <c r="M57" s="31">
        <f>19000</f>
        <v>19000</v>
      </c>
      <c r="N57" s="32" t="s">
        <v>78</v>
      </c>
      <c r="O57" s="31">
        <f>17180</f>
        <v>17180</v>
      </c>
      <c r="P57" s="32" t="s">
        <v>999</v>
      </c>
      <c r="Q57" s="31">
        <f>17915</f>
        <v>17915</v>
      </c>
      <c r="R57" s="32" t="s">
        <v>1000</v>
      </c>
      <c r="S57" s="33">
        <f>18126.67</f>
        <v>18126.669999999998</v>
      </c>
      <c r="T57" s="30">
        <f>1400</f>
        <v>1400</v>
      </c>
      <c r="U57" s="30" t="str">
        <f t="shared" si="1"/>
        <v>－</v>
      </c>
      <c r="V57" s="30">
        <f>25239150</f>
        <v>25239150</v>
      </c>
      <c r="W57" s="30" t="str">
        <f t="shared" si="2"/>
        <v>－</v>
      </c>
      <c r="X57" s="34">
        <f>6</f>
        <v>6</v>
      </c>
    </row>
    <row r="58" spans="1:24" ht="13.5" customHeight="1" x14ac:dyDescent="0.15">
      <c r="A58" s="25" t="s">
        <v>1102</v>
      </c>
      <c r="B58" s="25" t="s">
        <v>204</v>
      </c>
      <c r="C58" s="25" t="s">
        <v>205</v>
      </c>
      <c r="D58" s="25" t="s">
        <v>206</v>
      </c>
      <c r="E58" s="26" t="s">
        <v>1014</v>
      </c>
      <c r="F58" s="27" t="s">
        <v>1015</v>
      </c>
      <c r="G58" s="28" t="s">
        <v>1103</v>
      </c>
      <c r="H58" s="29" t="s">
        <v>877</v>
      </c>
      <c r="I58" s="29"/>
      <c r="J58" s="30">
        <v>10</v>
      </c>
      <c r="K58" s="31">
        <f>3291</f>
        <v>3291</v>
      </c>
      <c r="L58" s="32" t="s">
        <v>999</v>
      </c>
      <c r="M58" s="31">
        <f>3390</f>
        <v>3390</v>
      </c>
      <c r="N58" s="32" t="s">
        <v>784</v>
      </c>
      <c r="O58" s="31">
        <f>3250</f>
        <v>3250</v>
      </c>
      <c r="P58" s="32" t="s">
        <v>784</v>
      </c>
      <c r="Q58" s="31">
        <f>3370</f>
        <v>3370</v>
      </c>
      <c r="R58" s="32" t="s">
        <v>1004</v>
      </c>
      <c r="S58" s="33">
        <f>3306.83</f>
        <v>3306.83</v>
      </c>
      <c r="T58" s="30">
        <f>690</f>
        <v>690</v>
      </c>
      <c r="U58" s="30" t="str">
        <f t="shared" si="1"/>
        <v>－</v>
      </c>
      <c r="V58" s="30">
        <f>2275810</f>
        <v>2275810</v>
      </c>
      <c r="W58" s="30" t="str">
        <f t="shared" si="2"/>
        <v>－</v>
      </c>
      <c r="X58" s="34">
        <f>6</f>
        <v>6</v>
      </c>
    </row>
    <row r="59" spans="1:24" ht="13.5" customHeight="1" x14ac:dyDescent="0.15">
      <c r="A59" s="25" t="s">
        <v>1102</v>
      </c>
      <c r="B59" s="25" t="s">
        <v>207</v>
      </c>
      <c r="C59" s="25" t="s">
        <v>208</v>
      </c>
      <c r="D59" s="25" t="s">
        <v>209</v>
      </c>
      <c r="E59" s="26" t="s">
        <v>45</v>
      </c>
      <c r="F59" s="27" t="s">
        <v>45</v>
      </c>
      <c r="G59" s="28" t="s">
        <v>45</v>
      </c>
      <c r="H59" s="29"/>
      <c r="I59" s="29" t="s">
        <v>46</v>
      </c>
      <c r="J59" s="30">
        <v>10</v>
      </c>
      <c r="K59" s="31">
        <f>1305</f>
        <v>1305</v>
      </c>
      <c r="L59" s="32" t="s">
        <v>995</v>
      </c>
      <c r="M59" s="31">
        <f>1305</f>
        <v>1305</v>
      </c>
      <c r="N59" s="32" t="s">
        <v>995</v>
      </c>
      <c r="O59" s="31">
        <f>1079.5</f>
        <v>1079.5</v>
      </c>
      <c r="P59" s="32" t="s">
        <v>1001</v>
      </c>
      <c r="Q59" s="31">
        <f>1112</f>
        <v>1112</v>
      </c>
      <c r="R59" s="32" t="s">
        <v>893</v>
      </c>
      <c r="S59" s="33">
        <f>1152</f>
        <v>1152</v>
      </c>
      <c r="T59" s="30">
        <f>166210</f>
        <v>166210</v>
      </c>
      <c r="U59" s="30" t="str">
        <f t="shared" si="1"/>
        <v>－</v>
      </c>
      <c r="V59" s="30">
        <f>190827630</f>
        <v>190827630</v>
      </c>
      <c r="W59" s="30" t="str">
        <f t="shared" si="2"/>
        <v>－</v>
      </c>
      <c r="X59" s="34">
        <f>22</f>
        <v>22</v>
      </c>
    </row>
    <row r="60" spans="1:24" ht="13.5" customHeight="1" x14ac:dyDescent="0.15">
      <c r="A60" s="25" t="s">
        <v>1102</v>
      </c>
      <c r="B60" s="25" t="s">
        <v>210</v>
      </c>
      <c r="C60" s="25" t="s">
        <v>211</v>
      </c>
      <c r="D60" s="25" t="s">
        <v>212</v>
      </c>
      <c r="E60" s="26" t="s">
        <v>45</v>
      </c>
      <c r="F60" s="27" t="s">
        <v>45</v>
      </c>
      <c r="G60" s="28" t="s">
        <v>45</v>
      </c>
      <c r="H60" s="29"/>
      <c r="I60" s="29" t="s">
        <v>46</v>
      </c>
      <c r="J60" s="30">
        <v>1</v>
      </c>
      <c r="K60" s="31">
        <f>525</f>
        <v>525</v>
      </c>
      <c r="L60" s="32" t="s">
        <v>995</v>
      </c>
      <c r="M60" s="31">
        <f>527</f>
        <v>527</v>
      </c>
      <c r="N60" s="32" t="s">
        <v>995</v>
      </c>
      <c r="O60" s="31">
        <f>446</f>
        <v>446</v>
      </c>
      <c r="P60" s="32" t="s">
        <v>1002</v>
      </c>
      <c r="Q60" s="31">
        <f>454</f>
        <v>454</v>
      </c>
      <c r="R60" s="32" t="s">
        <v>893</v>
      </c>
      <c r="S60" s="33">
        <f>470.41</f>
        <v>470.41</v>
      </c>
      <c r="T60" s="30">
        <f>89536</f>
        <v>89536</v>
      </c>
      <c r="U60" s="30" t="str">
        <f t="shared" si="1"/>
        <v>－</v>
      </c>
      <c r="V60" s="30">
        <f>42398935</f>
        <v>42398935</v>
      </c>
      <c r="W60" s="30" t="str">
        <f t="shared" si="2"/>
        <v>－</v>
      </c>
      <c r="X60" s="34">
        <f>22</f>
        <v>22</v>
      </c>
    </row>
    <row r="61" spans="1:24" ht="13.5" customHeight="1" x14ac:dyDescent="0.15">
      <c r="A61" s="25" t="s">
        <v>1102</v>
      </c>
      <c r="B61" s="25" t="s">
        <v>213</v>
      </c>
      <c r="C61" s="25" t="s">
        <v>214</v>
      </c>
      <c r="D61" s="25" t="s">
        <v>215</v>
      </c>
      <c r="E61" s="26" t="s">
        <v>45</v>
      </c>
      <c r="F61" s="27" t="s">
        <v>45</v>
      </c>
      <c r="G61" s="28" t="s">
        <v>45</v>
      </c>
      <c r="H61" s="29"/>
      <c r="I61" s="29" t="s">
        <v>46</v>
      </c>
      <c r="J61" s="30">
        <v>10</v>
      </c>
      <c r="K61" s="31">
        <f>2181</f>
        <v>2181</v>
      </c>
      <c r="L61" s="32" t="s">
        <v>995</v>
      </c>
      <c r="M61" s="31">
        <f>2370</f>
        <v>2370</v>
      </c>
      <c r="N61" s="32" t="s">
        <v>1017</v>
      </c>
      <c r="O61" s="31">
        <f>2181</f>
        <v>2181</v>
      </c>
      <c r="P61" s="32" t="s">
        <v>995</v>
      </c>
      <c r="Q61" s="31">
        <f>2345.5</f>
        <v>2345.5</v>
      </c>
      <c r="R61" s="32" t="s">
        <v>893</v>
      </c>
      <c r="S61" s="33">
        <f>2311.8</f>
        <v>2311.8000000000002</v>
      </c>
      <c r="T61" s="30">
        <f>2360330</f>
        <v>2360330</v>
      </c>
      <c r="U61" s="30">
        <f>448500</f>
        <v>448500</v>
      </c>
      <c r="V61" s="30">
        <f>5418256855</f>
        <v>5418256855</v>
      </c>
      <c r="W61" s="30">
        <f>1022735060</f>
        <v>1022735060</v>
      </c>
      <c r="X61" s="34">
        <f>22</f>
        <v>22</v>
      </c>
    </row>
    <row r="62" spans="1:24" ht="13.5" customHeight="1" x14ac:dyDescent="0.15">
      <c r="A62" s="25" t="s">
        <v>1102</v>
      </c>
      <c r="B62" s="25" t="s">
        <v>216</v>
      </c>
      <c r="C62" s="25" t="s">
        <v>217</v>
      </c>
      <c r="D62" s="25" t="s">
        <v>218</v>
      </c>
      <c r="E62" s="26" t="s">
        <v>45</v>
      </c>
      <c r="F62" s="27" t="s">
        <v>45</v>
      </c>
      <c r="G62" s="28" t="s">
        <v>45</v>
      </c>
      <c r="H62" s="29"/>
      <c r="I62" s="29" t="s">
        <v>46</v>
      </c>
      <c r="J62" s="30">
        <v>1</v>
      </c>
      <c r="K62" s="31">
        <f>19675</f>
        <v>19675</v>
      </c>
      <c r="L62" s="32" t="s">
        <v>995</v>
      </c>
      <c r="M62" s="31">
        <f>21800</f>
        <v>21800</v>
      </c>
      <c r="N62" s="32" t="s">
        <v>894</v>
      </c>
      <c r="O62" s="31">
        <f>19675</f>
        <v>19675</v>
      </c>
      <c r="P62" s="32" t="s">
        <v>995</v>
      </c>
      <c r="Q62" s="31">
        <f>21170</f>
        <v>21170</v>
      </c>
      <c r="R62" s="32" t="s">
        <v>893</v>
      </c>
      <c r="S62" s="33">
        <f>20896.59</f>
        <v>20896.59</v>
      </c>
      <c r="T62" s="30">
        <f>10883</f>
        <v>10883</v>
      </c>
      <c r="U62" s="30" t="str">
        <f>"－"</f>
        <v>－</v>
      </c>
      <c r="V62" s="30">
        <f>229598095</f>
        <v>229598095</v>
      </c>
      <c r="W62" s="30" t="str">
        <f>"－"</f>
        <v>－</v>
      </c>
      <c r="X62" s="34">
        <f>22</f>
        <v>22</v>
      </c>
    </row>
    <row r="63" spans="1:24" ht="13.5" customHeight="1" x14ac:dyDescent="0.15">
      <c r="A63" s="25" t="s">
        <v>1102</v>
      </c>
      <c r="B63" s="25" t="s">
        <v>219</v>
      </c>
      <c r="C63" s="25" t="s">
        <v>220</v>
      </c>
      <c r="D63" s="25" t="s">
        <v>221</v>
      </c>
      <c r="E63" s="26" t="s">
        <v>45</v>
      </c>
      <c r="F63" s="27" t="s">
        <v>45</v>
      </c>
      <c r="G63" s="28" t="s">
        <v>45</v>
      </c>
      <c r="H63" s="29"/>
      <c r="I63" s="29" t="s">
        <v>46</v>
      </c>
      <c r="J63" s="30">
        <v>1</v>
      </c>
      <c r="K63" s="31">
        <f>2201</f>
        <v>2201</v>
      </c>
      <c r="L63" s="32" t="s">
        <v>995</v>
      </c>
      <c r="M63" s="31">
        <f>2391</f>
        <v>2391</v>
      </c>
      <c r="N63" s="32" t="s">
        <v>1017</v>
      </c>
      <c r="O63" s="31">
        <f>2197</f>
        <v>2197</v>
      </c>
      <c r="P63" s="32" t="s">
        <v>995</v>
      </c>
      <c r="Q63" s="31">
        <f>2389</f>
        <v>2389</v>
      </c>
      <c r="R63" s="32" t="s">
        <v>893</v>
      </c>
      <c r="S63" s="33">
        <f>2331.73</f>
        <v>2331.73</v>
      </c>
      <c r="T63" s="30">
        <f>25283929</f>
        <v>25283929</v>
      </c>
      <c r="U63" s="30">
        <f>7668759</f>
        <v>7668759</v>
      </c>
      <c r="V63" s="30">
        <f>59226898984</f>
        <v>59226898984</v>
      </c>
      <c r="W63" s="30">
        <f>17998802523</f>
        <v>17998802523</v>
      </c>
      <c r="X63" s="34">
        <f>22</f>
        <v>22</v>
      </c>
    </row>
    <row r="64" spans="1:24" ht="13.5" customHeight="1" x14ac:dyDescent="0.15">
      <c r="A64" s="25" t="s">
        <v>1102</v>
      </c>
      <c r="B64" s="25" t="s">
        <v>222</v>
      </c>
      <c r="C64" s="25" t="s">
        <v>223</v>
      </c>
      <c r="D64" s="25" t="s">
        <v>224</v>
      </c>
      <c r="E64" s="26" t="s">
        <v>45</v>
      </c>
      <c r="F64" s="27" t="s">
        <v>45</v>
      </c>
      <c r="G64" s="28" t="s">
        <v>45</v>
      </c>
      <c r="H64" s="29"/>
      <c r="I64" s="29" t="s">
        <v>46</v>
      </c>
      <c r="J64" s="30">
        <v>1</v>
      </c>
      <c r="K64" s="31">
        <f>1920</f>
        <v>1920</v>
      </c>
      <c r="L64" s="32" t="s">
        <v>995</v>
      </c>
      <c r="M64" s="31">
        <f>1931</f>
        <v>1931</v>
      </c>
      <c r="N64" s="32" t="s">
        <v>1017</v>
      </c>
      <c r="O64" s="31">
        <f>1890</f>
        <v>1890</v>
      </c>
      <c r="P64" s="32" t="s">
        <v>786</v>
      </c>
      <c r="Q64" s="31">
        <f>1918</f>
        <v>1918</v>
      </c>
      <c r="R64" s="32" t="s">
        <v>893</v>
      </c>
      <c r="S64" s="33">
        <f>1915.32</f>
        <v>1915.32</v>
      </c>
      <c r="T64" s="30">
        <f>3322974</f>
        <v>3322974</v>
      </c>
      <c r="U64" s="30">
        <f>1512070</f>
        <v>1512070</v>
      </c>
      <c r="V64" s="30">
        <f>6372067146</f>
        <v>6372067146</v>
      </c>
      <c r="W64" s="30">
        <f>2904699717</f>
        <v>2904699717</v>
      </c>
      <c r="X64" s="34">
        <f>22</f>
        <v>22</v>
      </c>
    </row>
    <row r="65" spans="1:24" ht="13.5" customHeight="1" x14ac:dyDescent="0.15">
      <c r="A65" s="25" t="s">
        <v>1102</v>
      </c>
      <c r="B65" s="25" t="s">
        <v>225</v>
      </c>
      <c r="C65" s="25" t="s">
        <v>226</v>
      </c>
      <c r="D65" s="25" t="s">
        <v>227</v>
      </c>
      <c r="E65" s="26" t="s">
        <v>45</v>
      </c>
      <c r="F65" s="27" t="s">
        <v>45</v>
      </c>
      <c r="G65" s="28" t="s">
        <v>45</v>
      </c>
      <c r="H65" s="29"/>
      <c r="I65" s="29" t="s">
        <v>46</v>
      </c>
      <c r="J65" s="30">
        <v>1</v>
      </c>
      <c r="K65" s="31">
        <f>2082</f>
        <v>2082</v>
      </c>
      <c r="L65" s="32" t="s">
        <v>995</v>
      </c>
      <c r="M65" s="31">
        <f>2235</f>
        <v>2235</v>
      </c>
      <c r="N65" s="32" t="s">
        <v>786</v>
      </c>
      <c r="O65" s="31">
        <f>2082</f>
        <v>2082</v>
      </c>
      <c r="P65" s="32" t="s">
        <v>995</v>
      </c>
      <c r="Q65" s="31">
        <f>2192</f>
        <v>2192</v>
      </c>
      <c r="R65" s="32" t="s">
        <v>893</v>
      </c>
      <c r="S65" s="33">
        <f>2179.18</f>
        <v>2179.1799999999998</v>
      </c>
      <c r="T65" s="30">
        <f>91250</f>
        <v>91250</v>
      </c>
      <c r="U65" s="30">
        <f>32421</f>
        <v>32421</v>
      </c>
      <c r="V65" s="30">
        <f>196403594</f>
        <v>196403594</v>
      </c>
      <c r="W65" s="30">
        <f>71401706</f>
        <v>71401706</v>
      </c>
      <c r="X65" s="34">
        <f>22</f>
        <v>22</v>
      </c>
    </row>
    <row r="66" spans="1:24" ht="13.5" customHeight="1" x14ac:dyDescent="0.15">
      <c r="A66" s="25" t="s">
        <v>1102</v>
      </c>
      <c r="B66" s="25" t="s">
        <v>228</v>
      </c>
      <c r="C66" s="25" t="s">
        <v>229</v>
      </c>
      <c r="D66" s="25" t="s">
        <v>230</v>
      </c>
      <c r="E66" s="26" t="s">
        <v>45</v>
      </c>
      <c r="F66" s="27" t="s">
        <v>45</v>
      </c>
      <c r="G66" s="28" t="s">
        <v>45</v>
      </c>
      <c r="H66" s="29"/>
      <c r="I66" s="29" t="s">
        <v>46</v>
      </c>
      <c r="J66" s="30">
        <v>1</v>
      </c>
      <c r="K66" s="31">
        <f>2682</f>
        <v>2682</v>
      </c>
      <c r="L66" s="32" t="s">
        <v>995</v>
      </c>
      <c r="M66" s="31">
        <f>2999</f>
        <v>2999</v>
      </c>
      <c r="N66" s="32" t="s">
        <v>1017</v>
      </c>
      <c r="O66" s="31">
        <f>2680</f>
        <v>2680</v>
      </c>
      <c r="P66" s="32" t="s">
        <v>995</v>
      </c>
      <c r="Q66" s="31">
        <f>2943</f>
        <v>2943</v>
      </c>
      <c r="R66" s="32" t="s">
        <v>893</v>
      </c>
      <c r="S66" s="33">
        <f>2865.5</f>
        <v>2865.5</v>
      </c>
      <c r="T66" s="30">
        <f>676473</f>
        <v>676473</v>
      </c>
      <c r="U66" s="30">
        <f>223042</f>
        <v>223042</v>
      </c>
      <c r="V66" s="30">
        <f>1957675558</f>
        <v>1957675558</v>
      </c>
      <c r="W66" s="30">
        <f>651158288</f>
        <v>651158288</v>
      </c>
      <c r="X66" s="34">
        <f>22</f>
        <v>22</v>
      </c>
    </row>
    <row r="67" spans="1:24" ht="13.5" customHeight="1" x14ac:dyDescent="0.15">
      <c r="A67" s="25" t="s">
        <v>1102</v>
      </c>
      <c r="B67" s="25" t="s">
        <v>231</v>
      </c>
      <c r="C67" s="25" t="s">
        <v>1055</v>
      </c>
      <c r="D67" s="25" t="s">
        <v>1056</v>
      </c>
      <c r="E67" s="26" t="s">
        <v>45</v>
      </c>
      <c r="F67" s="27" t="s">
        <v>45</v>
      </c>
      <c r="G67" s="28" t="s">
        <v>45</v>
      </c>
      <c r="H67" s="29"/>
      <c r="I67" s="29" t="s">
        <v>46</v>
      </c>
      <c r="J67" s="30">
        <v>1</v>
      </c>
      <c r="K67" s="31">
        <f>27260</f>
        <v>27260</v>
      </c>
      <c r="L67" s="32" t="s">
        <v>999</v>
      </c>
      <c r="M67" s="31">
        <f>29195</f>
        <v>29195</v>
      </c>
      <c r="N67" s="32" t="s">
        <v>1002</v>
      </c>
      <c r="O67" s="31">
        <f>27260</f>
        <v>27260</v>
      </c>
      <c r="P67" s="32" t="s">
        <v>999</v>
      </c>
      <c r="Q67" s="31">
        <f>28860</f>
        <v>28860</v>
      </c>
      <c r="R67" s="32" t="s">
        <v>997</v>
      </c>
      <c r="S67" s="33">
        <f>28482.67</f>
        <v>28482.67</v>
      </c>
      <c r="T67" s="30">
        <f>600</f>
        <v>600</v>
      </c>
      <c r="U67" s="30" t="str">
        <f>"－"</f>
        <v>－</v>
      </c>
      <c r="V67" s="30">
        <f>17210745</f>
        <v>17210745</v>
      </c>
      <c r="W67" s="30" t="str">
        <f>"－"</f>
        <v>－</v>
      </c>
      <c r="X67" s="34">
        <f>15</f>
        <v>15</v>
      </c>
    </row>
    <row r="68" spans="1:24" ht="13.5" customHeight="1" x14ac:dyDescent="0.15">
      <c r="A68" s="25" t="s">
        <v>1102</v>
      </c>
      <c r="B68" s="25" t="s">
        <v>234</v>
      </c>
      <c r="C68" s="25" t="s">
        <v>235</v>
      </c>
      <c r="D68" s="25" t="s">
        <v>236</v>
      </c>
      <c r="E68" s="26" t="s">
        <v>45</v>
      </c>
      <c r="F68" s="27" t="s">
        <v>45</v>
      </c>
      <c r="G68" s="28" t="s">
        <v>45</v>
      </c>
      <c r="H68" s="29"/>
      <c r="I68" s="29" t="s">
        <v>46</v>
      </c>
      <c r="J68" s="30">
        <v>1</v>
      </c>
      <c r="K68" s="31">
        <f>22250</f>
        <v>22250</v>
      </c>
      <c r="L68" s="32" t="s">
        <v>999</v>
      </c>
      <c r="M68" s="31">
        <f>23445</f>
        <v>23445</v>
      </c>
      <c r="N68" s="32" t="s">
        <v>1001</v>
      </c>
      <c r="O68" s="31">
        <f>22250</f>
        <v>22250</v>
      </c>
      <c r="P68" s="32" t="s">
        <v>999</v>
      </c>
      <c r="Q68" s="31">
        <f>23230</f>
        <v>23230</v>
      </c>
      <c r="R68" s="32" t="s">
        <v>1017</v>
      </c>
      <c r="S68" s="33">
        <f>22845.45</f>
        <v>22845.45</v>
      </c>
      <c r="T68" s="30">
        <f>75</f>
        <v>75</v>
      </c>
      <c r="U68" s="30" t="str">
        <f>"－"</f>
        <v>－</v>
      </c>
      <c r="V68" s="30">
        <f>1724720</f>
        <v>1724720</v>
      </c>
      <c r="W68" s="30" t="str">
        <f>"－"</f>
        <v>－</v>
      </c>
      <c r="X68" s="34">
        <f>11</f>
        <v>11</v>
      </c>
    </row>
    <row r="69" spans="1:24" ht="13.5" customHeight="1" x14ac:dyDescent="0.15">
      <c r="A69" s="25" t="s">
        <v>1102</v>
      </c>
      <c r="B69" s="25" t="s">
        <v>237</v>
      </c>
      <c r="C69" s="25" t="s">
        <v>238</v>
      </c>
      <c r="D69" s="25" t="s">
        <v>239</v>
      </c>
      <c r="E69" s="26" t="s">
        <v>45</v>
      </c>
      <c r="F69" s="27" t="s">
        <v>45</v>
      </c>
      <c r="G69" s="28" t="s">
        <v>45</v>
      </c>
      <c r="H69" s="29"/>
      <c r="I69" s="29" t="s">
        <v>46</v>
      </c>
      <c r="J69" s="30">
        <v>1</v>
      </c>
      <c r="K69" s="31">
        <f>2230</f>
        <v>2230</v>
      </c>
      <c r="L69" s="32" t="s">
        <v>995</v>
      </c>
      <c r="M69" s="31">
        <f>2418</f>
        <v>2418</v>
      </c>
      <c r="N69" s="32" t="s">
        <v>1017</v>
      </c>
      <c r="O69" s="31">
        <f>2230</f>
        <v>2230</v>
      </c>
      <c r="P69" s="32" t="s">
        <v>995</v>
      </c>
      <c r="Q69" s="31">
        <f>2382</f>
        <v>2382</v>
      </c>
      <c r="R69" s="32" t="s">
        <v>893</v>
      </c>
      <c r="S69" s="33">
        <f>2357.73</f>
        <v>2357.73</v>
      </c>
      <c r="T69" s="30">
        <f>3052</f>
        <v>3052</v>
      </c>
      <c r="U69" s="30" t="str">
        <f>"－"</f>
        <v>－</v>
      </c>
      <c r="V69" s="30">
        <f>7199988</f>
        <v>7199988</v>
      </c>
      <c r="W69" s="30" t="str">
        <f>"－"</f>
        <v>－</v>
      </c>
      <c r="X69" s="34">
        <f>22</f>
        <v>22</v>
      </c>
    </row>
    <row r="70" spans="1:24" ht="13.5" customHeight="1" x14ac:dyDescent="0.15">
      <c r="A70" s="25" t="s">
        <v>1102</v>
      </c>
      <c r="B70" s="25" t="s">
        <v>240</v>
      </c>
      <c r="C70" s="25" t="s">
        <v>241</v>
      </c>
      <c r="D70" s="25" t="s">
        <v>242</v>
      </c>
      <c r="E70" s="26" t="s">
        <v>45</v>
      </c>
      <c r="F70" s="27" t="s">
        <v>45</v>
      </c>
      <c r="G70" s="28" t="s">
        <v>45</v>
      </c>
      <c r="H70" s="29"/>
      <c r="I70" s="29" t="s">
        <v>46</v>
      </c>
      <c r="J70" s="30">
        <v>1</v>
      </c>
      <c r="K70" s="31">
        <f>1903</f>
        <v>1903</v>
      </c>
      <c r="L70" s="32" t="s">
        <v>995</v>
      </c>
      <c r="M70" s="31">
        <f>1903</f>
        <v>1903</v>
      </c>
      <c r="N70" s="32" t="s">
        <v>995</v>
      </c>
      <c r="O70" s="31">
        <f>1855</f>
        <v>1855</v>
      </c>
      <c r="P70" s="32" t="s">
        <v>893</v>
      </c>
      <c r="Q70" s="31">
        <f>1859</f>
        <v>1859</v>
      </c>
      <c r="R70" s="32" t="s">
        <v>893</v>
      </c>
      <c r="S70" s="33">
        <f>1875.27</f>
        <v>1875.27</v>
      </c>
      <c r="T70" s="30">
        <f>10134834</f>
        <v>10134834</v>
      </c>
      <c r="U70" s="30">
        <f>8762777</f>
        <v>8762777</v>
      </c>
      <c r="V70" s="30">
        <f>18955135761</f>
        <v>18955135761</v>
      </c>
      <c r="W70" s="30">
        <f>16386673924</f>
        <v>16386673924</v>
      </c>
      <c r="X70" s="34">
        <f>22</f>
        <v>22</v>
      </c>
    </row>
    <row r="71" spans="1:24" ht="13.5" customHeight="1" x14ac:dyDescent="0.15">
      <c r="A71" s="25" t="s">
        <v>1102</v>
      </c>
      <c r="B71" s="25" t="s">
        <v>243</v>
      </c>
      <c r="C71" s="25" t="s">
        <v>244</v>
      </c>
      <c r="D71" s="25" t="s">
        <v>245</v>
      </c>
      <c r="E71" s="26" t="s">
        <v>45</v>
      </c>
      <c r="F71" s="27" t="s">
        <v>45</v>
      </c>
      <c r="G71" s="28" t="s">
        <v>45</v>
      </c>
      <c r="H71" s="29"/>
      <c r="I71" s="29" t="s">
        <v>46</v>
      </c>
      <c r="J71" s="30">
        <v>1</v>
      </c>
      <c r="K71" s="31">
        <f>2210</f>
        <v>2210</v>
      </c>
      <c r="L71" s="32" t="s">
        <v>995</v>
      </c>
      <c r="M71" s="31">
        <f>2493</f>
        <v>2493</v>
      </c>
      <c r="N71" s="32" t="s">
        <v>894</v>
      </c>
      <c r="O71" s="31">
        <f>2210</f>
        <v>2210</v>
      </c>
      <c r="P71" s="32" t="s">
        <v>995</v>
      </c>
      <c r="Q71" s="31">
        <f>2392</f>
        <v>2392</v>
      </c>
      <c r="R71" s="32" t="s">
        <v>893</v>
      </c>
      <c r="S71" s="33">
        <f>2344.95</f>
        <v>2344.9499999999998</v>
      </c>
      <c r="T71" s="30">
        <f>2754</f>
        <v>2754</v>
      </c>
      <c r="U71" s="30" t="str">
        <f>"－"</f>
        <v>－</v>
      </c>
      <c r="V71" s="30">
        <f>6466054</f>
        <v>6466054</v>
      </c>
      <c r="W71" s="30" t="str">
        <f>"－"</f>
        <v>－</v>
      </c>
      <c r="X71" s="34">
        <f>22</f>
        <v>22</v>
      </c>
    </row>
    <row r="72" spans="1:24" ht="13.5" customHeight="1" x14ac:dyDescent="0.15">
      <c r="A72" s="25" t="s">
        <v>1102</v>
      </c>
      <c r="B72" s="25" t="s">
        <v>246</v>
      </c>
      <c r="C72" s="25" t="s">
        <v>247</v>
      </c>
      <c r="D72" s="25" t="s">
        <v>248</v>
      </c>
      <c r="E72" s="26" t="s">
        <v>45</v>
      </c>
      <c r="F72" s="27" t="s">
        <v>45</v>
      </c>
      <c r="G72" s="28" t="s">
        <v>45</v>
      </c>
      <c r="H72" s="29"/>
      <c r="I72" s="29" t="s">
        <v>46</v>
      </c>
      <c r="J72" s="30">
        <v>10</v>
      </c>
      <c r="K72" s="31">
        <f>2221</f>
        <v>2221</v>
      </c>
      <c r="L72" s="32" t="s">
        <v>995</v>
      </c>
      <c r="M72" s="31">
        <f>2375</f>
        <v>2375</v>
      </c>
      <c r="N72" s="32" t="s">
        <v>894</v>
      </c>
      <c r="O72" s="31">
        <f>2220</f>
        <v>2220</v>
      </c>
      <c r="P72" s="32" t="s">
        <v>995</v>
      </c>
      <c r="Q72" s="31">
        <f>2348.5</f>
        <v>2348.5</v>
      </c>
      <c r="R72" s="32" t="s">
        <v>893</v>
      </c>
      <c r="S72" s="33">
        <f>2325.95</f>
        <v>2325.9499999999998</v>
      </c>
      <c r="T72" s="30">
        <f>79630</f>
        <v>79630</v>
      </c>
      <c r="U72" s="30" t="str">
        <f>"－"</f>
        <v>－</v>
      </c>
      <c r="V72" s="30">
        <f>183626715</f>
        <v>183626715</v>
      </c>
      <c r="W72" s="30" t="str">
        <f>"－"</f>
        <v>－</v>
      </c>
      <c r="X72" s="34">
        <f>22</f>
        <v>22</v>
      </c>
    </row>
    <row r="73" spans="1:24" ht="13.5" customHeight="1" x14ac:dyDescent="0.15">
      <c r="A73" s="25" t="s">
        <v>1102</v>
      </c>
      <c r="B73" s="25" t="s">
        <v>249</v>
      </c>
      <c r="C73" s="25" t="s">
        <v>250</v>
      </c>
      <c r="D73" s="25" t="s">
        <v>251</v>
      </c>
      <c r="E73" s="26" t="s">
        <v>45</v>
      </c>
      <c r="F73" s="27" t="s">
        <v>45</v>
      </c>
      <c r="G73" s="28" t="s">
        <v>45</v>
      </c>
      <c r="H73" s="29"/>
      <c r="I73" s="29" t="s">
        <v>46</v>
      </c>
      <c r="J73" s="30">
        <v>1</v>
      </c>
      <c r="K73" s="31">
        <f>32950</f>
        <v>32950</v>
      </c>
      <c r="L73" s="32" t="s">
        <v>784</v>
      </c>
      <c r="M73" s="31">
        <f>36010</f>
        <v>36010</v>
      </c>
      <c r="N73" s="32" t="s">
        <v>1005</v>
      </c>
      <c r="O73" s="31">
        <f>32250</f>
        <v>32250</v>
      </c>
      <c r="P73" s="32" t="s">
        <v>784</v>
      </c>
      <c r="Q73" s="31">
        <f>35610</f>
        <v>35610</v>
      </c>
      <c r="R73" s="32" t="s">
        <v>893</v>
      </c>
      <c r="S73" s="33">
        <f>34780.91</f>
        <v>34780.910000000003</v>
      </c>
      <c r="T73" s="30">
        <f>114</f>
        <v>114</v>
      </c>
      <c r="U73" s="30">
        <f>1</f>
        <v>1</v>
      </c>
      <c r="V73" s="30">
        <f>3989410</f>
        <v>3989410</v>
      </c>
      <c r="W73" s="30">
        <f>34210</f>
        <v>34210</v>
      </c>
      <c r="X73" s="34">
        <f>11</f>
        <v>11</v>
      </c>
    </row>
    <row r="74" spans="1:24" ht="13.5" customHeight="1" x14ac:dyDescent="0.15">
      <c r="A74" s="25" t="s">
        <v>1102</v>
      </c>
      <c r="B74" s="25" t="s">
        <v>252</v>
      </c>
      <c r="C74" s="25" t="s">
        <v>253</v>
      </c>
      <c r="D74" s="25" t="s">
        <v>254</v>
      </c>
      <c r="E74" s="26" t="s">
        <v>45</v>
      </c>
      <c r="F74" s="27" t="s">
        <v>45</v>
      </c>
      <c r="G74" s="28" t="s">
        <v>45</v>
      </c>
      <c r="H74" s="29"/>
      <c r="I74" s="29" t="s">
        <v>46</v>
      </c>
      <c r="J74" s="30">
        <v>1</v>
      </c>
      <c r="K74" s="31">
        <f>22725</f>
        <v>22725</v>
      </c>
      <c r="L74" s="32" t="s">
        <v>995</v>
      </c>
      <c r="M74" s="31">
        <f>23440</f>
        <v>23440</v>
      </c>
      <c r="N74" s="32" t="s">
        <v>1017</v>
      </c>
      <c r="O74" s="31">
        <f>22230</f>
        <v>22230</v>
      </c>
      <c r="P74" s="32" t="s">
        <v>995</v>
      </c>
      <c r="Q74" s="31">
        <f>23245</f>
        <v>23245</v>
      </c>
      <c r="R74" s="32" t="s">
        <v>893</v>
      </c>
      <c r="S74" s="33">
        <f>22843.64</f>
        <v>22843.64</v>
      </c>
      <c r="T74" s="30">
        <f>844663</f>
        <v>844663</v>
      </c>
      <c r="U74" s="30">
        <f>701963</f>
        <v>701963</v>
      </c>
      <c r="V74" s="30">
        <f>19335097779</f>
        <v>19335097779</v>
      </c>
      <c r="W74" s="30">
        <f>16073887329</f>
        <v>16073887329</v>
      </c>
      <c r="X74" s="34">
        <f>22</f>
        <v>22</v>
      </c>
    </row>
    <row r="75" spans="1:24" ht="13.5" customHeight="1" x14ac:dyDescent="0.15">
      <c r="A75" s="25" t="s">
        <v>1102</v>
      </c>
      <c r="B75" s="25" t="s">
        <v>256</v>
      </c>
      <c r="C75" s="25" t="s">
        <v>257</v>
      </c>
      <c r="D75" s="25" t="s">
        <v>258</v>
      </c>
      <c r="E75" s="26" t="s">
        <v>45</v>
      </c>
      <c r="F75" s="27" t="s">
        <v>45</v>
      </c>
      <c r="G75" s="28" t="s">
        <v>45</v>
      </c>
      <c r="H75" s="29"/>
      <c r="I75" s="29" t="s">
        <v>46</v>
      </c>
      <c r="J75" s="30">
        <v>1</v>
      </c>
      <c r="K75" s="31">
        <f>14655</f>
        <v>14655</v>
      </c>
      <c r="L75" s="32" t="s">
        <v>995</v>
      </c>
      <c r="M75" s="31">
        <f>14655</f>
        <v>14655</v>
      </c>
      <c r="N75" s="32" t="s">
        <v>995</v>
      </c>
      <c r="O75" s="31">
        <f>14310</f>
        <v>14310</v>
      </c>
      <c r="P75" s="32" t="s">
        <v>893</v>
      </c>
      <c r="Q75" s="31">
        <f>14335</f>
        <v>14335</v>
      </c>
      <c r="R75" s="32" t="s">
        <v>893</v>
      </c>
      <c r="S75" s="33">
        <f>14465.91</f>
        <v>14465.91</v>
      </c>
      <c r="T75" s="30">
        <f>843077</f>
        <v>843077</v>
      </c>
      <c r="U75" s="30">
        <f>514076</f>
        <v>514076</v>
      </c>
      <c r="V75" s="30">
        <f>12204040690</f>
        <v>12204040690</v>
      </c>
      <c r="W75" s="30">
        <f>7443444665</f>
        <v>7443444665</v>
      </c>
      <c r="X75" s="34">
        <f>22</f>
        <v>22</v>
      </c>
    </row>
    <row r="76" spans="1:24" ht="13.5" customHeight="1" x14ac:dyDescent="0.15">
      <c r="A76" s="25" t="s">
        <v>1102</v>
      </c>
      <c r="B76" s="25" t="s">
        <v>259</v>
      </c>
      <c r="C76" s="25" t="s">
        <v>1057</v>
      </c>
      <c r="D76" s="25" t="s">
        <v>1058</v>
      </c>
      <c r="E76" s="26" t="s">
        <v>45</v>
      </c>
      <c r="F76" s="27" t="s">
        <v>45</v>
      </c>
      <c r="G76" s="28" t="s">
        <v>45</v>
      </c>
      <c r="H76" s="29"/>
      <c r="I76" s="29" t="s">
        <v>46</v>
      </c>
      <c r="J76" s="30">
        <v>10</v>
      </c>
      <c r="K76" s="31">
        <f>1920</f>
        <v>1920</v>
      </c>
      <c r="L76" s="32" t="s">
        <v>995</v>
      </c>
      <c r="M76" s="31">
        <f>1928</f>
        <v>1928</v>
      </c>
      <c r="N76" s="32" t="s">
        <v>997</v>
      </c>
      <c r="O76" s="31">
        <f>1888</f>
        <v>1888</v>
      </c>
      <c r="P76" s="32" t="s">
        <v>786</v>
      </c>
      <c r="Q76" s="31">
        <f>1919</f>
        <v>1919</v>
      </c>
      <c r="R76" s="32" t="s">
        <v>893</v>
      </c>
      <c r="S76" s="33">
        <f>1912.27</f>
        <v>1912.27</v>
      </c>
      <c r="T76" s="30">
        <f>1573250</f>
        <v>1573250</v>
      </c>
      <c r="U76" s="30">
        <f>159840</f>
        <v>159840</v>
      </c>
      <c r="V76" s="30">
        <f>3018354077</f>
        <v>3018354077</v>
      </c>
      <c r="W76" s="30">
        <f>305414177</f>
        <v>305414177</v>
      </c>
      <c r="X76" s="34">
        <f>22</f>
        <v>22</v>
      </c>
    </row>
    <row r="77" spans="1:24" ht="13.5" customHeight="1" x14ac:dyDescent="0.15">
      <c r="A77" s="25" t="s">
        <v>1102</v>
      </c>
      <c r="B77" s="25" t="s">
        <v>262</v>
      </c>
      <c r="C77" s="25" t="s">
        <v>263</v>
      </c>
      <c r="D77" s="25" t="s">
        <v>264</v>
      </c>
      <c r="E77" s="26" t="s">
        <v>45</v>
      </c>
      <c r="F77" s="27" t="s">
        <v>45</v>
      </c>
      <c r="G77" s="28" t="s">
        <v>45</v>
      </c>
      <c r="H77" s="29"/>
      <c r="I77" s="29" t="s">
        <v>46</v>
      </c>
      <c r="J77" s="30">
        <v>1</v>
      </c>
      <c r="K77" s="31">
        <f>46770</f>
        <v>46770</v>
      </c>
      <c r="L77" s="32" t="s">
        <v>995</v>
      </c>
      <c r="M77" s="31">
        <f>52190</f>
        <v>52190</v>
      </c>
      <c r="N77" s="32" t="s">
        <v>1017</v>
      </c>
      <c r="O77" s="31">
        <f>46710</f>
        <v>46710</v>
      </c>
      <c r="P77" s="32" t="s">
        <v>995</v>
      </c>
      <c r="Q77" s="31">
        <f>51960</f>
        <v>51960</v>
      </c>
      <c r="R77" s="32" t="s">
        <v>893</v>
      </c>
      <c r="S77" s="33">
        <f>50113.18</f>
        <v>50113.18</v>
      </c>
      <c r="T77" s="30">
        <f>421091</f>
        <v>421091</v>
      </c>
      <c r="U77" s="30">
        <f>12129</f>
        <v>12129</v>
      </c>
      <c r="V77" s="30">
        <f>21083103222</f>
        <v>21083103222</v>
      </c>
      <c r="W77" s="30">
        <f>601953212</f>
        <v>601953212</v>
      </c>
      <c r="X77" s="34">
        <f>22</f>
        <v>22</v>
      </c>
    </row>
    <row r="78" spans="1:24" ht="13.5" customHeight="1" x14ac:dyDescent="0.15">
      <c r="A78" s="25" t="s">
        <v>1102</v>
      </c>
      <c r="B78" s="25" t="s">
        <v>265</v>
      </c>
      <c r="C78" s="25" t="s">
        <v>266</v>
      </c>
      <c r="D78" s="25" t="s">
        <v>267</v>
      </c>
      <c r="E78" s="26" t="s">
        <v>45</v>
      </c>
      <c r="F78" s="27" t="s">
        <v>45</v>
      </c>
      <c r="G78" s="28" t="s">
        <v>45</v>
      </c>
      <c r="H78" s="29"/>
      <c r="I78" s="29" t="s">
        <v>46</v>
      </c>
      <c r="J78" s="30">
        <v>10</v>
      </c>
      <c r="K78" s="31">
        <f>7556</f>
        <v>7556</v>
      </c>
      <c r="L78" s="32" t="s">
        <v>78</v>
      </c>
      <c r="M78" s="31">
        <f>7636</f>
        <v>7636</v>
      </c>
      <c r="N78" s="32" t="s">
        <v>997</v>
      </c>
      <c r="O78" s="31">
        <f>7556</f>
        <v>7556</v>
      </c>
      <c r="P78" s="32" t="s">
        <v>78</v>
      </c>
      <c r="Q78" s="31">
        <f>7636</f>
        <v>7636</v>
      </c>
      <c r="R78" s="32" t="s">
        <v>997</v>
      </c>
      <c r="S78" s="33">
        <f>7586.33</f>
        <v>7586.33</v>
      </c>
      <c r="T78" s="30">
        <f>40</f>
        <v>40</v>
      </c>
      <c r="U78" s="30" t="str">
        <f>"－"</f>
        <v>－</v>
      </c>
      <c r="V78" s="30">
        <f>303150</f>
        <v>303150</v>
      </c>
      <c r="W78" s="30" t="str">
        <f>"－"</f>
        <v>－</v>
      </c>
      <c r="X78" s="34">
        <f>3</f>
        <v>3</v>
      </c>
    </row>
    <row r="79" spans="1:24" ht="13.5" customHeight="1" x14ac:dyDescent="0.15">
      <c r="A79" s="25" t="s">
        <v>1102</v>
      </c>
      <c r="B79" s="25" t="s">
        <v>268</v>
      </c>
      <c r="C79" s="25" t="s">
        <v>269</v>
      </c>
      <c r="D79" s="25" t="s">
        <v>270</v>
      </c>
      <c r="E79" s="26" t="s">
        <v>45</v>
      </c>
      <c r="F79" s="27" t="s">
        <v>45</v>
      </c>
      <c r="G79" s="28" t="s">
        <v>45</v>
      </c>
      <c r="H79" s="29"/>
      <c r="I79" s="29" t="s">
        <v>46</v>
      </c>
      <c r="J79" s="30">
        <v>1</v>
      </c>
      <c r="K79" s="31">
        <f>16375</f>
        <v>16375</v>
      </c>
      <c r="L79" s="32" t="s">
        <v>995</v>
      </c>
      <c r="M79" s="31">
        <f>17500</f>
        <v>17500</v>
      </c>
      <c r="N79" s="32" t="s">
        <v>998</v>
      </c>
      <c r="O79" s="31">
        <f>16270</f>
        <v>16270</v>
      </c>
      <c r="P79" s="32" t="s">
        <v>999</v>
      </c>
      <c r="Q79" s="31">
        <f>17150</f>
        <v>17150</v>
      </c>
      <c r="R79" s="32" t="s">
        <v>893</v>
      </c>
      <c r="S79" s="33">
        <f>16947.73</f>
        <v>16947.73</v>
      </c>
      <c r="T79" s="30">
        <f>1475</f>
        <v>1475</v>
      </c>
      <c r="U79" s="30" t="str">
        <f>"－"</f>
        <v>－</v>
      </c>
      <c r="V79" s="30">
        <f>25063320</f>
        <v>25063320</v>
      </c>
      <c r="W79" s="30" t="str">
        <f>"－"</f>
        <v>－</v>
      </c>
      <c r="X79" s="34">
        <f>22</f>
        <v>22</v>
      </c>
    </row>
    <row r="80" spans="1:24" ht="13.5" customHeight="1" x14ac:dyDescent="0.15">
      <c r="A80" s="25" t="s">
        <v>1102</v>
      </c>
      <c r="B80" s="25" t="s">
        <v>271</v>
      </c>
      <c r="C80" s="25" t="s">
        <v>272</v>
      </c>
      <c r="D80" s="25" t="s">
        <v>273</v>
      </c>
      <c r="E80" s="26" t="s">
        <v>45</v>
      </c>
      <c r="F80" s="27" t="s">
        <v>45</v>
      </c>
      <c r="G80" s="28" t="s">
        <v>45</v>
      </c>
      <c r="H80" s="29"/>
      <c r="I80" s="29" t="s">
        <v>46</v>
      </c>
      <c r="J80" s="30">
        <v>1</v>
      </c>
      <c r="K80" s="31">
        <f>16050</f>
        <v>16050</v>
      </c>
      <c r="L80" s="32" t="s">
        <v>995</v>
      </c>
      <c r="M80" s="31">
        <f>17170</f>
        <v>17170</v>
      </c>
      <c r="N80" s="32" t="s">
        <v>1001</v>
      </c>
      <c r="O80" s="31">
        <f>16030</f>
        <v>16030</v>
      </c>
      <c r="P80" s="32" t="s">
        <v>995</v>
      </c>
      <c r="Q80" s="31">
        <f>16905</f>
        <v>16905</v>
      </c>
      <c r="R80" s="32" t="s">
        <v>893</v>
      </c>
      <c r="S80" s="33">
        <f>16716.59</f>
        <v>16716.59</v>
      </c>
      <c r="T80" s="30">
        <f>2865</f>
        <v>2865</v>
      </c>
      <c r="U80" s="30" t="str">
        <f>"－"</f>
        <v>－</v>
      </c>
      <c r="V80" s="30">
        <f>47680440</f>
        <v>47680440</v>
      </c>
      <c r="W80" s="30" t="str">
        <f>"－"</f>
        <v>－</v>
      </c>
      <c r="X80" s="34">
        <f>22</f>
        <v>22</v>
      </c>
    </row>
    <row r="81" spans="1:24" ht="13.5" customHeight="1" x14ac:dyDescent="0.15">
      <c r="A81" s="25" t="s">
        <v>1102</v>
      </c>
      <c r="B81" s="25" t="s">
        <v>274</v>
      </c>
      <c r="C81" s="25" t="s">
        <v>275</v>
      </c>
      <c r="D81" s="25" t="s">
        <v>276</v>
      </c>
      <c r="E81" s="26" t="s">
        <v>45</v>
      </c>
      <c r="F81" s="27" t="s">
        <v>45</v>
      </c>
      <c r="G81" s="28" t="s">
        <v>45</v>
      </c>
      <c r="H81" s="29"/>
      <c r="I81" s="29" t="s">
        <v>46</v>
      </c>
      <c r="J81" s="30">
        <v>1</v>
      </c>
      <c r="K81" s="31">
        <f>22750</f>
        <v>22750</v>
      </c>
      <c r="L81" s="32" t="s">
        <v>995</v>
      </c>
      <c r="M81" s="31">
        <f>24610</f>
        <v>24610</v>
      </c>
      <c r="N81" s="32" t="s">
        <v>1017</v>
      </c>
      <c r="O81" s="31">
        <f>22730</f>
        <v>22730</v>
      </c>
      <c r="P81" s="32" t="s">
        <v>995</v>
      </c>
      <c r="Q81" s="31">
        <f>24520</f>
        <v>24520</v>
      </c>
      <c r="R81" s="32" t="s">
        <v>893</v>
      </c>
      <c r="S81" s="33">
        <f>23864.32</f>
        <v>23864.32</v>
      </c>
      <c r="T81" s="30">
        <f>67855</f>
        <v>67855</v>
      </c>
      <c r="U81" s="30">
        <f>52283</f>
        <v>52283</v>
      </c>
      <c r="V81" s="30">
        <f>1607027555</f>
        <v>1607027555</v>
      </c>
      <c r="W81" s="30">
        <f>1234527650</f>
        <v>1234527650</v>
      </c>
      <c r="X81" s="34">
        <f>22</f>
        <v>22</v>
      </c>
    </row>
    <row r="82" spans="1:24" ht="13.5" customHeight="1" x14ac:dyDescent="0.15">
      <c r="A82" s="25" t="s">
        <v>1102</v>
      </c>
      <c r="B82" s="25" t="s">
        <v>277</v>
      </c>
      <c r="C82" s="25" t="s">
        <v>278</v>
      </c>
      <c r="D82" s="25" t="s">
        <v>279</v>
      </c>
      <c r="E82" s="26" t="s">
        <v>45</v>
      </c>
      <c r="F82" s="27" t="s">
        <v>45</v>
      </c>
      <c r="G82" s="28" t="s">
        <v>45</v>
      </c>
      <c r="H82" s="29"/>
      <c r="I82" s="29" t="s">
        <v>46</v>
      </c>
      <c r="J82" s="30">
        <v>10</v>
      </c>
      <c r="K82" s="31">
        <f>10470</f>
        <v>10470</v>
      </c>
      <c r="L82" s="32" t="s">
        <v>995</v>
      </c>
      <c r="M82" s="31">
        <f>10800</f>
        <v>10800</v>
      </c>
      <c r="N82" s="32" t="s">
        <v>1017</v>
      </c>
      <c r="O82" s="31">
        <f>10390</f>
        <v>10390</v>
      </c>
      <c r="P82" s="32" t="s">
        <v>1004</v>
      </c>
      <c r="Q82" s="31">
        <f>10750</f>
        <v>10750</v>
      </c>
      <c r="R82" s="32" t="s">
        <v>893</v>
      </c>
      <c r="S82" s="33">
        <f>10580.68</f>
        <v>10580.68</v>
      </c>
      <c r="T82" s="30">
        <f>18650</f>
        <v>18650</v>
      </c>
      <c r="U82" s="30">
        <f>10000</f>
        <v>10000</v>
      </c>
      <c r="V82" s="30">
        <f>198297700</f>
        <v>198297700</v>
      </c>
      <c r="W82" s="30">
        <f>106768000</f>
        <v>106768000</v>
      </c>
      <c r="X82" s="34">
        <f>22</f>
        <v>22</v>
      </c>
    </row>
    <row r="83" spans="1:24" ht="13.5" customHeight="1" x14ac:dyDescent="0.15">
      <c r="A83" s="25" t="s">
        <v>1102</v>
      </c>
      <c r="B83" s="25" t="s">
        <v>280</v>
      </c>
      <c r="C83" s="25" t="s">
        <v>281</v>
      </c>
      <c r="D83" s="25" t="s">
        <v>282</v>
      </c>
      <c r="E83" s="26" t="s">
        <v>45</v>
      </c>
      <c r="F83" s="27" t="s">
        <v>45</v>
      </c>
      <c r="G83" s="28" t="s">
        <v>45</v>
      </c>
      <c r="H83" s="29"/>
      <c r="I83" s="29" t="s">
        <v>46</v>
      </c>
      <c r="J83" s="30">
        <v>1</v>
      </c>
      <c r="K83" s="31">
        <f>1960</f>
        <v>1960</v>
      </c>
      <c r="L83" s="32" t="s">
        <v>995</v>
      </c>
      <c r="M83" s="31">
        <f>1978</f>
        <v>1978</v>
      </c>
      <c r="N83" s="32" t="s">
        <v>784</v>
      </c>
      <c r="O83" s="31">
        <f>1933</f>
        <v>1933</v>
      </c>
      <c r="P83" s="32" t="s">
        <v>1000</v>
      </c>
      <c r="Q83" s="31">
        <f>1949</f>
        <v>1949</v>
      </c>
      <c r="R83" s="32" t="s">
        <v>893</v>
      </c>
      <c r="S83" s="33">
        <f>1951.55</f>
        <v>1951.55</v>
      </c>
      <c r="T83" s="30">
        <f>1487245</f>
        <v>1487245</v>
      </c>
      <c r="U83" s="30">
        <f>1139450</f>
        <v>1139450</v>
      </c>
      <c r="V83" s="30">
        <f>2901240698</f>
        <v>2901240698</v>
      </c>
      <c r="W83" s="30">
        <f>2222416095</f>
        <v>2222416095</v>
      </c>
      <c r="X83" s="34">
        <f>22</f>
        <v>22</v>
      </c>
    </row>
    <row r="84" spans="1:24" ht="13.5" customHeight="1" x14ac:dyDescent="0.15">
      <c r="A84" s="25" t="s">
        <v>1102</v>
      </c>
      <c r="B84" s="25" t="s">
        <v>283</v>
      </c>
      <c r="C84" s="25" t="s">
        <v>284</v>
      </c>
      <c r="D84" s="25" t="s">
        <v>285</v>
      </c>
      <c r="E84" s="26" t="s">
        <v>45</v>
      </c>
      <c r="F84" s="27" t="s">
        <v>45</v>
      </c>
      <c r="G84" s="28" t="s">
        <v>45</v>
      </c>
      <c r="H84" s="29"/>
      <c r="I84" s="29" t="s">
        <v>46</v>
      </c>
      <c r="J84" s="30">
        <v>1</v>
      </c>
      <c r="K84" s="31">
        <f>1910</f>
        <v>1910</v>
      </c>
      <c r="L84" s="32" t="s">
        <v>995</v>
      </c>
      <c r="M84" s="31">
        <f>1923</f>
        <v>1923</v>
      </c>
      <c r="N84" s="32" t="s">
        <v>80</v>
      </c>
      <c r="O84" s="31">
        <f>1891</f>
        <v>1891</v>
      </c>
      <c r="P84" s="32" t="s">
        <v>995</v>
      </c>
      <c r="Q84" s="31">
        <f>1912</f>
        <v>1912</v>
      </c>
      <c r="R84" s="32" t="s">
        <v>893</v>
      </c>
      <c r="S84" s="33">
        <f>1910.41</f>
        <v>1910.41</v>
      </c>
      <c r="T84" s="30">
        <f>544976</f>
        <v>544976</v>
      </c>
      <c r="U84" s="30">
        <f>10000</f>
        <v>10000</v>
      </c>
      <c r="V84" s="30">
        <f>1039839011</f>
        <v>1039839011</v>
      </c>
      <c r="W84" s="30">
        <f>18956500</f>
        <v>18956500</v>
      </c>
      <c r="X84" s="34">
        <f>22</f>
        <v>22</v>
      </c>
    </row>
    <row r="85" spans="1:24" ht="13.5" customHeight="1" x14ac:dyDescent="0.15">
      <c r="A85" s="25" t="s">
        <v>1102</v>
      </c>
      <c r="B85" s="25" t="s">
        <v>286</v>
      </c>
      <c r="C85" s="25" t="s">
        <v>287</v>
      </c>
      <c r="D85" s="25" t="s">
        <v>288</v>
      </c>
      <c r="E85" s="26" t="s">
        <v>45</v>
      </c>
      <c r="F85" s="27" t="s">
        <v>45</v>
      </c>
      <c r="G85" s="28" t="s">
        <v>45</v>
      </c>
      <c r="H85" s="29"/>
      <c r="I85" s="29" t="s">
        <v>46</v>
      </c>
      <c r="J85" s="30">
        <v>1</v>
      </c>
      <c r="K85" s="31">
        <f>16570</f>
        <v>16570</v>
      </c>
      <c r="L85" s="32" t="s">
        <v>995</v>
      </c>
      <c r="M85" s="31">
        <f>18080</f>
        <v>18080</v>
      </c>
      <c r="N85" s="32" t="s">
        <v>1017</v>
      </c>
      <c r="O85" s="31">
        <f>16570</f>
        <v>16570</v>
      </c>
      <c r="P85" s="32" t="s">
        <v>995</v>
      </c>
      <c r="Q85" s="31">
        <f>17905</f>
        <v>17905</v>
      </c>
      <c r="R85" s="32" t="s">
        <v>893</v>
      </c>
      <c r="S85" s="33">
        <f>17597.73</f>
        <v>17597.73</v>
      </c>
      <c r="T85" s="30">
        <f>40222</f>
        <v>40222</v>
      </c>
      <c r="U85" s="30">
        <f>35000</f>
        <v>35000</v>
      </c>
      <c r="V85" s="30">
        <f>706031010</f>
        <v>706031010</v>
      </c>
      <c r="W85" s="30">
        <f>614589700</f>
        <v>614589700</v>
      </c>
      <c r="X85" s="34">
        <f>22</f>
        <v>22</v>
      </c>
    </row>
    <row r="86" spans="1:24" ht="13.5" customHeight="1" x14ac:dyDescent="0.15">
      <c r="A86" s="25" t="s">
        <v>1102</v>
      </c>
      <c r="B86" s="25" t="s">
        <v>289</v>
      </c>
      <c r="C86" s="25" t="s">
        <v>290</v>
      </c>
      <c r="D86" s="25" t="s">
        <v>291</v>
      </c>
      <c r="E86" s="26" t="s">
        <v>45</v>
      </c>
      <c r="F86" s="27" t="s">
        <v>45</v>
      </c>
      <c r="G86" s="28" t="s">
        <v>45</v>
      </c>
      <c r="H86" s="29"/>
      <c r="I86" s="29" t="s">
        <v>46</v>
      </c>
      <c r="J86" s="30">
        <v>1</v>
      </c>
      <c r="K86" s="31">
        <f>8770</f>
        <v>8770</v>
      </c>
      <c r="L86" s="32" t="s">
        <v>995</v>
      </c>
      <c r="M86" s="31">
        <f>9000</f>
        <v>9000</v>
      </c>
      <c r="N86" s="32" t="s">
        <v>997</v>
      </c>
      <c r="O86" s="31">
        <f>8686</f>
        <v>8686</v>
      </c>
      <c r="P86" s="32" t="s">
        <v>999</v>
      </c>
      <c r="Q86" s="31">
        <f>8960</f>
        <v>8960</v>
      </c>
      <c r="R86" s="32" t="s">
        <v>893</v>
      </c>
      <c r="S86" s="33">
        <f>8862.14</f>
        <v>8862.14</v>
      </c>
      <c r="T86" s="30">
        <f>2889</f>
        <v>2889</v>
      </c>
      <c r="U86" s="30">
        <f>4</f>
        <v>4</v>
      </c>
      <c r="V86" s="30">
        <f>25586874</f>
        <v>25586874</v>
      </c>
      <c r="W86" s="30">
        <f>35267</f>
        <v>35267</v>
      </c>
      <c r="X86" s="34">
        <f>22</f>
        <v>22</v>
      </c>
    </row>
    <row r="87" spans="1:24" ht="13.5" customHeight="1" x14ac:dyDescent="0.15">
      <c r="A87" s="25" t="s">
        <v>1102</v>
      </c>
      <c r="B87" s="25" t="s">
        <v>292</v>
      </c>
      <c r="C87" s="25" t="s">
        <v>293</v>
      </c>
      <c r="D87" s="25" t="s">
        <v>294</v>
      </c>
      <c r="E87" s="26" t="s">
        <v>45</v>
      </c>
      <c r="F87" s="27" t="s">
        <v>45</v>
      </c>
      <c r="G87" s="28" t="s">
        <v>45</v>
      </c>
      <c r="H87" s="29"/>
      <c r="I87" s="29" t="s">
        <v>46</v>
      </c>
      <c r="J87" s="30">
        <v>1</v>
      </c>
      <c r="K87" s="31">
        <f>8369</f>
        <v>8369</v>
      </c>
      <c r="L87" s="32" t="s">
        <v>995</v>
      </c>
      <c r="M87" s="31">
        <f>8467</f>
        <v>8467</v>
      </c>
      <c r="N87" s="32" t="s">
        <v>790</v>
      </c>
      <c r="O87" s="31">
        <f>8306</f>
        <v>8306</v>
      </c>
      <c r="P87" s="32" t="s">
        <v>1002</v>
      </c>
      <c r="Q87" s="31">
        <f>8417</f>
        <v>8417</v>
      </c>
      <c r="R87" s="32" t="s">
        <v>893</v>
      </c>
      <c r="S87" s="33">
        <f>8379.36</f>
        <v>8379.36</v>
      </c>
      <c r="T87" s="30">
        <f>1950230</f>
        <v>1950230</v>
      </c>
      <c r="U87" s="30">
        <f>29332</f>
        <v>29332</v>
      </c>
      <c r="V87" s="30">
        <f>16334352269</f>
        <v>16334352269</v>
      </c>
      <c r="W87" s="30">
        <f>246186199</f>
        <v>246186199</v>
      </c>
      <c r="X87" s="34">
        <f>22</f>
        <v>22</v>
      </c>
    </row>
    <row r="88" spans="1:24" ht="13.5" customHeight="1" x14ac:dyDescent="0.15">
      <c r="A88" s="25" t="s">
        <v>1102</v>
      </c>
      <c r="B88" s="25" t="s">
        <v>295</v>
      </c>
      <c r="C88" s="25" t="s">
        <v>296</v>
      </c>
      <c r="D88" s="25" t="s">
        <v>297</v>
      </c>
      <c r="E88" s="26" t="s">
        <v>45</v>
      </c>
      <c r="F88" s="27" t="s">
        <v>45</v>
      </c>
      <c r="G88" s="28" t="s">
        <v>45</v>
      </c>
      <c r="H88" s="29"/>
      <c r="I88" s="29" t="s">
        <v>46</v>
      </c>
      <c r="J88" s="30">
        <v>1</v>
      </c>
      <c r="K88" s="31">
        <f>4175</f>
        <v>4175</v>
      </c>
      <c r="L88" s="32" t="s">
        <v>995</v>
      </c>
      <c r="M88" s="31">
        <f>4295</f>
        <v>4295</v>
      </c>
      <c r="N88" s="32" t="s">
        <v>1003</v>
      </c>
      <c r="O88" s="31">
        <f>3930</f>
        <v>3930</v>
      </c>
      <c r="P88" s="32" t="s">
        <v>893</v>
      </c>
      <c r="Q88" s="31">
        <f>3950</f>
        <v>3950</v>
      </c>
      <c r="R88" s="32" t="s">
        <v>893</v>
      </c>
      <c r="S88" s="33">
        <f>4134.55</f>
        <v>4134.55</v>
      </c>
      <c r="T88" s="30">
        <f>481173</f>
        <v>481173</v>
      </c>
      <c r="U88" s="30">
        <f>30</f>
        <v>30</v>
      </c>
      <c r="V88" s="30">
        <f>1966455645</f>
        <v>1966455645</v>
      </c>
      <c r="W88" s="30">
        <f>114000</f>
        <v>114000</v>
      </c>
      <c r="X88" s="34">
        <f>22</f>
        <v>22</v>
      </c>
    </row>
    <row r="89" spans="1:24" ht="13.5" customHeight="1" x14ac:dyDescent="0.15">
      <c r="A89" s="25" t="s">
        <v>1102</v>
      </c>
      <c r="B89" s="25" t="s">
        <v>298</v>
      </c>
      <c r="C89" s="25" t="s">
        <v>299</v>
      </c>
      <c r="D89" s="25" t="s">
        <v>300</v>
      </c>
      <c r="E89" s="26" t="s">
        <v>45</v>
      </c>
      <c r="F89" s="27" t="s">
        <v>45</v>
      </c>
      <c r="G89" s="28" t="s">
        <v>45</v>
      </c>
      <c r="H89" s="29"/>
      <c r="I89" s="29" t="s">
        <v>46</v>
      </c>
      <c r="J89" s="30">
        <v>1</v>
      </c>
      <c r="K89" s="31">
        <f>9525</f>
        <v>9525</v>
      </c>
      <c r="L89" s="32" t="s">
        <v>995</v>
      </c>
      <c r="M89" s="31">
        <f>9887</f>
        <v>9887</v>
      </c>
      <c r="N89" s="32" t="s">
        <v>790</v>
      </c>
      <c r="O89" s="31">
        <f>9260</f>
        <v>9260</v>
      </c>
      <c r="P89" s="32" t="s">
        <v>894</v>
      </c>
      <c r="Q89" s="31">
        <f>9448</f>
        <v>9448</v>
      </c>
      <c r="R89" s="32" t="s">
        <v>893</v>
      </c>
      <c r="S89" s="33">
        <f>9608.82</f>
        <v>9608.82</v>
      </c>
      <c r="T89" s="30">
        <f>128438</f>
        <v>128438</v>
      </c>
      <c r="U89" s="30" t="str">
        <f>"－"</f>
        <v>－</v>
      </c>
      <c r="V89" s="30">
        <f>1230272975</f>
        <v>1230272975</v>
      </c>
      <c r="W89" s="30" t="str">
        <f>"－"</f>
        <v>－</v>
      </c>
      <c r="X89" s="34">
        <f>22</f>
        <v>22</v>
      </c>
    </row>
    <row r="90" spans="1:24" ht="13.5" customHeight="1" x14ac:dyDescent="0.15">
      <c r="A90" s="25" t="s">
        <v>1102</v>
      </c>
      <c r="B90" s="25" t="s">
        <v>301</v>
      </c>
      <c r="C90" s="25" t="s">
        <v>302</v>
      </c>
      <c r="D90" s="25" t="s">
        <v>303</v>
      </c>
      <c r="E90" s="26" t="s">
        <v>45</v>
      </c>
      <c r="F90" s="27" t="s">
        <v>45</v>
      </c>
      <c r="G90" s="28" t="s">
        <v>45</v>
      </c>
      <c r="H90" s="29"/>
      <c r="I90" s="29" t="s">
        <v>46</v>
      </c>
      <c r="J90" s="30">
        <v>1</v>
      </c>
      <c r="K90" s="31">
        <f>57260</f>
        <v>57260</v>
      </c>
      <c r="L90" s="32" t="s">
        <v>995</v>
      </c>
      <c r="M90" s="31">
        <f>59200</f>
        <v>59200</v>
      </c>
      <c r="N90" s="32" t="s">
        <v>790</v>
      </c>
      <c r="O90" s="31">
        <f>53450</f>
        <v>53450</v>
      </c>
      <c r="P90" s="32" t="s">
        <v>893</v>
      </c>
      <c r="Q90" s="31">
        <f>54450</f>
        <v>54450</v>
      </c>
      <c r="R90" s="32" t="s">
        <v>893</v>
      </c>
      <c r="S90" s="33">
        <f>56922.73</f>
        <v>56922.73</v>
      </c>
      <c r="T90" s="30">
        <f>10044</f>
        <v>10044</v>
      </c>
      <c r="U90" s="30">
        <f>19</f>
        <v>19</v>
      </c>
      <c r="V90" s="30">
        <f>561978460</f>
        <v>561978460</v>
      </c>
      <c r="W90" s="30">
        <f>996290</f>
        <v>996290</v>
      </c>
      <c r="X90" s="34">
        <f>22</f>
        <v>22</v>
      </c>
    </row>
    <row r="91" spans="1:24" ht="13.5" customHeight="1" x14ac:dyDescent="0.15">
      <c r="A91" s="25" t="s">
        <v>1102</v>
      </c>
      <c r="B91" s="25" t="s">
        <v>304</v>
      </c>
      <c r="C91" s="25" t="s">
        <v>895</v>
      </c>
      <c r="D91" s="25" t="s">
        <v>896</v>
      </c>
      <c r="E91" s="26" t="s">
        <v>45</v>
      </c>
      <c r="F91" s="27" t="s">
        <v>45</v>
      </c>
      <c r="G91" s="28" t="s">
        <v>45</v>
      </c>
      <c r="H91" s="29"/>
      <c r="I91" s="29" t="s">
        <v>46</v>
      </c>
      <c r="J91" s="30">
        <v>1</v>
      </c>
      <c r="K91" s="31">
        <f>20195</f>
        <v>20195</v>
      </c>
      <c r="L91" s="32" t="s">
        <v>995</v>
      </c>
      <c r="M91" s="31">
        <f>22080</f>
        <v>22080</v>
      </c>
      <c r="N91" s="32" t="s">
        <v>893</v>
      </c>
      <c r="O91" s="31">
        <f>20140</f>
        <v>20140</v>
      </c>
      <c r="P91" s="32" t="s">
        <v>995</v>
      </c>
      <c r="Q91" s="31">
        <f>22045</f>
        <v>22045</v>
      </c>
      <c r="R91" s="32" t="s">
        <v>893</v>
      </c>
      <c r="S91" s="33">
        <f>21232.95</f>
        <v>21232.95</v>
      </c>
      <c r="T91" s="30">
        <f>1276021</f>
        <v>1276021</v>
      </c>
      <c r="U91" s="30">
        <f>1036</f>
        <v>1036</v>
      </c>
      <c r="V91" s="30">
        <f>27031120844</f>
        <v>27031120844</v>
      </c>
      <c r="W91" s="30">
        <f>22776314</f>
        <v>22776314</v>
      </c>
      <c r="X91" s="34">
        <f>22</f>
        <v>22</v>
      </c>
    </row>
    <row r="92" spans="1:24" ht="13.5" customHeight="1" x14ac:dyDescent="0.15">
      <c r="A92" s="25" t="s">
        <v>1102</v>
      </c>
      <c r="B92" s="25" t="s">
        <v>305</v>
      </c>
      <c r="C92" s="25" t="s">
        <v>897</v>
      </c>
      <c r="D92" s="25" t="s">
        <v>898</v>
      </c>
      <c r="E92" s="26" t="s">
        <v>45</v>
      </c>
      <c r="F92" s="27" t="s">
        <v>45</v>
      </c>
      <c r="G92" s="28" t="s">
        <v>45</v>
      </c>
      <c r="H92" s="29"/>
      <c r="I92" s="29" t="s">
        <v>46</v>
      </c>
      <c r="J92" s="30">
        <v>1</v>
      </c>
      <c r="K92" s="31">
        <f>45040</f>
        <v>45040</v>
      </c>
      <c r="L92" s="32" t="s">
        <v>995</v>
      </c>
      <c r="M92" s="31">
        <f>48660</f>
        <v>48660</v>
      </c>
      <c r="N92" s="32" t="s">
        <v>893</v>
      </c>
      <c r="O92" s="31">
        <f>44960</f>
        <v>44960</v>
      </c>
      <c r="P92" s="32" t="s">
        <v>995</v>
      </c>
      <c r="Q92" s="31">
        <f>48570</f>
        <v>48570</v>
      </c>
      <c r="R92" s="32" t="s">
        <v>893</v>
      </c>
      <c r="S92" s="33">
        <f>47031.36</f>
        <v>47031.360000000001</v>
      </c>
      <c r="T92" s="30">
        <f>123836</f>
        <v>123836</v>
      </c>
      <c r="U92" s="30">
        <f>13001</f>
        <v>13001</v>
      </c>
      <c r="V92" s="30">
        <f>5803068695</f>
        <v>5803068695</v>
      </c>
      <c r="W92" s="30">
        <f>603753845</f>
        <v>603753845</v>
      </c>
      <c r="X92" s="34">
        <f>22</f>
        <v>22</v>
      </c>
    </row>
    <row r="93" spans="1:24" ht="13.5" customHeight="1" x14ac:dyDescent="0.15">
      <c r="A93" s="25" t="s">
        <v>1102</v>
      </c>
      <c r="B93" s="25" t="s">
        <v>306</v>
      </c>
      <c r="C93" s="25" t="s">
        <v>307</v>
      </c>
      <c r="D93" s="25" t="s">
        <v>308</v>
      </c>
      <c r="E93" s="26" t="s">
        <v>45</v>
      </c>
      <c r="F93" s="27" t="s">
        <v>45</v>
      </c>
      <c r="G93" s="28" t="s">
        <v>45</v>
      </c>
      <c r="H93" s="29"/>
      <c r="I93" s="29" t="s">
        <v>46</v>
      </c>
      <c r="J93" s="30">
        <v>10</v>
      </c>
      <c r="K93" s="31">
        <f>6352</f>
        <v>6352</v>
      </c>
      <c r="L93" s="32" t="s">
        <v>995</v>
      </c>
      <c r="M93" s="31">
        <f>6960</f>
        <v>6960</v>
      </c>
      <c r="N93" s="32" t="s">
        <v>893</v>
      </c>
      <c r="O93" s="31">
        <f>6342</f>
        <v>6342</v>
      </c>
      <c r="P93" s="32" t="s">
        <v>995</v>
      </c>
      <c r="Q93" s="31">
        <f>6948</f>
        <v>6948</v>
      </c>
      <c r="R93" s="32" t="s">
        <v>893</v>
      </c>
      <c r="S93" s="33">
        <f>6680.73</f>
        <v>6680.73</v>
      </c>
      <c r="T93" s="30">
        <f>1066360</f>
        <v>1066360</v>
      </c>
      <c r="U93" s="30">
        <f>31800</f>
        <v>31800</v>
      </c>
      <c r="V93" s="30">
        <f>7084937218</f>
        <v>7084937218</v>
      </c>
      <c r="W93" s="30">
        <f>206632458</f>
        <v>206632458</v>
      </c>
      <c r="X93" s="34">
        <f>22</f>
        <v>22</v>
      </c>
    </row>
    <row r="94" spans="1:24" ht="13.5" customHeight="1" x14ac:dyDescent="0.15">
      <c r="A94" s="25" t="s">
        <v>1102</v>
      </c>
      <c r="B94" s="25" t="s">
        <v>309</v>
      </c>
      <c r="C94" s="25" t="s">
        <v>310</v>
      </c>
      <c r="D94" s="25" t="s">
        <v>311</v>
      </c>
      <c r="E94" s="26" t="s">
        <v>45</v>
      </c>
      <c r="F94" s="27" t="s">
        <v>45</v>
      </c>
      <c r="G94" s="28" t="s">
        <v>45</v>
      </c>
      <c r="H94" s="29"/>
      <c r="I94" s="29" t="s">
        <v>46</v>
      </c>
      <c r="J94" s="30">
        <v>10</v>
      </c>
      <c r="K94" s="31">
        <f>4058</f>
        <v>4058</v>
      </c>
      <c r="L94" s="32" t="s">
        <v>995</v>
      </c>
      <c r="M94" s="31">
        <f>4384</f>
        <v>4384</v>
      </c>
      <c r="N94" s="32" t="s">
        <v>893</v>
      </c>
      <c r="O94" s="31">
        <f>4052</f>
        <v>4052</v>
      </c>
      <c r="P94" s="32" t="s">
        <v>995</v>
      </c>
      <c r="Q94" s="31">
        <f>4372</f>
        <v>4372</v>
      </c>
      <c r="R94" s="32" t="s">
        <v>893</v>
      </c>
      <c r="S94" s="33">
        <f>4226.45</f>
        <v>4226.45</v>
      </c>
      <c r="T94" s="30">
        <f>133180</f>
        <v>133180</v>
      </c>
      <c r="U94" s="30" t="str">
        <f>"－"</f>
        <v>－</v>
      </c>
      <c r="V94" s="30">
        <f>561317480</f>
        <v>561317480</v>
      </c>
      <c r="W94" s="30" t="str">
        <f>"－"</f>
        <v>－</v>
      </c>
      <c r="X94" s="34">
        <f>22</f>
        <v>22</v>
      </c>
    </row>
    <row r="95" spans="1:24" ht="13.5" customHeight="1" x14ac:dyDescent="0.15">
      <c r="A95" s="25" t="s">
        <v>1102</v>
      </c>
      <c r="B95" s="25" t="s">
        <v>312</v>
      </c>
      <c r="C95" s="25" t="s">
        <v>970</v>
      </c>
      <c r="D95" s="25" t="s">
        <v>971</v>
      </c>
      <c r="E95" s="26" t="s">
        <v>45</v>
      </c>
      <c r="F95" s="27" t="s">
        <v>45</v>
      </c>
      <c r="G95" s="28" t="s">
        <v>45</v>
      </c>
      <c r="H95" s="29"/>
      <c r="I95" s="29" t="s">
        <v>46</v>
      </c>
      <c r="J95" s="30">
        <v>10</v>
      </c>
      <c r="K95" s="31">
        <f>4439</f>
        <v>4439</v>
      </c>
      <c r="L95" s="32" t="s">
        <v>999</v>
      </c>
      <c r="M95" s="31">
        <f>4578</f>
        <v>4578</v>
      </c>
      <c r="N95" s="32" t="s">
        <v>894</v>
      </c>
      <c r="O95" s="31">
        <f>4381</f>
        <v>4381</v>
      </c>
      <c r="P95" s="32" t="s">
        <v>876</v>
      </c>
      <c r="Q95" s="31">
        <f>4491</f>
        <v>4491</v>
      </c>
      <c r="R95" s="32" t="s">
        <v>893</v>
      </c>
      <c r="S95" s="33">
        <f>4484.1</f>
        <v>4484.1000000000004</v>
      </c>
      <c r="T95" s="30">
        <f>5050</f>
        <v>5050</v>
      </c>
      <c r="U95" s="30" t="str">
        <f>"－"</f>
        <v>－</v>
      </c>
      <c r="V95" s="30">
        <f>22631390</f>
        <v>22631390</v>
      </c>
      <c r="W95" s="30" t="str">
        <f>"－"</f>
        <v>－</v>
      </c>
      <c r="X95" s="34">
        <f>20</f>
        <v>20</v>
      </c>
    </row>
    <row r="96" spans="1:24" ht="13.5" customHeight="1" x14ac:dyDescent="0.15">
      <c r="A96" s="25" t="s">
        <v>1102</v>
      </c>
      <c r="B96" s="25" t="s">
        <v>313</v>
      </c>
      <c r="C96" s="25" t="s">
        <v>314</v>
      </c>
      <c r="D96" s="25" t="s">
        <v>315</v>
      </c>
      <c r="E96" s="26" t="s">
        <v>45</v>
      </c>
      <c r="F96" s="27" t="s">
        <v>45</v>
      </c>
      <c r="G96" s="28" t="s">
        <v>45</v>
      </c>
      <c r="H96" s="29" t="s">
        <v>316</v>
      </c>
      <c r="I96" s="29" t="s">
        <v>46</v>
      </c>
      <c r="J96" s="30">
        <v>1</v>
      </c>
      <c r="K96" s="31">
        <f>948</f>
        <v>948</v>
      </c>
      <c r="L96" s="32" t="s">
        <v>995</v>
      </c>
      <c r="M96" s="31">
        <f>957</f>
        <v>957</v>
      </c>
      <c r="N96" s="32" t="s">
        <v>995</v>
      </c>
      <c r="O96" s="31">
        <f>708</f>
        <v>708</v>
      </c>
      <c r="P96" s="32" t="s">
        <v>1017</v>
      </c>
      <c r="Q96" s="31">
        <f>723</f>
        <v>723</v>
      </c>
      <c r="R96" s="32" t="s">
        <v>893</v>
      </c>
      <c r="S96" s="33">
        <f>787.82</f>
        <v>787.82</v>
      </c>
      <c r="T96" s="30">
        <f>47288687</f>
        <v>47288687</v>
      </c>
      <c r="U96" s="30">
        <f>1281</f>
        <v>1281</v>
      </c>
      <c r="V96" s="30">
        <f>37934815797</f>
        <v>37934815797</v>
      </c>
      <c r="W96" s="30">
        <f>1002764</f>
        <v>1002764</v>
      </c>
      <c r="X96" s="34">
        <f>22</f>
        <v>22</v>
      </c>
    </row>
    <row r="97" spans="1:24" ht="13.5" customHeight="1" x14ac:dyDescent="0.15">
      <c r="A97" s="25" t="s">
        <v>1102</v>
      </c>
      <c r="B97" s="25" t="s">
        <v>317</v>
      </c>
      <c r="C97" s="25" t="s">
        <v>318</v>
      </c>
      <c r="D97" s="25" t="s">
        <v>319</v>
      </c>
      <c r="E97" s="26" t="s">
        <v>45</v>
      </c>
      <c r="F97" s="27" t="s">
        <v>45</v>
      </c>
      <c r="G97" s="28" t="s">
        <v>45</v>
      </c>
      <c r="H97" s="29"/>
      <c r="I97" s="29" t="s">
        <v>46</v>
      </c>
      <c r="J97" s="30">
        <v>10</v>
      </c>
      <c r="K97" s="31">
        <f>3370</f>
        <v>3370</v>
      </c>
      <c r="L97" s="32" t="s">
        <v>995</v>
      </c>
      <c r="M97" s="31">
        <f>3677</f>
        <v>3677</v>
      </c>
      <c r="N97" s="32" t="s">
        <v>893</v>
      </c>
      <c r="O97" s="31">
        <f>3335</f>
        <v>3335</v>
      </c>
      <c r="P97" s="32" t="s">
        <v>995</v>
      </c>
      <c r="Q97" s="31">
        <f>3674</f>
        <v>3674</v>
      </c>
      <c r="R97" s="32" t="s">
        <v>893</v>
      </c>
      <c r="S97" s="33">
        <f>3544.77</f>
        <v>3544.77</v>
      </c>
      <c r="T97" s="30">
        <f>126090</f>
        <v>126090</v>
      </c>
      <c r="U97" s="30">
        <f>28510</f>
        <v>28510</v>
      </c>
      <c r="V97" s="30">
        <f>447516150</f>
        <v>447516150</v>
      </c>
      <c r="W97" s="30">
        <f>100766200</f>
        <v>100766200</v>
      </c>
      <c r="X97" s="34">
        <f>22</f>
        <v>22</v>
      </c>
    </row>
    <row r="98" spans="1:24" ht="13.5" customHeight="1" x14ac:dyDescent="0.15">
      <c r="A98" s="25" t="s">
        <v>1102</v>
      </c>
      <c r="B98" s="25" t="s">
        <v>320</v>
      </c>
      <c r="C98" s="25" t="s">
        <v>321</v>
      </c>
      <c r="D98" s="25" t="s">
        <v>322</v>
      </c>
      <c r="E98" s="26" t="s">
        <v>45</v>
      </c>
      <c r="F98" s="27" t="s">
        <v>45</v>
      </c>
      <c r="G98" s="28" t="s">
        <v>45</v>
      </c>
      <c r="H98" s="29"/>
      <c r="I98" s="29" t="s">
        <v>46</v>
      </c>
      <c r="J98" s="30">
        <v>10</v>
      </c>
      <c r="K98" s="31">
        <f>1651.5</f>
        <v>1651.5</v>
      </c>
      <c r="L98" s="32" t="s">
        <v>995</v>
      </c>
      <c r="M98" s="31">
        <f>1785.5</f>
        <v>1785.5</v>
      </c>
      <c r="N98" s="32" t="s">
        <v>80</v>
      </c>
      <c r="O98" s="31">
        <f>1649</f>
        <v>1649</v>
      </c>
      <c r="P98" s="32" t="s">
        <v>995</v>
      </c>
      <c r="Q98" s="31">
        <f>1743.5</f>
        <v>1743.5</v>
      </c>
      <c r="R98" s="32" t="s">
        <v>893</v>
      </c>
      <c r="S98" s="33">
        <f>1709.7</f>
        <v>1709.7</v>
      </c>
      <c r="T98" s="30">
        <f>226250</f>
        <v>226250</v>
      </c>
      <c r="U98" s="30">
        <f>60060</f>
        <v>60060</v>
      </c>
      <c r="V98" s="30">
        <f>387994630</f>
        <v>387994630</v>
      </c>
      <c r="W98" s="30">
        <f>103446995</f>
        <v>103446995</v>
      </c>
      <c r="X98" s="34">
        <f>22</f>
        <v>22</v>
      </c>
    </row>
    <row r="99" spans="1:24" ht="13.5" customHeight="1" x14ac:dyDescent="0.15">
      <c r="A99" s="25" t="s">
        <v>1102</v>
      </c>
      <c r="B99" s="25" t="s">
        <v>323</v>
      </c>
      <c r="C99" s="25" t="s">
        <v>324</v>
      </c>
      <c r="D99" s="25" t="s">
        <v>325</v>
      </c>
      <c r="E99" s="26" t="s">
        <v>45</v>
      </c>
      <c r="F99" s="27" t="s">
        <v>45</v>
      </c>
      <c r="G99" s="28" t="s">
        <v>45</v>
      </c>
      <c r="H99" s="29"/>
      <c r="I99" s="29" t="s">
        <v>46</v>
      </c>
      <c r="J99" s="30">
        <v>1</v>
      </c>
      <c r="K99" s="31">
        <f>58270</f>
        <v>58270</v>
      </c>
      <c r="L99" s="32" t="s">
        <v>995</v>
      </c>
      <c r="M99" s="31">
        <f>63620</f>
        <v>63620</v>
      </c>
      <c r="N99" s="32" t="s">
        <v>893</v>
      </c>
      <c r="O99" s="31">
        <f>58150</f>
        <v>58150</v>
      </c>
      <c r="P99" s="32" t="s">
        <v>995</v>
      </c>
      <c r="Q99" s="31">
        <f>63530</f>
        <v>63530</v>
      </c>
      <c r="R99" s="32" t="s">
        <v>893</v>
      </c>
      <c r="S99" s="33">
        <f>61179.09</f>
        <v>61179.09</v>
      </c>
      <c r="T99" s="30">
        <f>101523</f>
        <v>101523</v>
      </c>
      <c r="U99" s="30">
        <f>11</f>
        <v>11</v>
      </c>
      <c r="V99" s="30">
        <f>6196885095</f>
        <v>6196885095</v>
      </c>
      <c r="W99" s="30">
        <f>678015</f>
        <v>678015</v>
      </c>
      <c r="X99" s="34">
        <f>22</f>
        <v>22</v>
      </c>
    </row>
    <row r="100" spans="1:24" ht="13.5" customHeight="1" x14ac:dyDescent="0.15">
      <c r="A100" s="25" t="s">
        <v>1102</v>
      </c>
      <c r="B100" s="25" t="s">
        <v>326</v>
      </c>
      <c r="C100" s="25" t="s">
        <v>327</v>
      </c>
      <c r="D100" s="25" t="s">
        <v>328</v>
      </c>
      <c r="E100" s="26" t="s">
        <v>45</v>
      </c>
      <c r="F100" s="27" t="s">
        <v>45</v>
      </c>
      <c r="G100" s="28" t="s">
        <v>45</v>
      </c>
      <c r="H100" s="29"/>
      <c r="I100" s="29" t="s">
        <v>46</v>
      </c>
      <c r="J100" s="30">
        <v>1</v>
      </c>
      <c r="K100" s="31">
        <f>3415</f>
        <v>3415</v>
      </c>
      <c r="L100" s="32" t="s">
        <v>995</v>
      </c>
      <c r="M100" s="31">
        <f>3430</f>
        <v>3430</v>
      </c>
      <c r="N100" s="32" t="s">
        <v>1017</v>
      </c>
      <c r="O100" s="31">
        <f>3260</f>
        <v>3260</v>
      </c>
      <c r="P100" s="32" t="s">
        <v>784</v>
      </c>
      <c r="Q100" s="31">
        <f>3420</f>
        <v>3420</v>
      </c>
      <c r="R100" s="32" t="s">
        <v>893</v>
      </c>
      <c r="S100" s="33">
        <f>3388.86</f>
        <v>3388.86</v>
      </c>
      <c r="T100" s="30">
        <f>6844</f>
        <v>6844</v>
      </c>
      <c r="U100" s="30" t="str">
        <f>"－"</f>
        <v>－</v>
      </c>
      <c r="V100" s="30">
        <f>23098715</f>
        <v>23098715</v>
      </c>
      <c r="W100" s="30" t="str">
        <f>"－"</f>
        <v>－</v>
      </c>
      <c r="X100" s="34">
        <f>22</f>
        <v>22</v>
      </c>
    </row>
    <row r="101" spans="1:24" ht="13.5" customHeight="1" x14ac:dyDescent="0.15">
      <c r="A101" s="25" t="s">
        <v>1102</v>
      </c>
      <c r="B101" s="25" t="s">
        <v>329</v>
      </c>
      <c r="C101" s="25" t="s">
        <v>330</v>
      </c>
      <c r="D101" s="25" t="s">
        <v>331</v>
      </c>
      <c r="E101" s="26" t="s">
        <v>45</v>
      </c>
      <c r="F101" s="27" t="s">
        <v>45</v>
      </c>
      <c r="G101" s="28" t="s">
        <v>45</v>
      </c>
      <c r="H101" s="29"/>
      <c r="I101" s="29" t="s">
        <v>46</v>
      </c>
      <c r="J101" s="30">
        <v>1</v>
      </c>
      <c r="K101" s="31">
        <f>4285</f>
        <v>4285</v>
      </c>
      <c r="L101" s="32" t="s">
        <v>995</v>
      </c>
      <c r="M101" s="31">
        <f>4375</f>
        <v>4375</v>
      </c>
      <c r="N101" s="32" t="s">
        <v>997</v>
      </c>
      <c r="O101" s="31">
        <f>4190</f>
        <v>4190</v>
      </c>
      <c r="P101" s="32" t="s">
        <v>1004</v>
      </c>
      <c r="Q101" s="31">
        <f>4325</f>
        <v>4325</v>
      </c>
      <c r="R101" s="32" t="s">
        <v>893</v>
      </c>
      <c r="S101" s="33">
        <f>4262.05</f>
        <v>4262.05</v>
      </c>
      <c r="T101" s="30">
        <f>5139</f>
        <v>5139</v>
      </c>
      <c r="U101" s="30" t="str">
        <f>"－"</f>
        <v>－</v>
      </c>
      <c r="V101" s="30">
        <f>21901890</f>
        <v>21901890</v>
      </c>
      <c r="W101" s="30" t="str">
        <f>"－"</f>
        <v>－</v>
      </c>
      <c r="X101" s="34">
        <f>22</f>
        <v>22</v>
      </c>
    </row>
    <row r="102" spans="1:24" ht="13.5" customHeight="1" x14ac:dyDescent="0.15">
      <c r="A102" s="25" t="s">
        <v>1102</v>
      </c>
      <c r="B102" s="25" t="s">
        <v>332</v>
      </c>
      <c r="C102" s="25" t="s">
        <v>972</v>
      </c>
      <c r="D102" s="25" t="s">
        <v>973</v>
      </c>
      <c r="E102" s="26" t="s">
        <v>45</v>
      </c>
      <c r="F102" s="27" t="s">
        <v>45</v>
      </c>
      <c r="G102" s="28" t="s">
        <v>45</v>
      </c>
      <c r="H102" s="29"/>
      <c r="I102" s="29" t="s">
        <v>46</v>
      </c>
      <c r="J102" s="30">
        <v>1</v>
      </c>
      <c r="K102" s="31">
        <f>2557</f>
        <v>2557</v>
      </c>
      <c r="L102" s="32" t="s">
        <v>995</v>
      </c>
      <c r="M102" s="31">
        <f>3090</f>
        <v>3090</v>
      </c>
      <c r="N102" s="32" t="s">
        <v>998</v>
      </c>
      <c r="O102" s="31">
        <f>2522</f>
        <v>2522</v>
      </c>
      <c r="P102" s="32" t="s">
        <v>995</v>
      </c>
      <c r="Q102" s="31">
        <f>2691</f>
        <v>2691</v>
      </c>
      <c r="R102" s="32" t="s">
        <v>893</v>
      </c>
      <c r="S102" s="33">
        <f>2777.68</f>
        <v>2777.68</v>
      </c>
      <c r="T102" s="30">
        <f>2154126</f>
        <v>2154126</v>
      </c>
      <c r="U102" s="30">
        <f>3979</f>
        <v>3979</v>
      </c>
      <c r="V102" s="30">
        <f>6086302303</f>
        <v>6086302303</v>
      </c>
      <c r="W102" s="30">
        <f>10829530</f>
        <v>10829530</v>
      </c>
      <c r="X102" s="34">
        <f>22</f>
        <v>22</v>
      </c>
    </row>
    <row r="103" spans="1:24" ht="13.5" customHeight="1" x14ac:dyDescent="0.15">
      <c r="A103" s="25" t="s">
        <v>1102</v>
      </c>
      <c r="B103" s="25" t="s">
        <v>333</v>
      </c>
      <c r="C103" s="25" t="s">
        <v>334</v>
      </c>
      <c r="D103" s="25" t="s">
        <v>335</v>
      </c>
      <c r="E103" s="26" t="s">
        <v>45</v>
      </c>
      <c r="F103" s="27" t="s">
        <v>45</v>
      </c>
      <c r="G103" s="28" t="s">
        <v>45</v>
      </c>
      <c r="H103" s="29"/>
      <c r="I103" s="29" t="s">
        <v>46</v>
      </c>
      <c r="J103" s="30">
        <v>1</v>
      </c>
      <c r="K103" s="31">
        <f>45320</f>
        <v>45320</v>
      </c>
      <c r="L103" s="32" t="s">
        <v>995</v>
      </c>
      <c r="M103" s="31">
        <f>47710</f>
        <v>47710</v>
      </c>
      <c r="N103" s="32" t="s">
        <v>997</v>
      </c>
      <c r="O103" s="31">
        <f>45100</f>
        <v>45100</v>
      </c>
      <c r="P103" s="32" t="s">
        <v>995</v>
      </c>
      <c r="Q103" s="31">
        <f>47600</f>
        <v>47600</v>
      </c>
      <c r="R103" s="32" t="s">
        <v>893</v>
      </c>
      <c r="S103" s="33">
        <f>46457.73</f>
        <v>46457.73</v>
      </c>
      <c r="T103" s="30">
        <f>13219</f>
        <v>13219</v>
      </c>
      <c r="U103" s="30">
        <f>10</f>
        <v>10</v>
      </c>
      <c r="V103" s="30">
        <f>615850670</f>
        <v>615850670</v>
      </c>
      <c r="W103" s="30">
        <f>491860</f>
        <v>491860</v>
      </c>
      <c r="X103" s="34">
        <f>22</f>
        <v>22</v>
      </c>
    </row>
    <row r="104" spans="1:24" ht="13.5" customHeight="1" x14ac:dyDescent="0.15">
      <c r="A104" s="25" t="s">
        <v>1102</v>
      </c>
      <c r="B104" s="25" t="s">
        <v>336</v>
      </c>
      <c r="C104" s="25" t="s">
        <v>337</v>
      </c>
      <c r="D104" s="25" t="s">
        <v>338</v>
      </c>
      <c r="E104" s="26" t="s">
        <v>45</v>
      </c>
      <c r="F104" s="27" t="s">
        <v>45</v>
      </c>
      <c r="G104" s="28" t="s">
        <v>45</v>
      </c>
      <c r="H104" s="29"/>
      <c r="I104" s="29" t="s">
        <v>46</v>
      </c>
      <c r="J104" s="30">
        <v>10</v>
      </c>
      <c r="K104" s="31">
        <f>29385</f>
        <v>29385</v>
      </c>
      <c r="L104" s="32" t="s">
        <v>995</v>
      </c>
      <c r="M104" s="31">
        <f>34670</f>
        <v>34670</v>
      </c>
      <c r="N104" s="32" t="s">
        <v>1017</v>
      </c>
      <c r="O104" s="31">
        <f>29325</f>
        <v>29325</v>
      </c>
      <c r="P104" s="32" t="s">
        <v>995</v>
      </c>
      <c r="Q104" s="31">
        <f>33920</f>
        <v>33920</v>
      </c>
      <c r="R104" s="32" t="s">
        <v>893</v>
      </c>
      <c r="S104" s="33">
        <f>32944.32</f>
        <v>32944.32</v>
      </c>
      <c r="T104" s="30">
        <f>2457680</f>
        <v>2457680</v>
      </c>
      <c r="U104" s="30">
        <f>8000</f>
        <v>8000</v>
      </c>
      <c r="V104" s="30">
        <f>81290756350</f>
        <v>81290756350</v>
      </c>
      <c r="W104" s="30">
        <f>261440000</f>
        <v>261440000</v>
      </c>
      <c r="X104" s="34">
        <f>22</f>
        <v>22</v>
      </c>
    </row>
    <row r="105" spans="1:24" ht="13.5" customHeight="1" x14ac:dyDescent="0.15">
      <c r="A105" s="25" t="s">
        <v>1102</v>
      </c>
      <c r="B105" s="25" t="s">
        <v>339</v>
      </c>
      <c r="C105" s="25" t="s">
        <v>340</v>
      </c>
      <c r="D105" s="25" t="s">
        <v>341</v>
      </c>
      <c r="E105" s="26" t="s">
        <v>45</v>
      </c>
      <c r="F105" s="27" t="s">
        <v>45</v>
      </c>
      <c r="G105" s="28" t="s">
        <v>45</v>
      </c>
      <c r="H105" s="29"/>
      <c r="I105" s="29" t="s">
        <v>46</v>
      </c>
      <c r="J105" s="30">
        <v>10</v>
      </c>
      <c r="K105" s="31">
        <f>1798</f>
        <v>1798</v>
      </c>
      <c r="L105" s="32" t="s">
        <v>995</v>
      </c>
      <c r="M105" s="31">
        <f>1800</f>
        <v>1800</v>
      </c>
      <c r="N105" s="32" t="s">
        <v>995</v>
      </c>
      <c r="O105" s="31">
        <f>1648.5</f>
        <v>1648.5</v>
      </c>
      <c r="P105" s="32" t="s">
        <v>1017</v>
      </c>
      <c r="Q105" s="31">
        <f>1667</f>
        <v>1667</v>
      </c>
      <c r="R105" s="32" t="s">
        <v>893</v>
      </c>
      <c r="S105" s="33">
        <f>1694.66</f>
        <v>1694.66</v>
      </c>
      <c r="T105" s="30">
        <f>691690</f>
        <v>691690</v>
      </c>
      <c r="U105" s="30" t="str">
        <f>"－"</f>
        <v>－</v>
      </c>
      <c r="V105" s="30">
        <f>1175810120</f>
        <v>1175810120</v>
      </c>
      <c r="W105" s="30" t="str">
        <f>"－"</f>
        <v>－</v>
      </c>
      <c r="X105" s="34">
        <f>22</f>
        <v>22</v>
      </c>
    </row>
    <row r="106" spans="1:24" ht="13.5" customHeight="1" x14ac:dyDescent="0.15">
      <c r="A106" s="25" t="s">
        <v>1102</v>
      </c>
      <c r="B106" s="25" t="s">
        <v>342</v>
      </c>
      <c r="C106" s="25" t="s">
        <v>343</v>
      </c>
      <c r="D106" s="25" t="s">
        <v>344</v>
      </c>
      <c r="E106" s="26" t="s">
        <v>45</v>
      </c>
      <c r="F106" s="27" t="s">
        <v>45</v>
      </c>
      <c r="G106" s="28" t="s">
        <v>45</v>
      </c>
      <c r="H106" s="29"/>
      <c r="I106" s="29" t="s">
        <v>46</v>
      </c>
      <c r="J106" s="30">
        <v>1</v>
      </c>
      <c r="K106" s="31">
        <f>18040</f>
        <v>18040</v>
      </c>
      <c r="L106" s="32" t="s">
        <v>995</v>
      </c>
      <c r="M106" s="31">
        <f>21570</f>
        <v>21570</v>
      </c>
      <c r="N106" s="32" t="s">
        <v>790</v>
      </c>
      <c r="O106" s="31">
        <f>17985</f>
        <v>17985</v>
      </c>
      <c r="P106" s="32" t="s">
        <v>995</v>
      </c>
      <c r="Q106" s="31">
        <f>20825</f>
        <v>20825</v>
      </c>
      <c r="R106" s="32" t="s">
        <v>893</v>
      </c>
      <c r="S106" s="33">
        <f>20267.05</f>
        <v>20267.05</v>
      </c>
      <c r="T106" s="30">
        <f>176272362</f>
        <v>176272362</v>
      </c>
      <c r="U106" s="30">
        <f>216041</f>
        <v>216041</v>
      </c>
      <c r="V106" s="30">
        <f>3573221457148</f>
        <v>3573221457148</v>
      </c>
      <c r="W106" s="30">
        <f>4293929978</f>
        <v>4293929978</v>
      </c>
      <c r="X106" s="34">
        <f>22</f>
        <v>22</v>
      </c>
    </row>
    <row r="107" spans="1:24" ht="13.5" customHeight="1" x14ac:dyDescent="0.15">
      <c r="A107" s="25" t="s">
        <v>1102</v>
      </c>
      <c r="B107" s="25" t="s">
        <v>345</v>
      </c>
      <c r="C107" s="25" t="s">
        <v>346</v>
      </c>
      <c r="D107" s="25" t="s">
        <v>347</v>
      </c>
      <c r="E107" s="26" t="s">
        <v>45</v>
      </c>
      <c r="F107" s="27" t="s">
        <v>45</v>
      </c>
      <c r="G107" s="28" t="s">
        <v>45</v>
      </c>
      <c r="H107" s="29"/>
      <c r="I107" s="29" t="s">
        <v>46</v>
      </c>
      <c r="J107" s="30">
        <v>1</v>
      </c>
      <c r="K107" s="31">
        <f>833</f>
        <v>833</v>
      </c>
      <c r="L107" s="32" t="s">
        <v>995</v>
      </c>
      <c r="M107" s="31">
        <f>834</f>
        <v>834</v>
      </c>
      <c r="N107" s="32" t="s">
        <v>995</v>
      </c>
      <c r="O107" s="31">
        <f>759</f>
        <v>759</v>
      </c>
      <c r="P107" s="32" t="s">
        <v>1002</v>
      </c>
      <c r="Q107" s="31">
        <f>770</f>
        <v>770</v>
      </c>
      <c r="R107" s="32" t="s">
        <v>893</v>
      </c>
      <c r="S107" s="33">
        <f>783.27</f>
        <v>783.27</v>
      </c>
      <c r="T107" s="30">
        <f>79568921</f>
        <v>79568921</v>
      </c>
      <c r="U107" s="30">
        <f>1725678</f>
        <v>1725678</v>
      </c>
      <c r="V107" s="30">
        <f>62505594936</f>
        <v>62505594936</v>
      </c>
      <c r="W107" s="30">
        <f>1400699929</f>
        <v>1400699929</v>
      </c>
      <c r="X107" s="34">
        <f>22</f>
        <v>22</v>
      </c>
    </row>
    <row r="108" spans="1:24" ht="13.5" customHeight="1" x14ac:dyDescent="0.15">
      <c r="A108" s="25" t="s">
        <v>1102</v>
      </c>
      <c r="B108" s="25" t="s">
        <v>348</v>
      </c>
      <c r="C108" s="25" t="s">
        <v>349</v>
      </c>
      <c r="D108" s="25" t="s">
        <v>350</v>
      </c>
      <c r="E108" s="26" t="s">
        <v>45</v>
      </c>
      <c r="F108" s="27" t="s">
        <v>45</v>
      </c>
      <c r="G108" s="28" t="s">
        <v>45</v>
      </c>
      <c r="H108" s="29"/>
      <c r="I108" s="29" t="s">
        <v>46</v>
      </c>
      <c r="J108" s="30">
        <v>10</v>
      </c>
      <c r="K108" s="31">
        <f>3903</f>
        <v>3903</v>
      </c>
      <c r="L108" s="32" t="s">
        <v>995</v>
      </c>
      <c r="M108" s="31">
        <f>4996</f>
        <v>4996</v>
      </c>
      <c r="N108" s="32" t="s">
        <v>790</v>
      </c>
      <c r="O108" s="31">
        <f>3903</f>
        <v>3903</v>
      </c>
      <c r="P108" s="32" t="s">
        <v>995</v>
      </c>
      <c r="Q108" s="31">
        <f>4492</f>
        <v>4492</v>
      </c>
      <c r="R108" s="32" t="s">
        <v>893</v>
      </c>
      <c r="S108" s="33">
        <f>4509.32</f>
        <v>4509.32</v>
      </c>
      <c r="T108" s="30">
        <f>259040</f>
        <v>259040</v>
      </c>
      <c r="U108" s="30">
        <f>110</f>
        <v>110</v>
      </c>
      <c r="V108" s="30">
        <f>1174221580</f>
        <v>1174221580</v>
      </c>
      <c r="W108" s="30">
        <f>501240</f>
        <v>501240</v>
      </c>
      <c r="X108" s="34">
        <f>22</f>
        <v>22</v>
      </c>
    </row>
    <row r="109" spans="1:24" ht="13.5" customHeight="1" x14ac:dyDescent="0.15">
      <c r="A109" s="25" t="s">
        <v>1102</v>
      </c>
      <c r="B109" s="25" t="s">
        <v>351</v>
      </c>
      <c r="C109" s="25" t="s">
        <v>352</v>
      </c>
      <c r="D109" s="25" t="s">
        <v>353</v>
      </c>
      <c r="E109" s="26" t="s">
        <v>45</v>
      </c>
      <c r="F109" s="27" t="s">
        <v>45</v>
      </c>
      <c r="G109" s="28" t="s">
        <v>45</v>
      </c>
      <c r="H109" s="29"/>
      <c r="I109" s="29" t="s">
        <v>46</v>
      </c>
      <c r="J109" s="30">
        <v>10</v>
      </c>
      <c r="K109" s="31">
        <f>11830</f>
        <v>11830</v>
      </c>
      <c r="L109" s="32" t="s">
        <v>995</v>
      </c>
      <c r="M109" s="31">
        <f>11830</f>
        <v>11830</v>
      </c>
      <c r="N109" s="32" t="s">
        <v>995</v>
      </c>
      <c r="O109" s="31">
        <f>10390</f>
        <v>10390</v>
      </c>
      <c r="P109" s="32" t="s">
        <v>876</v>
      </c>
      <c r="Q109" s="31">
        <f>11315</f>
        <v>11315</v>
      </c>
      <c r="R109" s="32" t="s">
        <v>893</v>
      </c>
      <c r="S109" s="33">
        <f>11033.41</f>
        <v>11033.41</v>
      </c>
      <c r="T109" s="30">
        <f>24090</f>
        <v>24090</v>
      </c>
      <c r="U109" s="30" t="str">
        <f>"－"</f>
        <v>－</v>
      </c>
      <c r="V109" s="30">
        <f>265819350</f>
        <v>265819350</v>
      </c>
      <c r="W109" s="30" t="str">
        <f>"－"</f>
        <v>－</v>
      </c>
      <c r="X109" s="34">
        <f>22</f>
        <v>22</v>
      </c>
    </row>
    <row r="110" spans="1:24" ht="13.5" customHeight="1" x14ac:dyDescent="0.15">
      <c r="A110" s="25" t="s">
        <v>1102</v>
      </c>
      <c r="B110" s="25" t="s">
        <v>354</v>
      </c>
      <c r="C110" s="25" t="s">
        <v>355</v>
      </c>
      <c r="D110" s="25" t="s">
        <v>356</v>
      </c>
      <c r="E110" s="26" t="s">
        <v>45</v>
      </c>
      <c r="F110" s="27" t="s">
        <v>45</v>
      </c>
      <c r="G110" s="28" t="s">
        <v>45</v>
      </c>
      <c r="H110" s="29"/>
      <c r="I110" s="29" t="s">
        <v>46</v>
      </c>
      <c r="J110" s="30">
        <v>1</v>
      </c>
      <c r="K110" s="31">
        <f>26725</f>
        <v>26725</v>
      </c>
      <c r="L110" s="32" t="s">
        <v>995</v>
      </c>
      <c r="M110" s="31">
        <f>29570</f>
        <v>29570</v>
      </c>
      <c r="N110" s="32" t="s">
        <v>1017</v>
      </c>
      <c r="O110" s="31">
        <f>26725</f>
        <v>26725</v>
      </c>
      <c r="P110" s="32" t="s">
        <v>995</v>
      </c>
      <c r="Q110" s="31">
        <f>29260</f>
        <v>29260</v>
      </c>
      <c r="R110" s="32" t="s">
        <v>893</v>
      </c>
      <c r="S110" s="33">
        <f>28454.32</f>
        <v>28454.32</v>
      </c>
      <c r="T110" s="30">
        <f>92532</f>
        <v>92532</v>
      </c>
      <c r="U110" s="30">
        <f>29973</f>
        <v>29973</v>
      </c>
      <c r="V110" s="30">
        <f>2628873505</f>
        <v>2628873505</v>
      </c>
      <c r="W110" s="30">
        <f>849796020</f>
        <v>849796020</v>
      </c>
      <c r="X110" s="34">
        <f>22</f>
        <v>22</v>
      </c>
    </row>
    <row r="111" spans="1:24" ht="13.5" customHeight="1" x14ac:dyDescent="0.15">
      <c r="A111" s="25" t="s">
        <v>1102</v>
      </c>
      <c r="B111" s="25" t="s">
        <v>357</v>
      </c>
      <c r="C111" s="25" t="s">
        <v>358</v>
      </c>
      <c r="D111" s="25" t="s">
        <v>359</v>
      </c>
      <c r="E111" s="26" t="s">
        <v>45</v>
      </c>
      <c r="F111" s="27" t="s">
        <v>45</v>
      </c>
      <c r="G111" s="28" t="s">
        <v>45</v>
      </c>
      <c r="H111" s="29"/>
      <c r="I111" s="29" t="s">
        <v>46</v>
      </c>
      <c r="J111" s="30">
        <v>1</v>
      </c>
      <c r="K111" s="31">
        <f>2483</f>
        <v>2483</v>
      </c>
      <c r="L111" s="32" t="s">
        <v>995</v>
      </c>
      <c r="M111" s="31">
        <f>2717</f>
        <v>2717</v>
      </c>
      <c r="N111" s="32" t="s">
        <v>790</v>
      </c>
      <c r="O111" s="31">
        <f>2478</f>
        <v>2478</v>
      </c>
      <c r="P111" s="32" t="s">
        <v>995</v>
      </c>
      <c r="Q111" s="31">
        <f>2669</f>
        <v>2669</v>
      </c>
      <c r="R111" s="32" t="s">
        <v>893</v>
      </c>
      <c r="S111" s="33">
        <f>2632.73</f>
        <v>2632.73</v>
      </c>
      <c r="T111" s="30">
        <f>559669</f>
        <v>559669</v>
      </c>
      <c r="U111" s="30">
        <f>500000</f>
        <v>500000</v>
      </c>
      <c r="V111" s="30">
        <f>1469035347</f>
        <v>1469035347</v>
      </c>
      <c r="W111" s="30">
        <f>1312309000</f>
        <v>1312309000</v>
      </c>
      <c r="X111" s="34">
        <f>22</f>
        <v>22</v>
      </c>
    </row>
    <row r="112" spans="1:24" ht="13.5" customHeight="1" x14ac:dyDescent="0.15">
      <c r="A112" s="25" t="s">
        <v>1102</v>
      </c>
      <c r="B112" s="25" t="s">
        <v>360</v>
      </c>
      <c r="C112" s="25" t="s">
        <v>361</v>
      </c>
      <c r="D112" s="25" t="s">
        <v>362</v>
      </c>
      <c r="E112" s="26" t="s">
        <v>45</v>
      </c>
      <c r="F112" s="27" t="s">
        <v>45</v>
      </c>
      <c r="G112" s="28" t="s">
        <v>45</v>
      </c>
      <c r="H112" s="29"/>
      <c r="I112" s="29" t="s">
        <v>46</v>
      </c>
      <c r="J112" s="30">
        <v>10</v>
      </c>
      <c r="K112" s="31">
        <f>19280</f>
        <v>19280</v>
      </c>
      <c r="L112" s="32" t="s">
        <v>995</v>
      </c>
      <c r="M112" s="31">
        <f>23045</f>
        <v>23045</v>
      </c>
      <c r="N112" s="32" t="s">
        <v>790</v>
      </c>
      <c r="O112" s="31">
        <f>19230</f>
        <v>19230</v>
      </c>
      <c r="P112" s="32" t="s">
        <v>995</v>
      </c>
      <c r="Q112" s="31">
        <f>22250</f>
        <v>22250</v>
      </c>
      <c r="R112" s="32" t="s">
        <v>893</v>
      </c>
      <c r="S112" s="33">
        <f>21649.77</f>
        <v>21649.77</v>
      </c>
      <c r="T112" s="30">
        <f>16723570</f>
        <v>16723570</v>
      </c>
      <c r="U112" s="30">
        <f>44160</f>
        <v>44160</v>
      </c>
      <c r="V112" s="30">
        <f>361741813825</f>
        <v>361741813825</v>
      </c>
      <c r="W112" s="30">
        <f>998342175</f>
        <v>998342175</v>
      </c>
      <c r="X112" s="34">
        <f>22</f>
        <v>22</v>
      </c>
    </row>
    <row r="113" spans="1:24" ht="13.5" customHeight="1" x14ac:dyDescent="0.15">
      <c r="A113" s="25" t="s">
        <v>1102</v>
      </c>
      <c r="B113" s="25" t="s">
        <v>363</v>
      </c>
      <c r="C113" s="25" t="s">
        <v>364</v>
      </c>
      <c r="D113" s="25" t="s">
        <v>365</v>
      </c>
      <c r="E113" s="26" t="s">
        <v>45</v>
      </c>
      <c r="F113" s="27" t="s">
        <v>45</v>
      </c>
      <c r="G113" s="28" t="s">
        <v>45</v>
      </c>
      <c r="H113" s="29"/>
      <c r="I113" s="29" t="s">
        <v>46</v>
      </c>
      <c r="J113" s="30">
        <v>10</v>
      </c>
      <c r="K113" s="31">
        <f>2208</f>
        <v>2208</v>
      </c>
      <c r="L113" s="32" t="s">
        <v>995</v>
      </c>
      <c r="M113" s="31">
        <f>2212</f>
        <v>2212</v>
      </c>
      <c r="N113" s="32" t="s">
        <v>995</v>
      </c>
      <c r="O113" s="31">
        <f>2012.5</f>
        <v>2012.5</v>
      </c>
      <c r="P113" s="32" t="s">
        <v>790</v>
      </c>
      <c r="Q113" s="31">
        <f>2044.5</f>
        <v>2044.5</v>
      </c>
      <c r="R113" s="32" t="s">
        <v>893</v>
      </c>
      <c r="S113" s="33">
        <f>2079.09</f>
        <v>2079.09</v>
      </c>
      <c r="T113" s="30">
        <f>4784430</f>
        <v>4784430</v>
      </c>
      <c r="U113" s="30">
        <f>135000</f>
        <v>135000</v>
      </c>
      <c r="V113" s="30">
        <f>9880296905</f>
        <v>9880296905</v>
      </c>
      <c r="W113" s="30">
        <f>283257240</f>
        <v>283257240</v>
      </c>
      <c r="X113" s="34">
        <f>22</f>
        <v>22</v>
      </c>
    </row>
    <row r="114" spans="1:24" ht="13.5" customHeight="1" x14ac:dyDescent="0.15">
      <c r="A114" s="25" t="s">
        <v>1102</v>
      </c>
      <c r="B114" s="25" t="s">
        <v>369</v>
      </c>
      <c r="C114" s="25" t="s">
        <v>1059</v>
      </c>
      <c r="D114" s="25" t="s">
        <v>1060</v>
      </c>
      <c r="E114" s="26" t="s">
        <v>45</v>
      </c>
      <c r="F114" s="27" t="s">
        <v>45</v>
      </c>
      <c r="G114" s="28" t="s">
        <v>45</v>
      </c>
      <c r="H114" s="29"/>
      <c r="I114" s="29" t="s">
        <v>46</v>
      </c>
      <c r="J114" s="30">
        <v>10</v>
      </c>
      <c r="K114" s="31">
        <f>1696</f>
        <v>1696</v>
      </c>
      <c r="L114" s="32" t="s">
        <v>999</v>
      </c>
      <c r="M114" s="31">
        <f>1800</f>
        <v>1800</v>
      </c>
      <c r="N114" s="32" t="s">
        <v>1017</v>
      </c>
      <c r="O114" s="31">
        <f>1696</f>
        <v>1696</v>
      </c>
      <c r="P114" s="32" t="s">
        <v>999</v>
      </c>
      <c r="Q114" s="31">
        <f>1800</f>
        <v>1800</v>
      </c>
      <c r="R114" s="32" t="s">
        <v>1017</v>
      </c>
      <c r="S114" s="33">
        <f>1755.35</f>
        <v>1755.35</v>
      </c>
      <c r="T114" s="30">
        <f>4270</f>
        <v>4270</v>
      </c>
      <c r="U114" s="30" t="str">
        <f>"－"</f>
        <v>－</v>
      </c>
      <c r="V114" s="30">
        <f>7536040</f>
        <v>7536040</v>
      </c>
      <c r="W114" s="30" t="str">
        <f>"－"</f>
        <v>－</v>
      </c>
      <c r="X114" s="34">
        <f>10</f>
        <v>10</v>
      </c>
    </row>
    <row r="115" spans="1:24" ht="13.5" customHeight="1" x14ac:dyDescent="0.15">
      <c r="A115" s="25" t="s">
        <v>1102</v>
      </c>
      <c r="B115" s="25" t="s">
        <v>372</v>
      </c>
      <c r="C115" s="25" t="s">
        <v>373</v>
      </c>
      <c r="D115" s="25" t="s">
        <v>374</v>
      </c>
      <c r="E115" s="26" t="s">
        <v>45</v>
      </c>
      <c r="F115" s="27" t="s">
        <v>45</v>
      </c>
      <c r="G115" s="28" t="s">
        <v>45</v>
      </c>
      <c r="H115" s="29"/>
      <c r="I115" s="29" t="s">
        <v>46</v>
      </c>
      <c r="J115" s="30">
        <v>1</v>
      </c>
      <c r="K115" s="31">
        <f>1781</f>
        <v>1781</v>
      </c>
      <c r="L115" s="32" t="s">
        <v>995</v>
      </c>
      <c r="M115" s="31">
        <f>1940</f>
        <v>1940</v>
      </c>
      <c r="N115" s="32" t="s">
        <v>56</v>
      </c>
      <c r="O115" s="31">
        <f>1766</f>
        <v>1766</v>
      </c>
      <c r="P115" s="32" t="s">
        <v>995</v>
      </c>
      <c r="Q115" s="31">
        <f>1885</f>
        <v>1885</v>
      </c>
      <c r="R115" s="32" t="s">
        <v>893</v>
      </c>
      <c r="S115" s="33">
        <f>1872.91</f>
        <v>1872.91</v>
      </c>
      <c r="T115" s="30">
        <f>210847</f>
        <v>210847</v>
      </c>
      <c r="U115" s="30">
        <f>200000</f>
        <v>200000</v>
      </c>
      <c r="V115" s="30">
        <f>388509101</f>
        <v>388509101</v>
      </c>
      <c r="W115" s="30">
        <f>368360000</f>
        <v>368360000</v>
      </c>
      <c r="X115" s="34">
        <f>22</f>
        <v>22</v>
      </c>
    </row>
    <row r="116" spans="1:24" ht="13.5" customHeight="1" x14ac:dyDescent="0.15">
      <c r="A116" s="25" t="s">
        <v>1102</v>
      </c>
      <c r="B116" s="25" t="s">
        <v>375</v>
      </c>
      <c r="C116" s="25" t="s">
        <v>376</v>
      </c>
      <c r="D116" s="25" t="s">
        <v>377</v>
      </c>
      <c r="E116" s="26" t="s">
        <v>45</v>
      </c>
      <c r="F116" s="27" t="s">
        <v>45</v>
      </c>
      <c r="G116" s="28" t="s">
        <v>45</v>
      </c>
      <c r="H116" s="29"/>
      <c r="I116" s="29" t="s">
        <v>46</v>
      </c>
      <c r="J116" s="30">
        <v>1</v>
      </c>
      <c r="K116" s="31">
        <f>19370</f>
        <v>19370</v>
      </c>
      <c r="L116" s="32" t="s">
        <v>995</v>
      </c>
      <c r="M116" s="31">
        <f>21115</f>
        <v>21115</v>
      </c>
      <c r="N116" s="32" t="s">
        <v>1001</v>
      </c>
      <c r="O116" s="31">
        <f>19370</f>
        <v>19370</v>
      </c>
      <c r="P116" s="32" t="s">
        <v>995</v>
      </c>
      <c r="Q116" s="31">
        <f>20810</f>
        <v>20810</v>
      </c>
      <c r="R116" s="32" t="s">
        <v>893</v>
      </c>
      <c r="S116" s="33">
        <f>20566.36</f>
        <v>20566.36</v>
      </c>
      <c r="T116" s="30">
        <f>85803</f>
        <v>85803</v>
      </c>
      <c r="U116" s="30">
        <f>43500</f>
        <v>43500</v>
      </c>
      <c r="V116" s="30">
        <f>1761902520</f>
        <v>1761902520</v>
      </c>
      <c r="W116" s="30">
        <f>897645200</f>
        <v>897645200</v>
      </c>
      <c r="X116" s="34">
        <f>22</f>
        <v>22</v>
      </c>
    </row>
    <row r="117" spans="1:24" ht="13.5" customHeight="1" x14ac:dyDescent="0.15">
      <c r="A117" s="25" t="s">
        <v>1102</v>
      </c>
      <c r="B117" s="25" t="s">
        <v>378</v>
      </c>
      <c r="C117" s="25" t="s">
        <v>379</v>
      </c>
      <c r="D117" s="25" t="s">
        <v>380</v>
      </c>
      <c r="E117" s="26" t="s">
        <v>45</v>
      </c>
      <c r="F117" s="27" t="s">
        <v>45</v>
      </c>
      <c r="G117" s="28" t="s">
        <v>45</v>
      </c>
      <c r="H117" s="29"/>
      <c r="I117" s="29" t="s">
        <v>46</v>
      </c>
      <c r="J117" s="30">
        <v>1</v>
      </c>
      <c r="K117" s="31">
        <f>1790</f>
        <v>1790</v>
      </c>
      <c r="L117" s="32" t="s">
        <v>995</v>
      </c>
      <c r="M117" s="31">
        <f>1949</f>
        <v>1949</v>
      </c>
      <c r="N117" s="32" t="s">
        <v>790</v>
      </c>
      <c r="O117" s="31">
        <f>1788</f>
        <v>1788</v>
      </c>
      <c r="P117" s="32" t="s">
        <v>995</v>
      </c>
      <c r="Q117" s="31">
        <f>1924</f>
        <v>1924</v>
      </c>
      <c r="R117" s="32" t="s">
        <v>893</v>
      </c>
      <c r="S117" s="33">
        <f>1900.45</f>
        <v>1900.45</v>
      </c>
      <c r="T117" s="30">
        <f>406478</f>
        <v>406478</v>
      </c>
      <c r="U117" s="30">
        <f>336594</f>
        <v>336594</v>
      </c>
      <c r="V117" s="30">
        <f>766086879</f>
        <v>766086879</v>
      </c>
      <c r="W117" s="30">
        <f>633886989</f>
        <v>633886989</v>
      </c>
      <c r="X117" s="34">
        <f>22</f>
        <v>22</v>
      </c>
    </row>
    <row r="118" spans="1:24" ht="13.5" customHeight="1" x14ac:dyDescent="0.15">
      <c r="A118" s="25" t="s">
        <v>1102</v>
      </c>
      <c r="B118" s="25" t="s">
        <v>381</v>
      </c>
      <c r="C118" s="25" t="s">
        <v>382</v>
      </c>
      <c r="D118" s="25" t="s">
        <v>383</v>
      </c>
      <c r="E118" s="26" t="s">
        <v>45</v>
      </c>
      <c r="F118" s="27" t="s">
        <v>45</v>
      </c>
      <c r="G118" s="28" t="s">
        <v>45</v>
      </c>
      <c r="H118" s="29"/>
      <c r="I118" s="29" t="s">
        <v>46</v>
      </c>
      <c r="J118" s="30">
        <v>1</v>
      </c>
      <c r="K118" s="31">
        <f>19935</f>
        <v>19935</v>
      </c>
      <c r="L118" s="32" t="s">
        <v>995</v>
      </c>
      <c r="M118" s="31">
        <f>21780</f>
        <v>21780</v>
      </c>
      <c r="N118" s="32" t="s">
        <v>1001</v>
      </c>
      <c r="O118" s="31">
        <f>19935</f>
        <v>19935</v>
      </c>
      <c r="P118" s="32" t="s">
        <v>995</v>
      </c>
      <c r="Q118" s="31">
        <f>21510</f>
        <v>21510</v>
      </c>
      <c r="R118" s="32" t="s">
        <v>893</v>
      </c>
      <c r="S118" s="33">
        <f>21229.32</f>
        <v>21229.32</v>
      </c>
      <c r="T118" s="30">
        <f>39260</f>
        <v>39260</v>
      </c>
      <c r="U118" s="30">
        <f>25165</f>
        <v>25165</v>
      </c>
      <c r="V118" s="30">
        <f>840466889</f>
        <v>840466889</v>
      </c>
      <c r="W118" s="30">
        <f>541160019</f>
        <v>541160019</v>
      </c>
      <c r="X118" s="34">
        <f>22</f>
        <v>22</v>
      </c>
    </row>
    <row r="119" spans="1:24" ht="13.5" customHeight="1" x14ac:dyDescent="0.15">
      <c r="A119" s="25" t="s">
        <v>1102</v>
      </c>
      <c r="B119" s="25" t="s">
        <v>384</v>
      </c>
      <c r="C119" s="25" t="s">
        <v>385</v>
      </c>
      <c r="D119" s="25" t="s">
        <v>386</v>
      </c>
      <c r="E119" s="26" t="s">
        <v>45</v>
      </c>
      <c r="F119" s="27" t="s">
        <v>45</v>
      </c>
      <c r="G119" s="28" t="s">
        <v>45</v>
      </c>
      <c r="H119" s="29"/>
      <c r="I119" s="29" t="s">
        <v>46</v>
      </c>
      <c r="J119" s="30">
        <v>10</v>
      </c>
      <c r="K119" s="31">
        <f>1910.5</f>
        <v>1910.5</v>
      </c>
      <c r="L119" s="32" t="s">
        <v>995</v>
      </c>
      <c r="M119" s="31">
        <f>1916</f>
        <v>1916</v>
      </c>
      <c r="N119" s="32" t="s">
        <v>997</v>
      </c>
      <c r="O119" s="31">
        <f>1873</f>
        <v>1873</v>
      </c>
      <c r="P119" s="32" t="s">
        <v>786</v>
      </c>
      <c r="Q119" s="31">
        <f>1904.5</f>
        <v>1904.5</v>
      </c>
      <c r="R119" s="32" t="s">
        <v>893</v>
      </c>
      <c r="S119" s="33">
        <f>1898.07</f>
        <v>1898.07</v>
      </c>
      <c r="T119" s="30">
        <f>3015160</f>
        <v>3015160</v>
      </c>
      <c r="U119" s="30">
        <f>1229000</f>
        <v>1229000</v>
      </c>
      <c r="V119" s="30">
        <f>5730114690</f>
        <v>5730114690</v>
      </c>
      <c r="W119" s="30">
        <f>2329585700</f>
        <v>2329585700</v>
      </c>
      <c r="X119" s="34">
        <f>22</f>
        <v>22</v>
      </c>
    </row>
    <row r="120" spans="1:24" ht="13.5" customHeight="1" x14ac:dyDescent="0.15">
      <c r="A120" s="25" t="s">
        <v>1102</v>
      </c>
      <c r="B120" s="25" t="s">
        <v>387</v>
      </c>
      <c r="C120" s="25" t="s">
        <v>388</v>
      </c>
      <c r="D120" s="25" t="s">
        <v>389</v>
      </c>
      <c r="E120" s="26" t="s">
        <v>45</v>
      </c>
      <c r="F120" s="27" t="s">
        <v>45</v>
      </c>
      <c r="G120" s="28" t="s">
        <v>45</v>
      </c>
      <c r="H120" s="29"/>
      <c r="I120" s="29" t="s">
        <v>46</v>
      </c>
      <c r="J120" s="30">
        <v>10</v>
      </c>
      <c r="K120" s="31">
        <f>1872</f>
        <v>1872</v>
      </c>
      <c r="L120" s="32" t="s">
        <v>999</v>
      </c>
      <c r="M120" s="31">
        <f>2000</f>
        <v>2000</v>
      </c>
      <c r="N120" s="32" t="s">
        <v>1002</v>
      </c>
      <c r="O120" s="31">
        <f>1872</f>
        <v>1872</v>
      </c>
      <c r="P120" s="32" t="s">
        <v>999</v>
      </c>
      <c r="Q120" s="31">
        <f>1948</f>
        <v>1948</v>
      </c>
      <c r="R120" s="32" t="s">
        <v>1002</v>
      </c>
      <c r="S120" s="33">
        <f>1910</f>
        <v>1910</v>
      </c>
      <c r="T120" s="30">
        <f>3010</f>
        <v>3010</v>
      </c>
      <c r="U120" s="30" t="str">
        <f>"－"</f>
        <v>－</v>
      </c>
      <c r="V120" s="30">
        <f>5994990</f>
        <v>5994990</v>
      </c>
      <c r="W120" s="30" t="str">
        <f>"－"</f>
        <v>－</v>
      </c>
      <c r="X120" s="34">
        <f>2</f>
        <v>2</v>
      </c>
    </row>
    <row r="121" spans="1:24" ht="13.5" customHeight="1" x14ac:dyDescent="0.15">
      <c r="A121" s="25" t="s">
        <v>1102</v>
      </c>
      <c r="B121" s="25" t="s">
        <v>390</v>
      </c>
      <c r="C121" s="25" t="s">
        <v>391</v>
      </c>
      <c r="D121" s="25" t="s">
        <v>392</v>
      </c>
      <c r="E121" s="26" t="s">
        <v>45</v>
      </c>
      <c r="F121" s="27" t="s">
        <v>45</v>
      </c>
      <c r="G121" s="28" t="s">
        <v>45</v>
      </c>
      <c r="H121" s="29"/>
      <c r="I121" s="29" t="s">
        <v>46</v>
      </c>
      <c r="J121" s="30">
        <v>10</v>
      </c>
      <c r="K121" s="31">
        <f>1927</f>
        <v>1927</v>
      </c>
      <c r="L121" s="32" t="s">
        <v>995</v>
      </c>
      <c r="M121" s="31">
        <f>1941</f>
        <v>1941</v>
      </c>
      <c r="N121" s="32" t="s">
        <v>78</v>
      </c>
      <c r="O121" s="31">
        <f>1878</f>
        <v>1878</v>
      </c>
      <c r="P121" s="32" t="s">
        <v>786</v>
      </c>
      <c r="Q121" s="31">
        <f>1908.5</f>
        <v>1908.5</v>
      </c>
      <c r="R121" s="32" t="s">
        <v>893</v>
      </c>
      <c r="S121" s="33">
        <f>1905.98</f>
        <v>1905.98</v>
      </c>
      <c r="T121" s="30">
        <f>3141240</f>
        <v>3141240</v>
      </c>
      <c r="U121" s="30">
        <f>961500</f>
        <v>961500</v>
      </c>
      <c r="V121" s="30">
        <f>5994579454</f>
        <v>5994579454</v>
      </c>
      <c r="W121" s="30">
        <f>1829573759</f>
        <v>1829573759</v>
      </c>
      <c r="X121" s="34">
        <f>22</f>
        <v>22</v>
      </c>
    </row>
    <row r="122" spans="1:24" ht="13.5" customHeight="1" x14ac:dyDescent="0.15">
      <c r="A122" s="25" t="s">
        <v>1102</v>
      </c>
      <c r="B122" s="25" t="s">
        <v>393</v>
      </c>
      <c r="C122" s="25" t="s">
        <v>1061</v>
      </c>
      <c r="D122" s="25" t="s">
        <v>1062</v>
      </c>
      <c r="E122" s="26" t="s">
        <v>45</v>
      </c>
      <c r="F122" s="27" t="s">
        <v>45</v>
      </c>
      <c r="G122" s="28" t="s">
        <v>45</v>
      </c>
      <c r="H122" s="29"/>
      <c r="I122" s="29" t="s">
        <v>46</v>
      </c>
      <c r="J122" s="30">
        <v>1</v>
      </c>
      <c r="K122" s="31">
        <f>19995</f>
        <v>19995</v>
      </c>
      <c r="L122" s="32" t="s">
        <v>995</v>
      </c>
      <c r="M122" s="31">
        <f>21525</f>
        <v>21525</v>
      </c>
      <c r="N122" s="32" t="s">
        <v>1002</v>
      </c>
      <c r="O122" s="31">
        <f>19995</f>
        <v>19995</v>
      </c>
      <c r="P122" s="32" t="s">
        <v>995</v>
      </c>
      <c r="Q122" s="31">
        <f>21275</f>
        <v>21275</v>
      </c>
      <c r="R122" s="32" t="s">
        <v>893</v>
      </c>
      <c r="S122" s="33">
        <f>21031.88</f>
        <v>21031.88</v>
      </c>
      <c r="T122" s="30">
        <f>20964</f>
        <v>20964</v>
      </c>
      <c r="U122" s="30">
        <f>17428</f>
        <v>17428</v>
      </c>
      <c r="V122" s="30">
        <f>444655635</f>
        <v>444655635</v>
      </c>
      <c r="W122" s="30">
        <f>369952870</f>
        <v>369952870</v>
      </c>
      <c r="X122" s="34">
        <f>16</f>
        <v>16</v>
      </c>
    </row>
    <row r="123" spans="1:24" ht="13.5" customHeight="1" x14ac:dyDescent="0.15">
      <c r="A123" s="25" t="s">
        <v>1102</v>
      </c>
      <c r="B123" s="25" t="s">
        <v>396</v>
      </c>
      <c r="C123" s="25" t="s">
        <v>397</v>
      </c>
      <c r="D123" s="25" t="s">
        <v>398</v>
      </c>
      <c r="E123" s="26" t="s">
        <v>45</v>
      </c>
      <c r="F123" s="27" t="s">
        <v>45</v>
      </c>
      <c r="G123" s="28" t="s">
        <v>45</v>
      </c>
      <c r="H123" s="29"/>
      <c r="I123" s="29" t="s">
        <v>46</v>
      </c>
      <c r="J123" s="30">
        <v>100</v>
      </c>
      <c r="K123" s="31">
        <f>213.6</f>
        <v>213.6</v>
      </c>
      <c r="L123" s="32" t="s">
        <v>995</v>
      </c>
      <c r="M123" s="31">
        <f>235.4</f>
        <v>235.4</v>
      </c>
      <c r="N123" s="32" t="s">
        <v>1017</v>
      </c>
      <c r="O123" s="31">
        <f>213</f>
        <v>213</v>
      </c>
      <c r="P123" s="32" t="s">
        <v>995</v>
      </c>
      <c r="Q123" s="31">
        <f>233.9</f>
        <v>233.9</v>
      </c>
      <c r="R123" s="32" t="s">
        <v>893</v>
      </c>
      <c r="S123" s="33">
        <f>223.47</f>
        <v>223.47</v>
      </c>
      <c r="T123" s="30">
        <f>62041100</f>
        <v>62041100</v>
      </c>
      <c r="U123" s="30">
        <f>10273700</f>
        <v>10273700</v>
      </c>
      <c r="V123" s="30">
        <f>13892871756</f>
        <v>13892871756</v>
      </c>
      <c r="W123" s="30">
        <f>2277627056</f>
        <v>2277627056</v>
      </c>
      <c r="X123" s="34">
        <f>22</f>
        <v>22</v>
      </c>
    </row>
    <row r="124" spans="1:24" ht="13.5" customHeight="1" x14ac:dyDescent="0.15">
      <c r="A124" s="25" t="s">
        <v>1102</v>
      </c>
      <c r="B124" s="25" t="s">
        <v>399</v>
      </c>
      <c r="C124" s="25" t="s">
        <v>400</v>
      </c>
      <c r="D124" s="25" t="s">
        <v>401</v>
      </c>
      <c r="E124" s="26" t="s">
        <v>45</v>
      </c>
      <c r="F124" s="27" t="s">
        <v>45</v>
      </c>
      <c r="G124" s="28" t="s">
        <v>45</v>
      </c>
      <c r="H124" s="29"/>
      <c r="I124" s="29" t="s">
        <v>46</v>
      </c>
      <c r="J124" s="30">
        <v>1</v>
      </c>
      <c r="K124" s="31">
        <f>33030</f>
        <v>33030</v>
      </c>
      <c r="L124" s="32" t="s">
        <v>995</v>
      </c>
      <c r="M124" s="31">
        <f>34650</f>
        <v>34650</v>
      </c>
      <c r="N124" s="32" t="s">
        <v>790</v>
      </c>
      <c r="O124" s="31">
        <f>33030</f>
        <v>33030</v>
      </c>
      <c r="P124" s="32" t="s">
        <v>995</v>
      </c>
      <c r="Q124" s="31">
        <f>34090</f>
        <v>34090</v>
      </c>
      <c r="R124" s="32" t="s">
        <v>893</v>
      </c>
      <c r="S124" s="33">
        <f>34101.36</f>
        <v>34101.360000000001</v>
      </c>
      <c r="T124" s="30">
        <f>3766</f>
        <v>3766</v>
      </c>
      <c r="U124" s="30" t="str">
        <f t="shared" ref="U124:U131" si="3">"－"</f>
        <v>－</v>
      </c>
      <c r="V124" s="30">
        <f>127606190</f>
        <v>127606190</v>
      </c>
      <c r="W124" s="30" t="str">
        <f t="shared" ref="W124:W131" si="4">"－"</f>
        <v>－</v>
      </c>
      <c r="X124" s="34">
        <f>22</f>
        <v>22</v>
      </c>
    </row>
    <row r="125" spans="1:24" ht="13.5" customHeight="1" x14ac:dyDescent="0.15">
      <c r="A125" s="25" t="s">
        <v>1102</v>
      </c>
      <c r="B125" s="25" t="s">
        <v>402</v>
      </c>
      <c r="C125" s="25" t="s">
        <v>403</v>
      </c>
      <c r="D125" s="25" t="s">
        <v>404</v>
      </c>
      <c r="E125" s="26" t="s">
        <v>45</v>
      </c>
      <c r="F125" s="27" t="s">
        <v>45</v>
      </c>
      <c r="G125" s="28" t="s">
        <v>45</v>
      </c>
      <c r="H125" s="29"/>
      <c r="I125" s="29" t="s">
        <v>46</v>
      </c>
      <c r="J125" s="30">
        <v>1</v>
      </c>
      <c r="K125" s="31">
        <f>13290</f>
        <v>13290</v>
      </c>
      <c r="L125" s="32" t="s">
        <v>995</v>
      </c>
      <c r="M125" s="31">
        <f>14390</f>
        <v>14390</v>
      </c>
      <c r="N125" s="32" t="s">
        <v>790</v>
      </c>
      <c r="O125" s="31">
        <f>13280</f>
        <v>13280</v>
      </c>
      <c r="P125" s="32" t="s">
        <v>995</v>
      </c>
      <c r="Q125" s="31">
        <f>14280</f>
        <v>14280</v>
      </c>
      <c r="R125" s="32" t="s">
        <v>893</v>
      </c>
      <c r="S125" s="33">
        <f>14049.55</f>
        <v>14049.55</v>
      </c>
      <c r="T125" s="30">
        <f>10690</f>
        <v>10690</v>
      </c>
      <c r="U125" s="30" t="str">
        <f t="shared" si="3"/>
        <v>－</v>
      </c>
      <c r="V125" s="30">
        <f>150158725</f>
        <v>150158725</v>
      </c>
      <c r="W125" s="30" t="str">
        <f t="shared" si="4"/>
        <v>－</v>
      </c>
      <c r="X125" s="34">
        <f>22</f>
        <v>22</v>
      </c>
    </row>
    <row r="126" spans="1:24" ht="13.5" customHeight="1" x14ac:dyDescent="0.15">
      <c r="A126" s="25" t="s">
        <v>1102</v>
      </c>
      <c r="B126" s="25" t="s">
        <v>405</v>
      </c>
      <c r="C126" s="25" t="s">
        <v>406</v>
      </c>
      <c r="D126" s="25" t="s">
        <v>407</v>
      </c>
      <c r="E126" s="26" t="s">
        <v>45</v>
      </c>
      <c r="F126" s="27" t="s">
        <v>45</v>
      </c>
      <c r="G126" s="28" t="s">
        <v>45</v>
      </c>
      <c r="H126" s="29"/>
      <c r="I126" s="29" t="s">
        <v>46</v>
      </c>
      <c r="J126" s="30">
        <v>1</v>
      </c>
      <c r="K126" s="31">
        <f>23750</f>
        <v>23750</v>
      </c>
      <c r="L126" s="32" t="s">
        <v>995</v>
      </c>
      <c r="M126" s="31">
        <f>25770</f>
        <v>25770</v>
      </c>
      <c r="N126" s="32" t="s">
        <v>1017</v>
      </c>
      <c r="O126" s="31">
        <f>23750</f>
        <v>23750</v>
      </c>
      <c r="P126" s="32" t="s">
        <v>995</v>
      </c>
      <c r="Q126" s="31">
        <f>25425</f>
        <v>25425</v>
      </c>
      <c r="R126" s="32" t="s">
        <v>893</v>
      </c>
      <c r="S126" s="33">
        <f>24849.32</f>
        <v>24849.32</v>
      </c>
      <c r="T126" s="30">
        <f>1730</f>
        <v>1730</v>
      </c>
      <c r="U126" s="30" t="str">
        <f t="shared" si="3"/>
        <v>－</v>
      </c>
      <c r="V126" s="30">
        <f>43144290</f>
        <v>43144290</v>
      </c>
      <c r="W126" s="30" t="str">
        <f t="shared" si="4"/>
        <v>－</v>
      </c>
      <c r="X126" s="34">
        <f>22</f>
        <v>22</v>
      </c>
    </row>
    <row r="127" spans="1:24" ht="13.5" customHeight="1" x14ac:dyDescent="0.15">
      <c r="A127" s="25" t="s">
        <v>1102</v>
      </c>
      <c r="B127" s="25" t="s">
        <v>408</v>
      </c>
      <c r="C127" s="25" t="s">
        <v>409</v>
      </c>
      <c r="D127" s="25" t="s">
        <v>410</v>
      </c>
      <c r="E127" s="26" t="s">
        <v>45</v>
      </c>
      <c r="F127" s="27" t="s">
        <v>45</v>
      </c>
      <c r="G127" s="28" t="s">
        <v>45</v>
      </c>
      <c r="H127" s="29"/>
      <c r="I127" s="29" t="s">
        <v>46</v>
      </c>
      <c r="J127" s="30">
        <v>1</v>
      </c>
      <c r="K127" s="31">
        <f>26505</f>
        <v>26505</v>
      </c>
      <c r="L127" s="32" t="s">
        <v>995</v>
      </c>
      <c r="M127" s="31">
        <f>28800</f>
        <v>28800</v>
      </c>
      <c r="N127" s="32" t="s">
        <v>876</v>
      </c>
      <c r="O127" s="31">
        <f>26200</f>
        <v>26200</v>
      </c>
      <c r="P127" s="32" t="s">
        <v>995</v>
      </c>
      <c r="Q127" s="31">
        <f>28430</f>
        <v>28430</v>
      </c>
      <c r="R127" s="32" t="s">
        <v>893</v>
      </c>
      <c r="S127" s="33">
        <f>27971.14</f>
        <v>27971.14</v>
      </c>
      <c r="T127" s="30">
        <f>2634</f>
        <v>2634</v>
      </c>
      <c r="U127" s="30" t="str">
        <f t="shared" si="3"/>
        <v>－</v>
      </c>
      <c r="V127" s="30">
        <f>73900870</f>
        <v>73900870</v>
      </c>
      <c r="W127" s="30" t="str">
        <f t="shared" si="4"/>
        <v>－</v>
      </c>
      <c r="X127" s="34">
        <f>22</f>
        <v>22</v>
      </c>
    </row>
    <row r="128" spans="1:24" ht="13.5" customHeight="1" x14ac:dyDescent="0.15">
      <c r="A128" s="25" t="s">
        <v>1102</v>
      </c>
      <c r="B128" s="25" t="s">
        <v>411</v>
      </c>
      <c r="C128" s="25" t="s">
        <v>412</v>
      </c>
      <c r="D128" s="25" t="s">
        <v>413</v>
      </c>
      <c r="E128" s="26" t="s">
        <v>45</v>
      </c>
      <c r="F128" s="27" t="s">
        <v>45</v>
      </c>
      <c r="G128" s="28" t="s">
        <v>45</v>
      </c>
      <c r="H128" s="29"/>
      <c r="I128" s="29" t="s">
        <v>46</v>
      </c>
      <c r="J128" s="30">
        <v>1</v>
      </c>
      <c r="K128" s="31">
        <f>27315</f>
        <v>27315</v>
      </c>
      <c r="L128" s="32" t="s">
        <v>995</v>
      </c>
      <c r="M128" s="31">
        <f>29185</f>
        <v>29185</v>
      </c>
      <c r="N128" s="32" t="s">
        <v>56</v>
      </c>
      <c r="O128" s="31">
        <f>27315</f>
        <v>27315</v>
      </c>
      <c r="P128" s="32" t="s">
        <v>995</v>
      </c>
      <c r="Q128" s="31">
        <f>27660</f>
        <v>27660</v>
      </c>
      <c r="R128" s="32" t="s">
        <v>893</v>
      </c>
      <c r="S128" s="33">
        <f>28317.05</f>
        <v>28317.05</v>
      </c>
      <c r="T128" s="30">
        <f>4582</f>
        <v>4582</v>
      </c>
      <c r="U128" s="30" t="str">
        <f t="shared" si="3"/>
        <v>－</v>
      </c>
      <c r="V128" s="30">
        <f>129907515</f>
        <v>129907515</v>
      </c>
      <c r="W128" s="30" t="str">
        <f t="shared" si="4"/>
        <v>－</v>
      </c>
      <c r="X128" s="34">
        <f>22</f>
        <v>22</v>
      </c>
    </row>
    <row r="129" spans="1:24" ht="13.5" customHeight="1" x14ac:dyDescent="0.15">
      <c r="A129" s="25" t="s">
        <v>1102</v>
      </c>
      <c r="B129" s="25" t="s">
        <v>414</v>
      </c>
      <c r="C129" s="25" t="s">
        <v>415</v>
      </c>
      <c r="D129" s="25" t="s">
        <v>416</v>
      </c>
      <c r="E129" s="26" t="s">
        <v>45</v>
      </c>
      <c r="F129" s="27" t="s">
        <v>45</v>
      </c>
      <c r="G129" s="28" t="s">
        <v>45</v>
      </c>
      <c r="H129" s="29"/>
      <c r="I129" s="29" t="s">
        <v>46</v>
      </c>
      <c r="J129" s="30">
        <v>1</v>
      </c>
      <c r="K129" s="31">
        <f>24760</f>
        <v>24760</v>
      </c>
      <c r="L129" s="32" t="s">
        <v>995</v>
      </c>
      <c r="M129" s="31">
        <f>28760</f>
        <v>28760</v>
      </c>
      <c r="N129" s="32" t="s">
        <v>790</v>
      </c>
      <c r="O129" s="31">
        <f>24720</f>
        <v>24720</v>
      </c>
      <c r="P129" s="32" t="s">
        <v>995</v>
      </c>
      <c r="Q129" s="31">
        <f>28390</f>
        <v>28390</v>
      </c>
      <c r="R129" s="32" t="s">
        <v>893</v>
      </c>
      <c r="S129" s="33">
        <f>27170.23</f>
        <v>27170.23</v>
      </c>
      <c r="T129" s="30">
        <f>11650</f>
        <v>11650</v>
      </c>
      <c r="U129" s="30" t="str">
        <f t="shared" si="3"/>
        <v>－</v>
      </c>
      <c r="V129" s="30">
        <f>322012680</f>
        <v>322012680</v>
      </c>
      <c r="W129" s="30" t="str">
        <f t="shared" si="4"/>
        <v>－</v>
      </c>
      <c r="X129" s="34">
        <f>22</f>
        <v>22</v>
      </c>
    </row>
    <row r="130" spans="1:24" ht="13.5" customHeight="1" x14ac:dyDescent="0.15">
      <c r="A130" s="25" t="s">
        <v>1102</v>
      </c>
      <c r="B130" s="25" t="s">
        <v>417</v>
      </c>
      <c r="C130" s="25" t="s">
        <v>418</v>
      </c>
      <c r="D130" s="25" t="s">
        <v>419</v>
      </c>
      <c r="E130" s="26" t="s">
        <v>45</v>
      </c>
      <c r="F130" s="27" t="s">
        <v>45</v>
      </c>
      <c r="G130" s="28" t="s">
        <v>45</v>
      </c>
      <c r="H130" s="29"/>
      <c r="I130" s="29" t="s">
        <v>46</v>
      </c>
      <c r="J130" s="30">
        <v>1</v>
      </c>
      <c r="K130" s="31">
        <f>19690</f>
        <v>19690</v>
      </c>
      <c r="L130" s="32" t="s">
        <v>995</v>
      </c>
      <c r="M130" s="31">
        <f>21950</f>
        <v>21950</v>
      </c>
      <c r="N130" s="32" t="s">
        <v>790</v>
      </c>
      <c r="O130" s="31">
        <f>19595</f>
        <v>19595</v>
      </c>
      <c r="P130" s="32" t="s">
        <v>995</v>
      </c>
      <c r="Q130" s="31">
        <f>21700</f>
        <v>21700</v>
      </c>
      <c r="R130" s="32" t="s">
        <v>893</v>
      </c>
      <c r="S130" s="33">
        <f>21165</f>
        <v>21165</v>
      </c>
      <c r="T130" s="30">
        <f>6682</f>
        <v>6682</v>
      </c>
      <c r="U130" s="30" t="str">
        <f t="shared" si="3"/>
        <v>－</v>
      </c>
      <c r="V130" s="30">
        <f>141717970</f>
        <v>141717970</v>
      </c>
      <c r="W130" s="30" t="str">
        <f t="shared" si="4"/>
        <v>－</v>
      </c>
      <c r="X130" s="34">
        <f>22</f>
        <v>22</v>
      </c>
    </row>
    <row r="131" spans="1:24" ht="13.5" customHeight="1" x14ac:dyDescent="0.15">
      <c r="A131" s="25" t="s">
        <v>1102</v>
      </c>
      <c r="B131" s="25" t="s">
        <v>420</v>
      </c>
      <c r="C131" s="25" t="s">
        <v>421</v>
      </c>
      <c r="D131" s="25" t="s">
        <v>422</v>
      </c>
      <c r="E131" s="26" t="s">
        <v>45</v>
      </c>
      <c r="F131" s="27" t="s">
        <v>45</v>
      </c>
      <c r="G131" s="28" t="s">
        <v>45</v>
      </c>
      <c r="H131" s="29"/>
      <c r="I131" s="29" t="s">
        <v>46</v>
      </c>
      <c r="J131" s="30">
        <v>1</v>
      </c>
      <c r="K131" s="31">
        <f>44900</f>
        <v>44900</v>
      </c>
      <c r="L131" s="32" t="s">
        <v>995</v>
      </c>
      <c r="M131" s="31">
        <f>49860</f>
        <v>49860</v>
      </c>
      <c r="N131" s="32" t="s">
        <v>1002</v>
      </c>
      <c r="O131" s="31">
        <f>44900</f>
        <v>44900</v>
      </c>
      <c r="P131" s="32" t="s">
        <v>995</v>
      </c>
      <c r="Q131" s="31">
        <f>48900</f>
        <v>48900</v>
      </c>
      <c r="R131" s="32" t="s">
        <v>893</v>
      </c>
      <c r="S131" s="33">
        <f>48245.45</f>
        <v>48245.45</v>
      </c>
      <c r="T131" s="30">
        <f>2755</f>
        <v>2755</v>
      </c>
      <c r="U131" s="30" t="str">
        <f t="shared" si="3"/>
        <v>－</v>
      </c>
      <c r="V131" s="30">
        <f>133756090</f>
        <v>133756090</v>
      </c>
      <c r="W131" s="30" t="str">
        <f t="shared" si="4"/>
        <v>－</v>
      </c>
      <c r="X131" s="34">
        <f>22</f>
        <v>22</v>
      </c>
    </row>
    <row r="132" spans="1:24" ht="13.5" customHeight="1" x14ac:dyDescent="0.15">
      <c r="A132" s="25" t="s">
        <v>1102</v>
      </c>
      <c r="B132" s="25" t="s">
        <v>423</v>
      </c>
      <c r="C132" s="25" t="s">
        <v>424</v>
      </c>
      <c r="D132" s="25" t="s">
        <v>425</v>
      </c>
      <c r="E132" s="26" t="s">
        <v>45</v>
      </c>
      <c r="F132" s="27" t="s">
        <v>45</v>
      </c>
      <c r="G132" s="28" t="s">
        <v>45</v>
      </c>
      <c r="H132" s="29"/>
      <c r="I132" s="29" t="s">
        <v>46</v>
      </c>
      <c r="J132" s="30">
        <v>1</v>
      </c>
      <c r="K132" s="31">
        <f>31380</f>
        <v>31380</v>
      </c>
      <c r="L132" s="32" t="s">
        <v>995</v>
      </c>
      <c r="M132" s="31">
        <f>33870</f>
        <v>33870</v>
      </c>
      <c r="N132" s="32" t="s">
        <v>1002</v>
      </c>
      <c r="O132" s="31">
        <f>31380</f>
        <v>31380</v>
      </c>
      <c r="P132" s="32" t="s">
        <v>995</v>
      </c>
      <c r="Q132" s="31">
        <f>32930</f>
        <v>32930</v>
      </c>
      <c r="R132" s="32" t="s">
        <v>893</v>
      </c>
      <c r="S132" s="33">
        <f>32904.55</f>
        <v>32904.550000000003</v>
      </c>
      <c r="T132" s="30">
        <f>21901</f>
        <v>21901</v>
      </c>
      <c r="U132" s="30">
        <f>7001</f>
        <v>7001</v>
      </c>
      <c r="V132" s="30">
        <f>715323890</f>
        <v>715323890</v>
      </c>
      <c r="W132" s="30">
        <f>227054280</f>
        <v>227054280</v>
      </c>
      <c r="X132" s="34">
        <f>22</f>
        <v>22</v>
      </c>
    </row>
    <row r="133" spans="1:24" ht="13.5" customHeight="1" x14ac:dyDescent="0.15">
      <c r="A133" s="25" t="s">
        <v>1102</v>
      </c>
      <c r="B133" s="25" t="s">
        <v>426</v>
      </c>
      <c r="C133" s="25" t="s">
        <v>427</v>
      </c>
      <c r="D133" s="25" t="s">
        <v>428</v>
      </c>
      <c r="E133" s="26" t="s">
        <v>45</v>
      </c>
      <c r="F133" s="27" t="s">
        <v>45</v>
      </c>
      <c r="G133" s="28" t="s">
        <v>45</v>
      </c>
      <c r="H133" s="29"/>
      <c r="I133" s="29" t="s">
        <v>46</v>
      </c>
      <c r="J133" s="30">
        <v>1</v>
      </c>
      <c r="K133" s="31">
        <f>29235</f>
        <v>29235</v>
      </c>
      <c r="L133" s="32" t="s">
        <v>995</v>
      </c>
      <c r="M133" s="31">
        <f>31160</f>
        <v>31160</v>
      </c>
      <c r="N133" s="32" t="s">
        <v>1017</v>
      </c>
      <c r="O133" s="31">
        <f>29235</f>
        <v>29235</v>
      </c>
      <c r="P133" s="32" t="s">
        <v>995</v>
      </c>
      <c r="Q133" s="31">
        <f>30840</f>
        <v>30840</v>
      </c>
      <c r="R133" s="32" t="s">
        <v>893</v>
      </c>
      <c r="S133" s="33">
        <f>30465.23</f>
        <v>30465.23</v>
      </c>
      <c r="T133" s="30">
        <f>1797</f>
        <v>1797</v>
      </c>
      <c r="U133" s="30">
        <f>1</f>
        <v>1</v>
      </c>
      <c r="V133" s="30">
        <f>54734985</f>
        <v>54734985</v>
      </c>
      <c r="W133" s="30">
        <f>30840</f>
        <v>30840</v>
      </c>
      <c r="X133" s="34">
        <f>22</f>
        <v>22</v>
      </c>
    </row>
    <row r="134" spans="1:24" ht="13.5" customHeight="1" x14ac:dyDescent="0.15">
      <c r="A134" s="25" t="s">
        <v>1102</v>
      </c>
      <c r="B134" s="25" t="s">
        <v>429</v>
      </c>
      <c r="C134" s="25" t="s">
        <v>430</v>
      </c>
      <c r="D134" s="25" t="s">
        <v>431</v>
      </c>
      <c r="E134" s="26" t="s">
        <v>45</v>
      </c>
      <c r="F134" s="27" t="s">
        <v>45</v>
      </c>
      <c r="G134" s="28" t="s">
        <v>45</v>
      </c>
      <c r="H134" s="29"/>
      <c r="I134" s="29" t="s">
        <v>46</v>
      </c>
      <c r="J134" s="30">
        <v>1</v>
      </c>
      <c r="K134" s="31">
        <f>6907</f>
        <v>6907</v>
      </c>
      <c r="L134" s="32" t="s">
        <v>995</v>
      </c>
      <c r="M134" s="31">
        <f>7516</f>
        <v>7516</v>
      </c>
      <c r="N134" s="32" t="s">
        <v>894</v>
      </c>
      <c r="O134" s="31">
        <f>6902</f>
        <v>6902</v>
      </c>
      <c r="P134" s="32" t="s">
        <v>995</v>
      </c>
      <c r="Q134" s="31">
        <f>7355</f>
        <v>7355</v>
      </c>
      <c r="R134" s="32" t="s">
        <v>893</v>
      </c>
      <c r="S134" s="33">
        <f>7255.05</f>
        <v>7255.05</v>
      </c>
      <c r="T134" s="30">
        <f>41470</f>
        <v>41470</v>
      </c>
      <c r="U134" s="30" t="str">
        <f>"－"</f>
        <v>－</v>
      </c>
      <c r="V134" s="30">
        <f>301256147</f>
        <v>301256147</v>
      </c>
      <c r="W134" s="30" t="str">
        <f>"－"</f>
        <v>－</v>
      </c>
      <c r="X134" s="34">
        <f>22</f>
        <v>22</v>
      </c>
    </row>
    <row r="135" spans="1:24" ht="13.5" customHeight="1" x14ac:dyDescent="0.15">
      <c r="A135" s="25" t="s">
        <v>1102</v>
      </c>
      <c r="B135" s="25" t="s">
        <v>432</v>
      </c>
      <c r="C135" s="25" t="s">
        <v>433</v>
      </c>
      <c r="D135" s="25" t="s">
        <v>434</v>
      </c>
      <c r="E135" s="26" t="s">
        <v>45</v>
      </c>
      <c r="F135" s="27" t="s">
        <v>45</v>
      </c>
      <c r="G135" s="28" t="s">
        <v>45</v>
      </c>
      <c r="H135" s="29"/>
      <c r="I135" s="29" t="s">
        <v>46</v>
      </c>
      <c r="J135" s="30">
        <v>1</v>
      </c>
      <c r="K135" s="31">
        <f>17135</f>
        <v>17135</v>
      </c>
      <c r="L135" s="32" t="s">
        <v>995</v>
      </c>
      <c r="M135" s="31">
        <f>18380</f>
        <v>18380</v>
      </c>
      <c r="N135" s="32" t="s">
        <v>1017</v>
      </c>
      <c r="O135" s="31">
        <f>17130</f>
        <v>17130</v>
      </c>
      <c r="P135" s="32" t="s">
        <v>999</v>
      </c>
      <c r="Q135" s="31">
        <f>18015</f>
        <v>18015</v>
      </c>
      <c r="R135" s="32" t="s">
        <v>893</v>
      </c>
      <c r="S135" s="33">
        <f>17705</f>
        <v>17705</v>
      </c>
      <c r="T135" s="30">
        <f>10583</f>
        <v>10583</v>
      </c>
      <c r="U135" s="30" t="str">
        <f>"－"</f>
        <v>－</v>
      </c>
      <c r="V135" s="30">
        <f>188252470</f>
        <v>188252470</v>
      </c>
      <c r="W135" s="30" t="str">
        <f>"－"</f>
        <v>－</v>
      </c>
      <c r="X135" s="34">
        <f>22</f>
        <v>22</v>
      </c>
    </row>
    <row r="136" spans="1:24" ht="13.5" customHeight="1" x14ac:dyDescent="0.15">
      <c r="A136" s="25" t="s">
        <v>1102</v>
      </c>
      <c r="B136" s="25" t="s">
        <v>435</v>
      </c>
      <c r="C136" s="25" t="s">
        <v>436</v>
      </c>
      <c r="D136" s="25" t="s">
        <v>437</v>
      </c>
      <c r="E136" s="26" t="s">
        <v>45</v>
      </c>
      <c r="F136" s="27" t="s">
        <v>45</v>
      </c>
      <c r="G136" s="28" t="s">
        <v>45</v>
      </c>
      <c r="H136" s="29"/>
      <c r="I136" s="29" t="s">
        <v>46</v>
      </c>
      <c r="J136" s="30">
        <v>1</v>
      </c>
      <c r="K136" s="31">
        <f>60610</f>
        <v>60610</v>
      </c>
      <c r="L136" s="32" t="s">
        <v>995</v>
      </c>
      <c r="M136" s="31">
        <f>76500</f>
        <v>76500</v>
      </c>
      <c r="N136" s="32" t="s">
        <v>998</v>
      </c>
      <c r="O136" s="31">
        <f>60610</f>
        <v>60610</v>
      </c>
      <c r="P136" s="32" t="s">
        <v>995</v>
      </c>
      <c r="Q136" s="31">
        <f>70200</f>
        <v>70200</v>
      </c>
      <c r="R136" s="32" t="s">
        <v>893</v>
      </c>
      <c r="S136" s="33">
        <f>68739.09</f>
        <v>68739.09</v>
      </c>
      <c r="T136" s="30">
        <f>61998</f>
        <v>61998</v>
      </c>
      <c r="U136" s="30">
        <f>3002</f>
        <v>3002</v>
      </c>
      <c r="V136" s="30">
        <f>4335514310</f>
        <v>4335514310</v>
      </c>
      <c r="W136" s="30">
        <f>208793520</f>
        <v>208793520</v>
      </c>
      <c r="X136" s="34">
        <f>22</f>
        <v>22</v>
      </c>
    </row>
    <row r="137" spans="1:24" ht="13.5" customHeight="1" x14ac:dyDescent="0.15">
      <c r="A137" s="25" t="s">
        <v>1102</v>
      </c>
      <c r="B137" s="25" t="s">
        <v>438</v>
      </c>
      <c r="C137" s="25" t="s">
        <v>439</v>
      </c>
      <c r="D137" s="25" t="s">
        <v>440</v>
      </c>
      <c r="E137" s="26" t="s">
        <v>45</v>
      </c>
      <c r="F137" s="27" t="s">
        <v>45</v>
      </c>
      <c r="G137" s="28" t="s">
        <v>45</v>
      </c>
      <c r="H137" s="29"/>
      <c r="I137" s="29" t="s">
        <v>46</v>
      </c>
      <c r="J137" s="30">
        <v>1</v>
      </c>
      <c r="K137" s="31">
        <f>24450</f>
        <v>24450</v>
      </c>
      <c r="L137" s="32" t="s">
        <v>995</v>
      </c>
      <c r="M137" s="31">
        <f>25910</f>
        <v>25910</v>
      </c>
      <c r="N137" s="32" t="s">
        <v>1017</v>
      </c>
      <c r="O137" s="31">
        <f>24450</f>
        <v>24450</v>
      </c>
      <c r="P137" s="32" t="s">
        <v>995</v>
      </c>
      <c r="Q137" s="31">
        <f>25685</f>
        <v>25685</v>
      </c>
      <c r="R137" s="32" t="s">
        <v>893</v>
      </c>
      <c r="S137" s="33">
        <f>25397.05</f>
        <v>25397.05</v>
      </c>
      <c r="T137" s="30">
        <f>4893</f>
        <v>4893</v>
      </c>
      <c r="U137" s="30" t="str">
        <f>"－"</f>
        <v>－</v>
      </c>
      <c r="V137" s="30">
        <f>124078620</f>
        <v>124078620</v>
      </c>
      <c r="W137" s="30" t="str">
        <f>"－"</f>
        <v>－</v>
      </c>
      <c r="X137" s="34">
        <f>22</f>
        <v>22</v>
      </c>
    </row>
    <row r="138" spans="1:24" ht="13.5" customHeight="1" x14ac:dyDescent="0.15">
      <c r="A138" s="25" t="s">
        <v>1102</v>
      </c>
      <c r="B138" s="25" t="s">
        <v>441</v>
      </c>
      <c r="C138" s="25" t="s">
        <v>442</v>
      </c>
      <c r="D138" s="25" t="s">
        <v>443</v>
      </c>
      <c r="E138" s="26" t="s">
        <v>45</v>
      </c>
      <c r="F138" s="27" t="s">
        <v>45</v>
      </c>
      <c r="G138" s="28" t="s">
        <v>45</v>
      </c>
      <c r="H138" s="29"/>
      <c r="I138" s="29" t="s">
        <v>46</v>
      </c>
      <c r="J138" s="30">
        <v>1</v>
      </c>
      <c r="K138" s="31">
        <f>11050</f>
        <v>11050</v>
      </c>
      <c r="L138" s="32" t="s">
        <v>995</v>
      </c>
      <c r="M138" s="31">
        <f>12480</f>
        <v>12480</v>
      </c>
      <c r="N138" s="32" t="s">
        <v>1017</v>
      </c>
      <c r="O138" s="31">
        <f>11040</f>
        <v>11040</v>
      </c>
      <c r="P138" s="32" t="s">
        <v>995</v>
      </c>
      <c r="Q138" s="31">
        <f>12120</f>
        <v>12120</v>
      </c>
      <c r="R138" s="32" t="s">
        <v>893</v>
      </c>
      <c r="S138" s="33">
        <f>11601.82</f>
        <v>11601.82</v>
      </c>
      <c r="T138" s="30">
        <f>59193</f>
        <v>59193</v>
      </c>
      <c r="U138" s="30">
        <f>16005</f>
        <v>16005</v>
      </c>
      <c r="V138" s="30">
        <f>686592375</f>
        <v>686592375</v>
      </c>
      <c r="W138" s="30">
        <f>182291005</f>
        <v>182291005</v>
      </c>
      <c r="X138" s="34">
        <f>22</f>
        <v>22</v>
      </c>
    </row>
    <row r="139" spans="1:24" ht="13.5" customHeight="1" x14ac:dyDescent="0.15">
      <c r="A139" s="25" t="s">
        <v>1102</v>
      </c>
      <c r="B139" s="25" t="s">
        <v>444</v>
      </c>
      <c r="C139" s="25" t="s">
        <v>445</v>
      </c>
      <c r="D139" s="25" t="s">
        <v>446</v>
      </c>
      <c r="E139" s="26" t="s">
        <v>45</v>
      </c>
      <c r="F139" s="27" t="s">
        <v>45</v>
      </c>
      <c r="G139" s="28" t="s">
        <v>45</v>
      </c>
      <c r="H139" s="29"/>
      <c r="I139" s="29" t="s">
        <v>46</v>
      </c>
      <c r="J139" s="30">
        <v>1</v>
      </c>
      <c r="K139" s="31">
        <f>16240</f>
        <v>16240</v>
      </c>
      <c r="L139" s="32" t="s">
        <v>995</v>
      </c>
      <c r="M139" s="31">
        <f>18140</f>
        <v>18140</v>
      </c>
      <c r="N139" s="32" t="s">
        <v>894</v>
      </c>
      <c r="O139" s="31">
        <f>16215</f>
        <v>16215</v>
      </c>
      <c r="P139" s="32" t="s">
        <v>995</v>
      </c>
      <c r="Q139" s="31">
        <f>17880</f>
        <v>17880</v>
      </c>
      <c r="R139" s="32" t="s">
        <v>893</v>
      </c>
      <c r="S139" s="33">
        <f>17471.36</f>
        <v>17471.36</v>
      </c>
      <c r="T139" s="30">
        <f>6499</f>
        <v>6499</v>
      </c>
      <c r="U139" s="30">
        <f>7</f>
        <v>7</v>
      </c>
      <c r="V139" s="30">
        <f>115061750</f>
        <v>115061750</v>
      </c>
      <c r="W139" s="30">
        <f>124885</f>
        <v>124885</v>
      </c>
      <c r="X139" s="34">
        <f>22</f>
        <v>22</v>
      </c>
    </row>
    <row r="140" spans="1:24" ht="13.5" customHeight="1" x14ac:dyDescent="0.15">
      <c r="A140" s="25" t="s">
        <v>1102</v>
      </c>
      <c r="B140" s="25" t="s">
        <v>447</v>
      </c>
      <c r="C140" s="25" t="s">
        <v>448</v>
      </c>
      <c r="D140" s="25" t="s">
        <v>449</v>
      </c>
      <c r="E140" s="26" t="s">
        <v>45</v>
      </c>
      <c r="F140" s="27" t="s">
        <v>45</v>
      </c>
      <c r="G140" s="28" t="s">
        <v>45</v>
      </c>
      <c r="H140" s="29"/>
      <c r="I140" s="29" t="s">
        <v>46</v>
      </c>
      <c r="J140" s="30">
        <v>1</v>
      </c>
      <c r="K140" s="31">
        <f>29945</f>
        <v>29945</v>
      </c>
      <c r="L140" s="32" t="s">
        <v>995</v>
      </c>
      <c r="M140" s="31">
        <f>32300</f>
        <v>32300</v>
      </c>
      <c r="N140" s="32" t="s">
        <v>894</v>
      </c>
      <c r="O140" s="31">
        <f>29860</f>
        <v>29860</v>
      </c>
      <c r="P140" s="32" t="s">
        <v>995</v>
      </c>
      <c r="Q140" s="31">
        <f>31220</f>
        <v>31220</v>
      </c>
      <c r="R140" s="32" t="s">
        <v>893</v>
      </c>
      <c r="S140" s="33">
        <f>31235.91</f>
        <v>31235.91</v>
      </c>
      <c r="T140" s="30">
        <f>2337</f>
        <v>2337</v>
      </c>
      <c r="U140" s="30">
        <f>3</f>
        <v>3</v>
      </c>
      <c r="V140" s="30">
        <f>73043875</f>
        <v>73043875</v>
      </c>
      <c r="W140" s="30">
        <f>93330</f>
        <v>93330</v>
      </c>
      <c r="X140" s="34">
        <f>22</f>
        <v>22</v>
      </c>
    </row>
    <row r="141" spans="1:24" ht="13.5" customHeight="1" x14ac:dyDescent="0.15">
      <c r="A141" s="25" t="s">
        <v>1102</v>
      </c>
      <c r="B141" s="25" t="s">
        <v>450</v>
      </c>
      <c r="C141" s="25" t="s">
        <v>1063</v>
      </c>
      <c r="D141" s="25" t="s">
        <v>1064</v>
      </c>
      <c r="E141" s="26" t="s">
        <v>45</v>
      </c>
      <c r="F141" s="27" t="s">
        <v>45</v>
      </c>
      <c r="G141" s="28" t="s">
        <v>45</v>
      </c>
      <c r="H141" s="29"/>
      <c r="I141" s="29" t="s">
        <v>46</v>
      </c>
      <c r="J141" s="30">
        <v>10</v>
      </c>
      <c r="K141" s="31">
        <f>1407.5</f>
        <v>1407.5</v>
      </c>
      <c r="L141" s="32" t="s">
        <v>995</v>
      </c>
      <c r="M141" s="31">
        <f>1572</f>
        <v>1572</v>
      </c>
      <c r="N141" s="32" t="s">
        <v>1017</v>
      </c>
      <c r="O141" s="31">
        <f>1407.5</f>
        <v>1407.5</v>
      </c>
      <c r="P141" s="32" t="s">
        <v>995</v>
      </c>
      <c r="Q141" s="31">
        <f>1554</f>
        <v>1554</v>
      </c>
      <c r="R141" s="32" t="s">
        <v>893</v>
      </c>
      <c r="S141" s="33">
        <f>1510.68</f>
        <v>1510.68</v>
      </c>
      <c r="T141" s="30">
        <f>1818650</f>
        <v>1818650</v>
      </c>
      <c r="U141" s="30">
        <f>951730</f>
        <v>951730</v>
      </c>
      <c r="V141" s="30">
        <f>2685898312</f>
        <v>2685898312</v>
      </c>
      <c r="W141" s="30">
        <f>1403033187</f>
        <v>1403033187</v>
      </c>
      <c r="X141" s="34">
        <f>22</f>
        <v>22</v>
      </c>
    </row>
    <row r="142" spans="1:24" ht="13.5" customHeight="1" x14ac:dyDescent="0.15">
      <c r="A142" s="25" t="s">
        <v>1102</v>
      </c>
      <c r="B142" s="25" t="s">
        <v>453</v>
      </c>
      <c r="C142" s="25" t="s">
        <v>1065</v>
      </c>
      <c r="D142" s="25" t="s">
        <v>1066</v>
      </c>
      <c r="E142" s="26" t="s">
        <v>45</v>
      </c>
      <c r="F142" s="27" t="s">
        <v>45</v>
      </c>
      <c r="G142" s="28" t="s">
        <v>45</v>
      </c>
      <c r="H142" s="29"/>
      <c r="I142" s="29" t="s">
        <v>46</v>
      </c>
      <c r="J142" s="30">
        <v>10</v>
      </c>
      <c r="K142" s="31">
        <f>2556.5</f>
        <v>2556.5</v>
      </c>
      <c r="L142" s="32" t="s">
        <v>995</v>
      </c>
      <c r="M142" s="31">
        <f>2734</f>
        <v>2734</v>
      </c>
      <c r="N142" s="32" t="s">
        <v>790</v>
      </c>
      <c r="O142" s="31">
        <f>2556.5</f>
        <v>2556.5</v>
      </c>
      <c r="P142" s="32" t="s">
        <v>995</v>
      </c>
      <c r="Q142" s="31">
        <f>2685</f>
        <v>2685</v>
      </c>
      <c r="R142" s="32" t="s">
        <v>255</v>
      </c>
      <c r="S142" s="33">
        <f>2668.54</f>
        <v>2668.54</v>
      </c>
      <c r="T142" s="30">
        <f>5180</f>
        <v>5180</v>
      </c>
      <c r="U142" s="30" t="str">
        <f>"－"</f>
        <v>－</v>
      </c>
      <c r="V142" s="30">
        <f>13874370</f>
        <v>13874370</v>
      </c>
      <c r="W142" s="30" t="str">
        <f>"－"</f>
        <v>－</v>
      </c>
      <c r="X142" s="34">
        <f>13</f>
        <v>13</v>
      </c>
    </row>
    <row r="143" spans="1:24" ht="13.5" customHeight="1" x14ac:dyDescent="0.15">
      <c r="A143" s="25" t="s">
        <v>1102</v>
      </c>
      <c r="B143" s="25" t="s">
        <v>456</v>
      </c>
      <c r="C143" s="25" t="s">
        <v>1067</v>
      </c>
      <c r="D143" s="25" t="s">
        <v>1068</v>
      </c>
      <c r="E143" s="26" t="s">
        <v>45</v>
      </c>
      <c r="F143" s="27" t="s">
        <v>45</v>
      </c>
      <c r="G143" s="28" t="s">
        <v>45</v>
      </c>
      <c r="H143" s="29"/>
      <c r="I143" s="29" t="s">
        <v>46</v>
      </c>
      <c r="J143" s="30">
        <v>10</v>
      </c>
      <c r="K143" s="31">
        <f>2740.5</f>
        <v>2740.5</v>
      </c>
      <c r="L143" s="32" t="s">
        <v>995</v>
      </c>
      <c r="M143" s="31">
        <f>2969</f>
        <v>2969</v>
      </c>
      <c r="N143" s="32" t="s">
        <v>1002</v>
      </c>
      <c r="O143" s="31">
        <f>2740.5</f>
        <v>2740.5</v>
      </c>
      <c r="P143" s="32" t="s">
        <v>995</v>
      </c>
      <c r="Q143" s="31">
        <f>2944.5</f>
        <v>2944.5</v>
      </c>
      <c r="R143" s="32" t="s">
        <v>1017</v>
      </c>
      <c r="S143" s="33">
        <f>2894.16</f>
        <v>2894.16</v>
      </c>
      <c r="T143" s="30">
        <f>72470</f>
        <v>72470</v>
      </c>
      <c r="U143" s="30" t="str">
        <f>"－"</f>
        <v>－</v>
      </c>
      <c r="V143" s="30">
        <f>207830910</f>
        <v>207830910</v>
      </c>
      <c r="W143" s="30" t="str">
        <f>"－"</f>
        <v>－</v>
      </c>
      <c r="X143" s="34">
        <f>19</f>
        <v>19</v>
      </c>
    </row>
    <row r="144" spans="1:24" ht="13.5" customHeight="1" x14ac:dyDescent="0.15">
      <c r="A144" s="25" t="s">
        <v>1102</v>
      </c>
      <c r="B144" s="25" t="s">
        <v>459</v>
      </c>
      <c r="C144" s="25" t="s">
        <v>1069</v>
      </c>
      <c r="D144" s="25" t="s">
        <v>1070</v>
      </c>
      <c r="E144" s="26" t="s">
        <v>45</v>
      </c>
      <c r="F144" s="27" t="s">
        <v>45</v>
      </c>
      <c r="G144" s="28" t="s">
        <v>45</v>
      </c>
      <c r="H144" s="29"/>
      <c r="I144" s="29" t="s">
        <v>46</v>
      </c>
      <c r="J144" s="30">
        <v>10</v>
      </c>
      <c r="K144" s="31">
        <f>1745</f>
        <v>1745</v>
      </c>
      <c r="L144" s="32" t="s">
        <v>999</v>
      </c>
      <c r="M144" s="31">
        <f>1869</f>
        <v>1869</v>
      </c>
      <c r="N144" s="32" t="s">
        <v>790</v>
      </c>
      <c r="O144" s="31">
        <f>1745</f>
        <v>1745</v>
      </c>
      <c r="P144" s="32" t="s">
        <v>999</v>
      </c>
      <c r="Q144" s="31">
        <f>1855.5</f>
        <v>1855.5</v>
      </c>
      <c r="R144" s="32" t="s">
        <v>893</v>
      </c>
      <c r="S144" s="33">
        <f>1819.04</f>
        <v>1819.04</v>
      </c>
      <c r="T144" s="30">
        <f>57790</f>
        <v>57790</v>
      </c>
      <c r="U144" s="30" t="str">
        <f>"－"</f>
        <v>－</v>
      </c>
      <c r="V144" s="30">
        <f>105341735</f>
        <v>105341735</v>
      </c>
      <c r="W144" s="30" t="str">
        <f>"－"</f>
        <v>－</v>
      </c>
      <c r="X144" s="34">
        <f>12</f>
        <v>12</v>
      </c>
    </row>
    <row r="145" spans="1:24" ht="13.5" customHeight="1" x14ac:dyDescent="0.15">
      <c r="A145" s="25" t="s">
        <v>1102</v>
      </c>
      <c r="B145" s="25" t="s">
        <v>462</v>
      </c>
      <c r="C145" s="25" t="s">
        <v>463</v>
      </c>
      <c r="D145" s="25" t="s">
        <v>464</v>
      </c>
      <c r="E145" s="26" t="s">
        <v>45</v>
      </c>
      <c r="F145" s="27" t="s">
        <v>45</v>
      </c>
      <c r="G145" s="28" t="s">
        <v>45</v>
      </c>
      <c r="H145" s="29"/>
      <c r="I145" s="29" t="s">
        <v>46</v>
      </c>
      <c r="J145" s="30">
        <v>10</v>
      </c>
      <c r="K145" s="31">
        <f>420.1</f>
        <v>420.1</v>
      </c>
      <c r="L145" s="32" t="s">
        <v>995</v>
      </c>
      <c r="M145" s="31">
        <f>460.5</f>
        <v>460.5</v>
      </c>
      <c r="N145" s="32" t="s">
        <v>893</v>
      </c>
      <c r="O145" s="31">
        <f>419.4</f>
        <v>419.4</v>
      </c>
      <c r="P145" s="32" t="s">
        <v>995</v>
      </c>
      <c r="Q145" s="31">
        <f>459.8</f>
        <v>459.8</v>
      </c>
      <c r="R145" s="32" t="s">
        <v>893</v>
      </c>
      <c r="S145" s="33">
        <f>441.99</f>
        <v>441.99</v>
      </c>
      <c r="T145" s="30">
        <f>45914020</f>
        <v>45914020</v>
      </c>
      <c r="U145" s="30">
        <f>1252110</f>
        <v>1252110</v>
      </c>
      <c r="V145" s="30">
        <f>20261474701</f>
        <v>20261474701</v>
      </c>
      <c r="W145" s="30">
        <f>554865092</f>
        <v>554865092</v>
      </c>
      <c r="X145" s="34">
        <f>22</f>
        <v>22</v>
      </c>
    </row>
    <row r="146" spans="1:24" ht="13.5" customHeight="1" x14ac:dyDescent="0.15">
      <c r="A146" s="25" t="s">
        <v>1102</v>
      </c>
      <c r="B146" s="25" t="s">
        <v>465</v>
      </c>
      <c r="C146" s="25" t="s">
        <v>466</v>
      </c>
      <c r="D146" s="25" t="s">
        <v>467</v>
      </c>
      <c r="E146" s="26" t="s">
        <v>45</v>
      </c>
      <c r="F146" s="27" t="s">
        <v>45</v>
      </c>
      <c r="G146" s="28" t="s">
        <v>45</v>
      </c>
      <c r="H146" s="29"/>
      <c r="I146" s="29" t="s">
        <v>46</v>
      </c>
      <c r="J146" s="30">
        <v>10</v>
      </c>
      <c r="K146" s="31">
        <f>282.8</f>
        <v>282.8</v>
      </c>
      <c r="L146" s="32" t="s">
        <v>995</v>
      </c>
      <c r="M146" s="31">
        <f>292.6</f>
        <v>292.60000000000002</v>
      </c>
      <c r="N146" s="32" t="s">
        <v>1017</v>
      </c>
      <c r="O146" s="31">
        <f>280.6</f>
        <v>280.60000000000002</v>
      </c>
      <c r="P146" s="32" t="s">
        <v>1004</v>
      </c>
      <c r="Q146" s="31">
        <f>289.8</f>
        <v>289.8</v>
      </c>
      <c r="R146" s="32" t="s">
        <v>893</v>
      </c>
      <c r="S146" s="33">
        <f>285.21</f>
        <v>285.20999999999998</v>
      </c>
      <c r="T146" s="30">
        <f>67034650</f>
        <v>67034650</v>
      </c>
      <c r="U146" s="30">
        <f>65444570</f>
        <v>65444570</v>
      </c>
      <c r="V146" s="30">
        <f>19207396298</f>
        <v>19207396298</v>
      </c>
      <c r="W146" s="30">
        <f>18751652519</f>
        <v>18751652519</v>
      </c>
      <c r="X146" s="34">
        <f>22</f>
        <v>22</v>
      </c>
    </row>
    <row r="147" spans="1:24" ht="13.5" customHeight="1" x14ac:dyDescent="0.15">
      <c r="A147" s="25" t="s">
        <v>1102</v>
      </c>
      <c r="B147" s="25" t="s">
        <v>468</v>
      </c>
      <c r="C147" s="25" t="s">
        <v>469</v>
      </c>
      <c r="D147" s="25" t="s">
        <v>470</v>
      </c>
      <c r="E147" s="26" t="s">
        <v>45</v>
      </c>
      <c r="F147" s="27" t="s">
        <v>45</v>
      </c>
      <c r="G147" s="28" t="s">
        <v>45</v>
      </c>
      <c r="H147" s="29"/>
      <c r="I147" s="29" t="s">
        <v>46</v>
      </c>
      <c r="J147" s="30">
        <v>1</v>
      </c>
      <c r="K147" s="31">
        <f>3645</f>
        <v>3645</v>
      </c>
      <c r="L147" s="32" t="s">
        <v>995</v>
      </c>
      <c r="M147" s="31">
        <f>3975</f>
        <v>3975</v>
      </c>
      <c r="N147" s="32" t="s">
        <v>893</v>
      </c>
      <c r="O147" s="31">
        <f>3645</f>
        <v>3645</v>
      </c>
      <c r="P147" s="32" t="s">
        <v>995</v>
      </c>
      <c r="Q147" s="31">
        <f>3960</f>
        <v>3960</v>
      </c>
      <c r="R147" s="32" t="s">
        <v>893</v>
      </c>
      <c r="S147" s="33">
        <f>3829.32</f>
        <v>3829.32</v>
      </c>
      <c r="T147" s="30">
        <f>98979</f>
        <v>98979</v>
      </c>
      <c r="U147" s="30">
        <f>28300</f>
        <v>28300</v>
      </c>
      <c r="V147" s="30">
        <f>378847075</f>
        <v>378847075</v>
      </c>
      <c r="W147" s="30">
        <f>107818300</f>
        <v>107818300</v>
      </c>
      <c r="X147" s="34">
        <f>22</f>
        <v>22</v>
      </c>
    </row>
    <row r="148" spans="1:24" ht="13.5" customHeight="1" x14ac:dyDescent="0.15">
      <c r="A148" s="25" t="s">
        <v>1102</v>
      </c>
      <c r="B148" s="25" t="s">
        <v>471</v>
      </c>
      <c r="C148" s="25" t="s">
        <v>472</v>
      </c>
      <c r="D148" s="25" t="s">
        <v>473</v>
      </c>
      <c r="E148" s="26" t="s">
        <v>45</v>
      </c>
      <c r="F148" s="27" t="s">
        <v>45</v>
      </c>
      <c r="G148" s="28" t="s">
        <v>45</v>
      </c>
      <c r="H148" s="29"/>
      <c r="I148" s="29" t="s">
        <v>46</v>
      </c>
      <c r="J148" s="30">
        <v>1</v>
      </c>
      <c r="K148" s="31">
        <f>2228</f>
        <v>2228</v>
      </c>
      <c r="L148" s="32" t="s">
        <v>995</v>
      </c>
      <c r="M148" s="31">
        <f>2441</f>
        <v>2441</v>
      </c>
      <c r="N148" s="32" t="s">
        <v>790</v>
      </c>
      <c r="O148" s="31">
        <f>2214</f>
        <v>2214</v>
      </c>
      <c r="P148" s="32" t="s">
        <v>995</v>
      </c>
      <c r="Q148" s="31">
        <f>2392</f>
        <v>2392</v>
      </c>
      <c r="R148" s="32" t="s">
        <v>893</v>
      </c>
      <c r="S148" s="33">
        <f>2350.23</f>
        <v>2350.23</v>
      </c>
      <c r="T148" s="30">
        <f>72263</f>
        <v>72263</v>
      </c>
      <c r="U148" s="30" t="str">
        <f>"－"</f>
        <v>－</v>
      </c>
      <c r="V148" s="30">
        <f>170658186</f>
        <v>170658186</v>
      </c>
      <c r="W148" s="30" t="str">
        <f>"－"</f>
        <v>－</v>
      </c>
      <c r="X148" s="34">
        <f>22</f>
        <v>22</v>
      </c>
    </row>
    <row r="149" spans="1:24" ht="13.5" customHeight="1" x14ac:dyDescent="0.15">
      <c r="A149" s="25" t="s">
        <v>1102</v>
      </c>
      <c r="B149" s="25" t="s">
        <v>474</v>
      </c>
      <c r="C149" s="25" t="s">
        <v>475</v>
      </c>
      <c r="D149" s="25" t="s">
        <v>476</v>
      </c>
      <c r="E149" s="26" t="s">
        <v>45</v>
      </c>
      <c r="F149" s="27" t="s">
        <v>45</v>
      </c>
      <c r="G149" s="28" t="s">
        <v>45</v>
      </c>
      <c r="H149" s="29"/>
      <c r="I149" s="29" t="s">
        <v>46</v>
      </c>
      <c r="J149" s="30">
        <v>1</v>
      </c>
      <c r="K149" s="31">
        <f>2539</f>
        <v>2539</v>
      </c>
      <c r="L149" s="32" t="s">
        <v>995</v>
      </c>
      <c r="M149" s="31">
        <f>2757</f>
        <v>2757</v>
      </c>
      <c r="N149" s="32" t="s">
        <v>893</v>
      </c>
      <c r="O149" s="31">
        <f>2528</f>
        <v>2528</v>
      </c>
      <c r="P149" s="32" t="s">
        <v>999</v>
      </c>
      <c r="Q149" s="31">
        <f>2748</f>
        <v>2748</v>
      </c>
      <c r="R149" s="32" t="s">
        <v>893</v>
      </c>
      <c r="S149" s="33">
        <f>2646.91</f>
        <v>2646.91</v>
      </c>
      <c r="T149" s="30">
        <f>195606</f>
        <v>195606</v>
      </c>
      <c r="U149" s="30">
        <f>8</f>
        <v>8</v>
      </c>
      <c r="V149" s="30">
        <f>518805621</f>
        <v>518805621</v>
      </c>
      <c r="W149" s="30">
        <f>21215</f>
        <v>21215</v>
      </c>
      <c r="X149" s="34">
        <f>22</f>
        <v>22</v>
      </c>
    </row>
    <row r="150" spans="1:24" ht="13.5" customHeight="1" x14ac:dyDescent="0.15">
      <c r="A150" s="25" t="s">
        <v>1102</v>
      </c>
      <c r="B150" s="25" t="s">
        <v>477</v>
      </c>
      <c r="C150" s="25" t="s">
        <v>478</v>
      </c>
      <c r="D150" s="25" t="s">
        <v>479</v>
      </c>
      <c r="E150" s="26" t="s">
        <v>45</v>
      </c>
      <c r="F150" s="27" t="s">
        <v>45</v>
      </c>
      <c r="G150" s="28" t="s">
        <v>45</v>
      </c>
      <c r="H150" s="29"/>
      <c r="I150" s="29" t="s">
        <v>46</v>
      </c>
      <c r="J150" s="30">
        <v>1</v>
      </c>
      <c r="K150" s="31">
        <f>10595</f>
        <v>10595</v>
      </c>
      <c r="L150" s="32" t="s">
        <v>995</v>
      </c>
      <c r="M150" s="31">
        <f>10680</f>
        <v>10680</v>
      </c>
      <c r="N150" s="32" t="s">
        <v>1017</v>
      </c>
      <c r="O150" s="31">
        <f>10395</f>
        <v>10395</v>
      </c>
      <c r="P150" s="32" t="s">
        <v>1000</v>
      </c>
      <c r="Q150" s="31">
        <f>10650</f>
        <v>10650</v>
      </c>
      <c r="R150" s="32" t="s">
        <v>893</v>
      </c>
      <c r="S150" s="33">
        <f>10535.45</f>
        <v>10535.45</v>
      </c>
      <c r="T150" s="30">
        <f>119035</f>
        <v>119035</v>
      </c>
      <c r="U150" s="30">
        <f>47600</f>
        <v>47600</v>
      </c>
      <c r="V150" s="30">
        <f>1251597125</f>
        <v>1251597125</v>
      </c>
      <c r="W150" s="30">
        <f>499685990</f>
        <v>499685990</v>
      </c>
      <c r="X150" s="34">
        <f>22</f>
        <v>22</v>
      </c>
    </row>
    <row r="151" spans="1:24" ht="13.5" customHeight="1" x14ac:dyDescent="0.15">
      <c r="A151" s="25" t="s">
        <v>1102</v>
      </c>
      <c r="B151" s="25" t="s">
        <v>480</v>
      </c>
      <c r="C151" s="25" t="s">
        <v>481</v>
      </c>
      <c r="D151" s="25" t="s">
        <v>482</v>
      </c>
      <c r="E151" s="26" t="s">
        <v>45</v>
      </c>
      <c r="F151" s="27" t="s">
        <v>45</v>
      </c>
      <c r="G151" s="28" t="s">
        <v>45</v>
      </c>
      <c r="H151" s="29"/>
      <c r="I151" s="29" t="s">
        <v>46</v>
      </c>
      <c r="J151" s="30">
        <v>1</v>
      </c>
      <c r="K151" s="31">
        <f>2300</f>
        <v>2300</v>
      </c>
      <c r="L151" s="32" t="s">
        <v>995</v>
      </c>
      <c r="M151" s="31">
        <f>2508</f>
        <v>2508</v>
      </c>
      <c r="N151" s="32" t="s">
        <v>1001</v>
      </c>
      <c r="O151" s="31">
        <f>2289</f>
        <v>2289</v>
      </c>
      <c r="P151" s="32" t="s">
        <v>56</v>
      </c>
      <c r="Q151" s="31">
        <f>2474</f>
        <v>2474</v>
      </c>
      <c r="R151" s="32" t="s">
        <v>893</v>
      </c>
      <c r="S151" s="33">
        <f>2421.55</f>
        <v>2421.5500000000002</v>
      </c>
      <c r="T151" s="30">
        <f>10621809</f>
        <v>10621809</v>
      </c>
      <c r="U151" s="30">
        <f>1051</f>
        <v>1051</v>
      </c>
      <c r="V151" s="30">
        <f>25645692871</f>
        <v>25645692871</v>
      </c>
      <c r="W151" s="30">
        <f>2439483</f>
        <v>2439483</v>
      </c>
      <c r="X151" s="34">
        <f>22</f>
        <v>22</v>
      </c>
    </row>
    <row r="152" spans="1:24" ht="13.5" customHeight="1" x14ac:dyDescent="0.15">
      <c r="A152" s="25" t="s">
        <v>1102</v>
      </c>
      <c r="B152" s="25" t="s">
        <v>483</v>
      </c>
      <c r="C152" s="25" t="s">
        <v>484</v>
      </c>
      <c r="D152" s="25" t="s">
        <v>485</v>
      </c>
      <c r="E152" s="26" t="s">
        <v>45</v>
      </c>
      <c r="F152" s="27" t="s">
        <v>45</v>
      </c>
      <c r="G152" s="28" t="s">
        <v>45</v>
      </c>
      <c r="H152" s="29"/>
      <c r="I152" s="29" t="s">
        <v>46</v>
      </c>
      <c r="J152" s="30">
        <v>1</v>
      </c>
      <c r="K152" s="31">
        <f>25700</f>
        <v>25700</v>
      </c>
      <c r="L152" s="32" t="s">
        <v>995</v>
      </c>
      <c r="M152" s="31">
        <f>26295</f>
        <v>26295</v>
      </c>
      <c r="N152" s="32" t="s">
        <v>790</v>
      </c>
      <c r="O152" s="31">
        <f>25295</f>
        <v>25295</v>
      </c>
      <c r="P152" s="32" t="s">
        <v>790</v>
      </c>
      <c r="Q152" s="31">
        <f>25935</f>
        <v>25935</v>
      </c>
      <c r="R152" s="32" t="s">
        <v>893</v>
      </c>
      <c r="S152" s="33">
        <f>25779.77</f>
        <v>25779.77</v>
      </c>
      <c r="T152" s="30">
        <f>5743</f>
        <v>5743</v>
      </c>
      <c r="U152" s="30" t="str">
        <f>"－"</f>
        <v>－</v>
      </c>
      <c r="V152" s="30">
        <f>148041905</f>
        <v>148041905</v>
      </c>
      <c r="W152" s="30" t="str">
        <f>"－"</f>
        <v>－</v>
      </c>
      <c r="X152" s="34">
        <f>22</f>
        <v>22</v>
      </c>
    </row>
    <row r="153" spans="1:24" ht="13.5" customHeight="1" x14ac:dyDescent="0.15">
      <c r="A153" s="25" t="s">
        <v>1102</v>
      </c>
      <c r="B153" s="25" t="s">
        <v>486</v>
      </c>
      <c r="C153" s="25" t="s">
        <v>487</v>
      </c>
      <c r="D153" s="25" t="s">
        <v>488</v>
      </c>
      <c r="E153" s="26" t="s">
        <v>45</v>
      </c>
      <c r="F153" s="27" t="s">
        <v>45</v>
      </c>
      <c r="G153" s="28" t="s">
        <v>45</v>
      </c>
      <c r="H153" s="29"/>
      <c r="I153" s="29" t="s">
        <v>46</v>
      </c>
      <c r="J153" s="30">
        <v>10</v>
      </c>
      <c r="K153" s="31">
        <f>3014</f>
        <v>3014</v>
      </c>
      <c r="L153" s="32" t="s">
        <v>995</v>
      </c>
      <c r="M153" s="31">
        <f>3230</f>
        <v>3230</v>
      </c>
      <c r="N153" s="32" t="s">
        <v>80</v>
      </c>
      <c r="O153" s="31">
        <f>2850.5</f>
        <v>2850.5</v>
      </c>
      <c r="P153" s="32" t="s">
        <v>1005</v>
      </c>
      <c r="Q153" s="31">
        <f>3028</f>
        <v>3028</v>
      </c>
      <c r="R153" s="32" t="s">
        <v>893</v>
      </c>
      <c r="S153" s="33">
        <f>3059.23</f>
        <v>3059.23</v>
      </c>
      <c r="T153" s="30">
        <f>26950</f>
        <v>26950</v>
      </c>
      <c r="U153" s="30">
        <f>100</f>
        <v>100</v>
      </c>
      <c r="V153" s="30">
        <f>82320960</f>
        <v>82320960</v>
      </c>
      <c r="W153" s="30">
        <f>315600</f>
        <v>315600</v>
      </c>
      <c r="X153" s="34">
        <f>22</f>
        <v>22</v>
      </c>
    </row>
    <row r="154" spans="1:24" ht="13.5" customHeight="1" x14ac:dyDescent="0.15">
      <c r="A154" s="25" t="s">
        <v>1102</v>
      </c>
      <c r="B154" s="25" t="s">
        <v>489</v>
      </c>
      <c r="C154" s="25" t="s">
        <v>490</v>
      </c>
      <c r="D154" s="25" t="s">
        <v>491</v>
      </c>
      <c r="E154" s="26" t="s">
        <v>45</v>
      </c>
      <c r="F154" s="27" t="s">
        <v>45</v>
      </c>
      <c r="G154" s="28" t="s">
        <v>45</v>
      </c>
      <c r="H154" s="29"/>
      <c r="I154" s="29" t="s">
        <v>46</v>
      </c>
      <c r="J154" s="30">
        <v>1</v>
      </c>
      <c r="K154" s="31">
        <f>12900</f>
        <v>12900</v>
      </c>
      <c r="L154" s="32" t="s">
        <v>995</v>
      </c>
      <c r="M154" s="31">
        <f>15105</f>
        <v>15105</v>
      </c>
      <c r="N154" s="32" t="s">
        <v>893</v>
      </c>
      <c r="O154" s="31">
        <f>12055</f>
        <v>12055</v>
      </c>
      <c r="P154" s="32" t="s">
        <v>893</v>
      </c>
      <c r="Q154" s="31">
        <f>12495</f>
        <v>12495</v>
      </c>
      <c r="R154" s="32" t="s">
        <v>893</v>
      </c>
      <c r="S154" s="33">
        <f>12822.95</f>
        <v>12822.95</v>
      </c>
      <c r="T154" s="30">
        <f>3904</f>
        <v>3904</v>
      </c>
      <c r="U154" s="30" t="str">
        <f>"－"</f>
        <v>－</v>
      </c>
      <c r="V154" s="30">
        <f>49410315</f>
        <v>49410315</v>
      </c>
      <c r="W154" s="30" t="str">
        <f>"－"</f>
        <v>－</v>
      </c>
      <c r="X154" s="34">
        <f>22</f>
        <v>22</v>
      </c>
    </row>
    <row r="155" spans="1:24" ht="13.5" customHeight="1" x14ac:dyDescent="0.15">
      <c r="A155" s="25" t="s">
        <v>1102</v>
      </c>
      <c r="B155" s="25" t="s">
        <v>492</v>
      </c>
      <c r="C155" s="25" t="s">
        <v>493</v>
      </c>
      <c r="D155" s="25" t="s">
        <v>494</v>
      </c>
      <c r="E155" s="26" t="s">
        <v>45</v>
      </c>
      <c r="F155" s="27" t="s">
        <v>45</v>
      </c>
      <c r="G155" s="28" t="s">
        <v>45</v>
      </c>
      <c r="H155" s="29"/>
      <c r="I155" s="29" t="s">
        <v>46</v>
      </c>
      <c r="J155" s="30">
        <v>1</v>
      </c>
      <c r="K155" s="31">
        <f>18015</f>
        <v>18015</v>
      </c>
      <c r="L155" s="32" t="s">
        <v>995</v>
      </c>
      <c r="M155" s="31">
        <f>19265</f>
        <v>19265</v>
      </c>
      <c r="N155" s="32" t="s">
        <v>876</v>
      </c>
      <c r="O155" s="31">
        <f>16995</f>
        <v>16995</v>
      </c>
      <c r="P155" s="32" t="s">
        <v>894</v>
      </c>
      <c r="Q155" s="31">
        <f>17575</f>
        <v>17575</v>
      </c>
      <c r="R155" s="32" t="s">
        <v>893</v>
      </c>
      <c r="S155" s="33">
        <f>18059.55</f>
        <v>18059.55</v>
      </c>
      <c r="T155" s="30">
        <f>3280</f>
        <v>3280</v>
      </c>
      <c r="U155" s="30" t="str">
        <f>"－"</f>
        <v>－</v>
      </c>
      <c r="V155" s="30">
        <f>58809945</f>
        <v>58809945</v>
      </c>
      <c r="W155" s="30" t="str">
        <f>"－"</f>
        <v>－</v>
      </c>
      <c r="X155" s="34">
        <f>22</f>
        <v>22</v>
      </c>
    </row>
    <row r="156" spans="1:24" ht="13.5" customHeight="1" x14ac:dyDescent="0.15">
      <c r="A156" s="25" t="s">
        <v>1102</v>
      </c>
      <c r="B156" s="25" t="s">
        <v>495</v>
      </c>
      <c r="C156" s="25" t="s">
        <v>496</v>
      </c>
      <c r="D156" s="25" t="s">
        <v>497</v>
      </c>
      <c r="E156" s="26" t="s">
        <v>45</v>
      </c>
      <c r="F156" s="27" t="s">
        <v>45</v>
      </c>
      <c r="G156" s="28" t="s">
        <v>45</v>
      </c>
      <c r="H156" s="29"/>
      <c r="I156" s="29" t="s">
        <v>46</v>
      </c>
      <c r="J156" s="30">
        <v>1</v>
      </c>
      <c r="K156" s="31">
        <f>19000</f>
        <v>19000</v>
      </c>
      <c r="L156" s="32" t="s">
        <v>995</v>
      </c>
      <c r="M156" s="31">
        <f>19265</f>
        <v>19265</v>
      </c>
      <c r="N156" s="32" t="s">
        <v>784</v>
      </c>
      <c r="O156" s="31">
        <f>18380</f>
        <v>18380</v>
      </c>
      <c r="P156" s="32" t="s">
        <v>1017</v>
      </c>
      <c r="Q156" s="31">
        <f>18380</f>
        <v>18380</v>
      </c>
      <c r="R156" s="32" t="s">
        <v>1017</v>
      </c>
      <c r="S156" s="33">
        <f>18652.5</f>
        <v>18652.5</v>
      </c>
      <c r="T156" s="30">
        <f>74</f>
        <v>74</v>
      </c>
      <c r="U156" s="30" t="str">
        <f>"－"</f>
        <v>－</v>
      </c>
      <c r="V156" s="30">
        <f>1384255</f>
        <v>1384255</v>
      </c>
      <c r="W156" s="30" t="str">
        <f>"－"</f>
        <v>－</v>
      </c>
      <c r="X156" s="34">
        <f>8</f>
        <v>8</v>
      </c>
    </row>
    <row r="157" spans="1:24" ht="13.5" customHeight="1" x14ac:dyDescent="0.15">
      <c r="A157" s="25" t="s">
        <v>1102</v>
      </c>
      <c r="B157" s="25" t="s">
        <v>498</v>
      </c>
      <c r="C157" s="25" t="s">
        <v>499</v>
      </c>
      <c r="D157" s="25" t="s">
        <v>500</v>
      </c>
      <c r="E157" s="26" t="s">
        <v>45</v>
      </c>
      <c r="F157" s="27" t="s">
        <v>45</v>
      </c>
      <c r="G157" s="28" t="s">
        <v>45</v>
      </c>
      <c r="H157" s="29"/>
      <c r="I157" s="29" t="s">
        <v>46</v>
      </c>
      <c r="J157" s="30">
        <v>10</v>
      </c>
      <c r="K157" s="31">
        <f>51120</f>
        <v>51120</v>
      </c>
      <c r="L157" s="32" t="s">
        <v>995</v>
      </c>
      <c r="M157" s="31">
        <f>53240</f>
        <v>53240</v>
      </c>
      <c r="N157" s="32" t="s">
        <v>1017</v>
      </c>
      <c r="O157" s="31">
        <f>50830</f>
        <v>50830</v>
      </c>
      <c r="P157" s="32" t="s">
        <v>1000</v>
      </c>
      <c r="Q157" s="31">
        <f>52900</f>
        <v>52900</v>
      </c>
      <c r="R157" s="32" t="s">
        <v>893</v>
      </c>
      <c r="S157" s="33">
        <f>51901.43</f>
        <v>51901.43</v>
      </c>
      <c r="T157" s="30">
        <f>13930</f>
        <v>13930</v>
      </c>
      <c r="U157" s="30">
        <f>9660</f>
        <v>9660</v>
      </c>
      <c r="V157" s="30">
        <f>721585770</f>
        <v>721585770</v>
      </c>
      <c r="W157" s="30">
        <f>499304870</f>
        <v>499304870</v>
      </c>
      <c r="X157" s="34">
        <f>21</f>
        <v>21</v>
      </c>
    </row>
    <row r="158" spans="1:24" ht="13.5" customHeight="1" x14ac:dyDescent="0.15">
      <c r="A158" s="25" t="s">
        <v>1102</v>
      </c>
      <c r="B158" s="25" t="s">
        <v>501</v>
      </c>
      <c r="C158" s="25" t="s">
        <v>502</v>
      </c>
      <c r="D158" s="25" t="s">
        <v>503</v>
      </c>
      <c r="E158" s="26" t="s">
        <v>45</v>
      </c>
      <c r="F158" s="27" t="s">
        <v>45</v>
      </c>
      <c r="G158" s="28" t="s">
        <v>45</v>
      </c>
      <c r="H158" s="29"/>
      <c r="I158" s="29" t="s">
        <v>46</v>
      </c>
      <c r="J158" s="30">
        <v>100</v>
      </c>
      <c r="K158" s="31">
        <f>279.1</f>
        <v>279.10000000000002</v>
      </c>
      <c r="L158" s="32" t="s">
        <v>995</v>
      </c>
      <c r="M158" s="31">
        <f>304.2</f>
        <v>304.2</v>
      </c>
      <c r="N158" s="32" t="s">
        <v>893</v>
      </c>
      <c r="O158" s="31">
        <f>279</f>
        <v>279</v>
      </c>
      <c r="P158" s="32" t="s">
        <v>995</v>
      </c>
      <c r="Q158" s="31">
        <f>304.2</f>
        <v>304.2</v>
      </c>
      <c r="R158" s="32" t="s">
        <v>893</v>
      </c>
      <c r="S158" s="33">
        <f>289.09</f>
        <v>289.08999999999997</v>
      </c>
      <c r="T158" s="30">
        <f>34594100</f>
        <v>34594100</v>
      </c>
      <c r="U158" s="30">
        <f>351600</f>
        <v>351600</v>
      </c>
      <c r="V158" s="30">
        <f>10095675570</f>
        <v>10095675570</v>
      </c>
      <c r="W158" s="30">
        <f>100300480</f>
        <v>100300480</v>
      </c>
      <c r="X158" s="34">
        <f>22</f>
        <v>22</v>
      </c>
    </row>
    <row r="159" spans="1:24" ht="13.5" customHeight="1" x14ac:dyDescent="0.15">
      <c r="A159" s="25" t="s">
        <v>1102</v>
      </c>
      <c r="B159" s="25" t="s">
        <v>504</v>
      </c>
      <c r="C159" s="25" t="s">
        <v>505</v>
      </c>
      <c r="D159" s="25" t="s">
        <v>506</v>
      </c>
      <c r="E159" s="26" t="s">
        <v>45</v>
      </c>
      <c r="F159" s="27" t="s">
        <v>45</v>
      </c>
      <c r="G159" s="28" t="s">
        <v>45</v>
      </c>
      <c r="H159" s="29"/>
      <c r="I159" s="29" t="s">
        <v>46</v>
      </c>
      <c r="J159" s="30">
        <v>10</v>
      </c>
      <c r="K159" s="31">
        <f>39090</f>
        <v>39090</v>
      </c>
      <c r="L159" s="32" t="s">
        <v>995</v>
      </c>
      <c r="M159" s="31">
        <f>42090</f>
        <v>42090</v>
      </c>
      <c r="N159" s="32" t="s">
        <v>893</v>
      </c>
      <c r="O159" s="31">
        <f>39040</f>
        <v>39040</v>
      </c>
      <c r="P159" s="32" t="s">
        <v>995</v>
      </c>
      <c r="Q159" s="31">
        <f>42090</f>
        <v>42090</v>
      </c>
      <c r="R159" s="32" t="s">
        <v>893</v>
      </c>
      <c r="S159" s="33">
        <f>40764.29</f>
        <v>40764.29</v>
      </c>
      <c r="T159" s="30">
        <f>5180</f>
        <v>5180</v>
      </c>
      <c r="U159" s="30" t="str">
        <f>"－"</f>
        <v>－</v>
      </c>
      <c r="V159" s="30">
        <f>211712200</f>
        <v>211712200</v>
      </c>
      <c r="W159" s="30" t="str">
        <f>"－"</f>
        <v>－</v>
      </c>
      <c r="X159" s="34">
        <f>21</f>
        <v>21</v>
      </c>
    </row>
    <row r="160" spans="1:24" ht="13.5" customHeight="1" x14ac:dyDescent="0.15">
      <c r="A160" s="25" t="s">
        <v>1102</v>
      </c>
      <c r="B160" s="25" t="s">
        <v>507</v>
      </c>
      <c r="C160" s="25" t="s">
        <v>508</v>
      </c>
      <c r="D160" s="25" t="s">
        <v>509</v>
      </c>
      <c r="E160" s="26" t="s">
        <v>45</v>
      </c>
      <c r="F160" s="27" t="s">
        <v>45</v>
      </c>
      <c r="G160" s="28" t="s">
        <v>45</v>
      </c>
      <c r="H160" s="29"/>
      <c r="I160" s="29" t="s">
        <v>46</v>
      </c>
      <c r="J160" s="30">
        <v>10</v>
      </c>
      <c r="K160" s="31">
        <f>4140</f>
        <v>4140</v>
      </c>
      <c r="L160" s="32" t="s">
        <v>995</v>
      </c>
      <c r="M160" s="31">
        <f>4512</f>
        <v>4512</v>
      </c>
      <c r="N160" s="32" t="s">
        <v>893</v>
      </c>
      <c r="O160" s="31">
        <f>4135</f>
        <v>4135</v>
      </c>
      <c r="P160" s="32" t="s">
        <v>995</v>
      </c>
      <c r="Q160" s="31">
        <f>4510</f>
        <v>4510</v>
      </c>
      <c r="R160" s="32" t="s">
        <v>893</v>
      </c>
      <c r="S160" s="33">
        <f>4345</f>
        <v>4345</v>
      </c>
      <c r="T160" s="30">
        <f>61190</f>
        <v>61190</v>
      </c>
      <c r="U160" s="30">
        <f>10</f>
        <v>10</v>
      </c>
      <c r="V160" s="30">
        <f>265270870</f>
        <v>265270870</v>
      </c>
      <c r="W160" s="30">
        <f>41590</f>
        <v>41590</v>
      </c>
      <c r="X160" s="34">
        <f>22</f>
        <v>22</v>
      </c>
    </row>
    <row r="161" spans="1:24" ht="13.5" customHeight="1" x14ac:dyDescent="0.15">
      <c r="A161" s="25" t="s">
        <v>1102</v>
      </c>
      <c r="B161" s="25" t="s">
        <v>510</v>
      </c>
      <c r="C161" s="25" t="s">
        <v>511</v>
      </c>
      <c r="D161" s="25" t="s">
        <v>512</v>
      </c>
      <c r="E161" s="26" t="s">
        <v>45</v>
      </c>
      <c r="F161" s="27" t="s">
        <v>45</v>
      </c>
      <c r="G161" s="28" t="s">
        <v>45</v>
      </c>
      <c r="H161" s="29"/>
      <c r="I161" s="29" t="s">
        <v>46</v>
      </c>
      <c r="J161" s="30">
        <v>10</v>
      </c>
      <c r="K161" s="31">
        <f>1679.5</f>
        <v>1679.5</v>
      </c>
      <c r="L161" s="32" t="s">
        <v>995</v>
      </c>
      <c r="M161" s="31">
        <f>1849</f>
        <v>1849</v>
      </c>
      <c r="N161" s="32" t="s">
        <v>790</v>
      </c>
      <c r="O161" s="31">
        <f>1673.5</f>
        <v>1673.5</v>
      </c>
      <c r="P161" s="32" t="s">
        <v>995</v>
      </c>
      <c r="Q161" s="31">
        <f>1809</f>
        <v>1809</v>
      </c>
      <c r="R161" s="32" t="s">
        <v>893</v>
      </c>
      <c r="S161" s="33">
        <f>1777.68</f>
        <v>1777.68</v>
      </c>
      <c r="T161" s="30">
        <f>135290</f>
        <v>135290</v>
      </c>
      <c r="U161" s="30" t="str">
        <f t="shared" ref="U161:U176" si="5">"－"</f>
        <v>－</v>
      </c>
      <c r="V161" s="30">
        <f>241681325</f>
        <v>241681325</v>
      </c>
      <c r="W161" s="30" t="str">
        <f t="shared" ref="W161:W176" si="6">"－"</f>
        <v>－</v>
      </c>
      <c r="X161" s="34">
        <f>22</f>
        <v>22</v>
      </c>
    </row>
    <row r="162" spans="1:24" ht="13.5" customHeight="1" x14ac:dyDescent="0.15">
      <c r="A162" s="25" t="s">
        <v>1102</v>
      </c>
      <c r="B162" s="25" t="s">
        <v>513</v>
      </c>
      <c r="C162" s="25" t="s">
        <v>514</v>
      </c>
      <c r="D162" s="25" t="s">
        <v>515</v>
      </c>
      <c r="E162" s="26" t="s">
        <v>45</v>
      </c>
      <c r="F162" s="27" t="s">
        <v>45</v>
      </c>
      <c r="G162" s="28" t="s">
        <v>45</v>
      </c>
      <c r="H162" s="29"/>
      <c r="I162" s="29" t="s">
        <v>46</v>
      </c>
      <c r="J162" s="30">
        <v>100</v>
      </c>
      <c r="K162" s="31">
        <f>239</f>
        <v>239</v>
      </c>
      <c r="L162" s="32" t="s">
        <v>995</v>
      </c>
      <c r="M162" s="31">
        <f>248.8</f>
        <v>248.8</v>
      </c>
      <c r="N162" s="32" t="s">
        <v>78</v>
      </c>
      <c r="O162" s="31">
        <f>220</f>
        <v>220</v>
      </c>
      <c r="P162" s="32" t="s">
        <v>255</v>
      </c>
      <c r="Q162" s="31">
        <f>225.1</f>
        <v>225.1</v>
      </c>
      <c r="R162" s="32" t="s">
        <v>893</v>
      </c>
      <c r="S162" s="33">
        <f>235.66</f>
        <v>235.66</v>
      </c>
      <c r="T162" s="30">
        <f>150000</f>
        <v>150000</v>
      </c>
      <c r="U162" s="30" t="str">
        <f t="shared" si="5"/>
        <v>－</v>
      </c>
      <c r="V162" s="30">
        <f>34941160</f>
        <v>34941160</v>
      </c>
      <c r="W162" s="30" t="str">
        <f t="shared" si="6"/>
        <v>－</v>
      </c>
      <c r="X162" s="34">
        <f>22</f>
        <v>22</v>
      </c>
    </row>
    <row r="163" spans="1:24" ht="13.5" customHeight="1" x14ac:dyDescent="0.15">
      <c r="A163" s="25" t="s">
        <v>1102</v>
      </c>
      <c r="B163" s="25" t="s">
        <v>516</v>
      </c>
      <c r="C163" s="25" t="s">
        <v>517</v>
      </c>
      <c r="D163" s="25" t="s">
        <v>518</v>
      </c>
      <c r="E163" s="26" t="s">
        <v>45</v>
      </c>
      <c r="F163" s="27" t="s">
        <v>45</v>
      </c>
      <c r="G163" s="28" t="s">
        <v>45</v>
      </c>
      <c r="H163" s="29"/>
      <c r="I163" s="29" t="s">
        <v>46</v>
      </c>
      <c r="J163" s="30">
        <v>10</v>
      </c>
      <c r="K163" s="31">
        <f>1496.5</f>
        <v>1496.5</v>
      </c>
      <c r="L163" s="32" t="s">
        <v>784</v>
      </c>
      <c r="M163" s="31">
        <f>1593.5</f>
        <v>1593.5</v>
      </c>
      <c r="N163" s="32" t="s">
        <v>790</v>
      </c>
      <c r="O163" s="31">
        <f>1439</f>
        <v>1439</v>
      </c>
      <c r="P163" s="32" t="s">
        <v>1000</v>
      </c>
      <c r="Q163" s="31">
        <f>1529.5</f>
        <v>1529.5</v>
      </c>
      <c r="R163" s="32" t="s">
        <v>997</v>
      </c>
      <c r="S163" s="33">
        <f>1507.08</f>
        <v>1507.08</v>
      </c>
      <c r="T163" s="30">
        <f>2780</f>
        <v>2780</v>
      </c>
      <c r="U163" s="30" t="str">
        <f t="shared" si="5"/>
        <v>－</v>
      </c>
      <c r="V163" s="30">
        <f>4179510</f>
        <v>4179510</v>
      </c>
      <c r="W163" s="30" t="str">
        <f t="shared" si="6"/>
        <v>－</v>
      </c>
      <c r="X163" s="34">
        <f>13</f>
        <v>13</v>
      </c>
    </row>
    <row r="164" spans="1:24" ht="13.5" customHeight="1" x14ac:dyDescent="0.15">
      <c r="A164" s="25" t="s">
        <v>1102</v>
      </c>
      <c r="B164" s="25" t="s">
        <v>519</v>
      </c>
      <c r="C164" s="25" t="s">
        <v>520</v>
      </c>
      <c r="D164" s="25" t="s">
        <v>521</v>
      </c>
      <c r="E164" s="26" t="s">
        <v>45</v>
      </c>
      <c r="F164" s="27" t="s">
        <v>45</v>
      </c>
      <c r="G164" s="28" t="s">
        <v>45</v>
      </c>
      <c r="H164" s="29"/>
      <c r="I164" s="29" t="s">
        <v>46</v>
      </c>
      <c r="J164" s="30">
        <v>10</v>
      </c>
      <c r="K164" s="31">
        <f>460</f>
        <v>460</v>
      </c>
      <c r="L164" s="32" t="s">
        <v>995</v>
      </c>
      <c r="M164" s="31">
        <f>509</f>
        <v>509</v>
      </c>
      <c r="N164" s="32" t="s">
        <v>255</v>
      </c>
      <c r="O164" s="31">
        <f>460</f>
        <v>460</v>
      </c>
      <c r="P164" s="32" t="s">
        <v>995</v>
      </c>
      <c r="Q164" s="31">
        <f>503.6</f>
        <v>503.6</v>
      </c>
      <c r="R164" s="32" t="s">
        <v>893</v>
      </c>
      <c r="S164" s="33">
        <f>488.23</f>
        <v>488.23</v>
      </c>
      <c r="T164" s="30">
        <f>40460</f>
        <v>40460</v>
      </c>
      <c r="U164" s="30" t="str">
        <f t="shared" si="5"/>
        <v>－</v>
      </c>
      <c r="V164" s="30">
        <f>19817231</f>
        <v>19817231</v>
      </c>
      <c r="W164" s="30" t="str">
        <f t="shared" si="6"/>
        <v>－</v>
      </c>
      <c r="X164" s="34">
        <f>22</f>
        <v>22</v>
      </c>
    </row>
    <row r="165" spans="1:24" ht="13.5" customHeight="1" x14ac:dyDescent="0.15">
      <c r="A165" s="25" t="s">
        <v>1102</v>
      </c>
      <c r="B165" s="25" t="s">
        <v>522</v>
      </c>
      <c r="C165" s="25" t="s">
        <v>523</v>
      </c>
      <c r="D165" s="25" t="s">
        <v>524</v>
      </c>
      <c r="E165" s="26" t="s">
        <v>45</v>
      </c>
      <c r="F165" s="27" t="s">
        <v>45</v>
      </c>
      <c r="G165" s="28" t="s">
        <v>45</v>
      </c>
      <c r="H165" s="29"/>
      <c r="I165" s="29" t="s">
        <v>46</v>
      </c>
      <c r="J165" s="30">
        <v>10</v>
      </c>
      <c r="K165" s="31">
        <f>1947.5</f>
        <v>1947.5</v>
      </c>
      <c r="L165" s="32" t="s">
        <v>995</v>
      </c>
      <c r="M165" s="31">
        <f>2080</f>
        <v>2080</v>
      </c>
      <c r="N165" s="32" t="s">
        <v>790</v>
      </c>
      <c r="O165" s="31">
        <f>1947.5</f>
        <v>1947.5</v>
      </c>
      <c r="P165" s="32" t="s">
        <v>995</v>
      </c>
      <c r="Q165" s="31">
        <f>2013</f>
        <v>2013</v>
      </c>
      <c r="R165" s="32" t="s">
        <v>893</v>
      </c>
      <c r="S165" s="33">
        <f>2019.78</f>
        <v>2019.78</v>
      </c>
      <c r="T165" s="30">
        <f>3000</f>
        <v>3000</v>
      </c>
      <c r="U165" s="30" t="str">
        <f t="shared" si="5"/>
        <v>－</v>
      </c>
      <c r="V165" s="30">
        <f>6080660</f>
        <v>6080660</v>
      </c>
      <c r="W165" s="30" t="str">
        <f t="shared" si="6"/>
        <v>－</v>
      </c>
      <c r="X165" s="34">
        <f>18</f>
        <v>18</v>
      </c>
    </row>
    <row r="166" spans="1:24" ht="13.5" customHeight="1" x14ac:dyDescent="0.15">
      <c r="A166" s="25" t="s">
        <v>1102</v>
      </c>
      <c r="B166" s="25" t="s">
        <v>525</v>
      </c>
      <c r="C166" s="25" t="s">
        <v>526</v>
      </c>
      <c r="D166" s="25" t="s">
        <v>527</v>
      </c>
      <c r="E166" s="26" t="s">
        <v>45</v>
      </c>
      <c r="F166" s="27" t="s">
        <v>45</v>
      </c>
      <c r="G166" s="28" t="s">
        <v>45</v>
      </c>
      <c r="H166" s="29"/>
      <c r="I166" s="29" t="s">
        <v>46</v>
      </c>
      <c r="J166" s="30">
        <v>10</v>
      </c>
      <c r="K166" s="31">
        <f>876.6</f>
        <v>876.6</v>
      </c>
      <c r="L166" s="32" t="s">
        <v>995</v>
      </c>
      <c r="M166" s="31">
        <f>1079.5</f>
        <v>1079.5</v>
      </c>
      <c r="N166" s="32" t="s">
        <v>80</v>
      </c>
      <c r="O166" s="31">
        <f>876.6</f>
        <v>876.6</v>
      </c>
      <c r="P166" s="32" t="s">
        <v>995</v>
      </c>
      <c r="Q166" s="31">
        <f>954.6</f>
        <v>954.6</v>
      </c>
      <c r="R166" s="32" t="s">
        <v>893</v>
      </c>
      <c r="S166" s="33">
        <f>949.81</f>
        <v>949.81</v>
      </c>
      <c r="T166" s="30">
        <f>154240</f>
        <v>154240</v>
      </c>
      <c r="U166" s="30" t="str">
        <f t="shared" si="5"/>
        <v>－</v>
      </c>
      <c r="V166" s="30">
        <f>149607890</f>
        <v>149607890</v>
      </c>
      <c r="W166" s="30" t="str">
        <f t="shared" si="6"/>
        <v>－</v>
      </c>
      <c r="X166" s="34">
        <f>22</f>
        <v>22</v>
      </c>
    </row>
    <row r="167" spans="1:24" ht="13.5" customHeight="1" x14ac:dyDescent="0.15">
      <c r="A167" s="25" t="s">
        <v>1102</v>
      </c>
      <c r="B167" s="25" t="s">
        <v>528</v>
      </c>
      <c r="C167" s="25" t="s">
        <v>529</v>
      </c>
      <c r="D167" s="25" t="s">
        <v>530</v>
      </c>
      <c r="E167" s="26" t="s">
        <v>45</v>
      </c>
      <c r="F167" s="27" t="s">
        <v>45</v>
      </c>
      <c r="G167" s="28" t="s">
        <v>45</v>
      </c>
      <c r="H167" s="29"/>
      <c r="I167" s="29" t="s">
        <v>46</v>
      </c>
      <c r="J167" s="30">
        <v>10</v>
      </c>
      <c r="K167" s="31">
        <f>599.9</f>
        <v>599.9</v>
      </c>
      <c r="L167" s="32" t="s">
        <v>995</v>
      </c>
      <c r="M167" s="31">
        <f>733</f>
        <v>733</v>
      </c>
      <c r="N167" s="32" t="s">
        <v>1001</v>
      </c>
      <c r="O167" s="31">
        <f>599.9</f>
        <v>599.9</v>
      </c>
      <c r="P167" s="32" t="s">
        <v>995</v>
      </c>
      <c r="Q167" s="31">
        <f>674.6</f>
        <v>674.6</v>
      </c>
      <c r="R167" s="32" t="s">
        <v>893</v>
      </c>
      <c r="S167" s="33">
        <f>664.05</f>
        <v>664.05</v>
      </c>
      <c r="T167" s="30">
        <f>386520</f>
        <v>386520</v>
      </c>
      <c r="U167" s="30" t="str">
        <f t="shared" si="5"/>
        <v>－</v>
      </c>
      <c r="V167" s="30">
        <f>264333472</f>
        <v>264333472</v>
      </c>
      <c r="W167" s="30" t="str">
        <f t="shared" si="6"/>
        <v>－</v>
      </c>
      <c r="X167" s="34">
        <f>22</f>
        <v>22</v>
      </c>
    </row>
    <row r="168" spans="1:24" ht="13.5" customHeight="1" x14ac:dyDescent="0.15">
      <c r="A168" s="25" t="s">
        <v>1102</v>
      </c>
      <c r="B168" s="25" t="s">
        <v>531</v>
      </c>
      <c r="C168" s="25" t="s">
        <v>532</v>
      </c>
      <c r="D168" s="25" t="s">
        <v>533</v>
      </c>
      <c r="E168" s="26" t="s">
        <v>45</v>
      </c>
      <c r="F168" s="27" t="s">
        <v>45</v>
      </c>
      <c r="G168" s="28" t="s">
        <v>45</v>
      </c>
      <c r="H168" s="29"/>
      <c r="I168" s="29" t="s">
        <v>46</v>
      </c>
      <c r="J168" s="30">
        <v>100</v>
      </c>
      <c r="K168" s="31">
        <f>1.1</f>
        <v>1.1000000000000001</v>
      </c>
      <c r="L168" s="32" t="s">
        <v>995</v>
      </c>
      <c r="M168" s="31">
        <f>1.4</f>
        <v>1.4</v>
      </c>
      <c r="N168" s="32" t="s">
        <v>786</v>
      </c>
      <c r="O168" s="31">
        <f>1</f>
        <v>1</v>
      </c>
      <c r="P168" s="32" t="s">
        <v>995</v>
      </c>
      <c r="Q168" s="31">
        <f>1.3</f>
        <v>1.3</v>
      </c>
      <c r="R168" s="32" t="s">
        <v>893</v>
      </c>
      <c r="S168" s="33">
        <f>1.15</f>
        <v>1.1499999999999999</v>
      </c>
      <c r="T168" s="30">
        <f>1618261200</f>
        <v>1618261200</v>
      </c>
      <c r="U168" s="30" t="str">
        <f t="shared" si="5"/>
        <v>－</v>
      </c>
      <c r="V168" s="30">
        <f>1890510300</f>
        <v>1890510300</v>
      </c>
      <c r="W168" s="30" t="str">
        <f t="shared" si="6"/>
        <v>－</v>
      </c>
      <c r="X168" s="34">
        <f>22</f>
        <v>22</v>
      </c>
    </row>
    <row r="169" spans="1:24" ht="13.5" customHeight="1" x14ac:dyDescent="0.15">
      <c r="A169" s="25" t="s">
        <v>1102</v>
      </c>
      <c r="B169" s="25" t="s">
        <v>534</v>
      </c>
      <c r="C169" s="25" t="s">
        <v>535</v>
      </c>
      <c r="D169" s="25" t="s">
        <v>536</v>
      </c>
      <c r="E169" s="26" t="s">
        <v>45</v>
      </c>
      <c r="F169" s="27" t="s">
        <v>45</v>
      </c>
      <c r="G169" s="28" t="s">
        <v>45</v>
      </c>
      <c r="H169" s="29"/>
      <c r="I169" s="29" t="s">
        <v>46</v>
      </c>
      <c r="J169" s="30">
        <v>10</v>
      </c>
      <c r="K169" s="31">
        <f>1107</f>
        <v>1107</v>
      </c>
      <c r="L169" s="32" t="s">
        <v>995</v>
      </c>
      <c r="M169" s="31">
        <f>1210.5</f>
        <v>1210.5</v>
      </c>
      <c r="N169" s="32" t="s">
        <v>1001</v>
      </c>
      <c r="O169" s="31">
        <f>1107</f>
        <v>1107</v>
      </c>
      <c r="P169" s="32" t="s">
        <v>995</v>
      </c>
      <c r="Q169" s="31">
        <f>1198</f>
        <v>1198</v>
      </c>
      <c r="R169" s="32" t="s">
        <v>893</v>
      </c>
      <c r="S169" s="33">
        <f>1169.75</f>
        <v>1169.75</v>
      </c>
      <c r="T169" s="30">
        <f>99770</f>
        <v>99770</v>
      </c>
      <c r="U169" s="30" t="str">
        <f t="shared" si="5"/>
        <v>－</v>
      </c>
      <c r="V169" s="30">
        <f>116224595</f>
        <v>116224595</v>
      </c>
      <c r="W169" s="30" t="str">
        <f t="shared" si="6"/>
        <v>－</v>
      </c>
      <c r="X169" s="34">
        <f>22</f>
        <v>22</v>
      </c>
    </row>
    <row r="170" spans="1:24" ht="13.5" customHeight="1" x14ac:dyDescent="0.15">
      <c r="A170" s="25" t="s">
        <v>1102</v>
      </c>
      <c r="B170" s="25" t="s">
        <v>537</v>
      </c>
      <c r="C170" s="25" t="s">
        <v>538</v>
      </c>
      <c r="D170" s="25" t="s">
        <v>539</v>
      </c>
      <c r="E170" s="26" t="s">
        <v>45</v>
      </c>
      <c r="F170" s="27" t="s">
        <v>45</v>
      </c>
      <c r="G170" s="28" t="s">
        <v>45</v>
      </c>
      <c r="H170" s="29"/>
      <c r="I170" s="29" t="s">
        <v>46</v>
      </c>
      <c r="J170" s="30">
        <v>1</v>
      </c>
      <c r="K170" s="31">
        <f>6300</f>
        <v>6300</v>
      </c>
      <c r="L170" s="32" t="s">
        <v>995</v>
      </c>
      <c r="M170" s="31">
        <f>7000</f>
        <v>7000</v>
      </c>
      <c r="N170" s="32" t="s">
        <v>790</v>
      </c>
      <c r="O170" s="31">
        <f>6249</f>
        <v>6249</v>
      </c>
      <c r="P170" s="32" t="s">
        <v>995</v>
      </c>
      <c r="Q170" s="31">
        <f>6819</f>
        <v>6819</v>
      </c>
      <c r="R170" s="32" t="s">
        <v>893</v>
      </c>
      <c r="S170" s="33">
        <f>6715.5</f>
        <v>6715.5</v>
      </c>
      <c r="T170" s="30">
        <f>520</f>
        <v>520</v>
      </c>
      <c r="U170" s="30" t="str">
        <f t="shared" si="5"/>
        <v>－</v>
      </c>
      <c r="V170" s="30">
        <f>3410233</f>
        <v>3410233</v>
      </c>
      <c r="W170" s="30" t="str">
        <f t="shared" si="6"/>
        <v>－</v>
      </c>
      <c r="X170" s="34">
        <f>16</f>
        <v>16</v>
      </c>
    </row>
    <row r="171" spans="1:24" ht="13.5" customHeight="1" x14ac:dyDescent="0.15">
      <c r="A171" s="25" t="s">
        <v>1102</v>
      </c>
      <c r="B171" s="25" t="s">
        <v>540</v>
      </c>
      <c r="C171" s="25" t="s">
        <v>541</v>
      </c>
      <c r="D171" s="25" t="s">
        <v>542</v>
      </c>
      <c r="E171" s="26" t="s">
        <v>45</v>
      </c>
      <c r="F171" s="27" t="s">
        <v>45</v>
      </c>
      <c r="G171" s="28" t="s">
        <v>45</v>
      </c>
      <c r="H171" s="29"/>
      <c r="I171" s="29" t="s">
        <v>46</v>
      </c>
      <c r="J171" s="30">
        <v>100</v>
      </c>
      <c r="K171" s="31">
        <f>418.5</f>
        <v>418.5</v>
      </c>
      <c r="L171" s="32" t="s">
        <v>995</v>
      </c>
      <c r="M171" s="31">
        <f>433</f>
        <v>433</v>
      </c>
      <c r="N171" s="32" t="s">
        <v>790</v>
      </c>
      <c r="O171" s="31">
        <f>411.9</f>
        <v>411.9</v>
      </c>
      <c r="P171" s="32" t="s">
        <v>1000</v>
      </c>
      <c r="Q171" s="31">
        <f>424.3</f>
        <v>424.3</v>
      </c>
      <c r="R171" s="32" t="s">
        <v>893</v>
      </c>
      <c r="S171" s="33">
        <f>423.77</f>
        <v>423.77</v>
      </c>
      <c r="T171" s="30">
        <f>68000</f>
        <v>68000</v>
      </c>
      <c r="U171" s="30" t="str">
        <f t="shared" si="5"/>
        <v>－</v>
      </c>
      <c r="V171" s="30">
        <f>28783610</f>
        <v>28783610</v>
      </c>
      <c r="W171" s="30" t="str">
        <f t="shared" si="6"/>
        <v>－</v>
      </c>
      <c r="X171" s="34">
        <f>22</f>
        <v>22</v>
      </c>
    </row>
    <row r="172" spans="1:24" ht="13.5" customHeight="1" x14ac:dyDescent="0.15">
      <c r="A172" s="25" t="s">
        <v>1102</v>
      </c>
      <c r="B172" s="25" t="s">
        <v>543</v>
      </c>
      <c r="C172" s="25" t="s">
        <v>544</v>
      </c>
      <c r="D172" s="25" t="s">
        <v>545</v>
      </c>
      <c r="E172" s="26" t="s">
        <v>45</v>
      </c>
      <c r="F172" s="27" t="s">
        <v>45</v>
      </c>
      <c r="G172" s="28" t="s">
        <v>45</v>
      </c>
      <c r="H172" s="29"/>
      <c r="I172" s="29" t="s">
        <v>46</v>
      </c>
      <c r="J172" s="30">
        <v>10</v>
      </c>
      <c r="K172" s="31">
        <f>4530</f>
        <v>4530</v>
      </c>
      <c r="L172" s="32" t="s">
        <v>995</v>
      </c>
      <c r="M172" s="31">
        <f>4955</f>
        <v>4955</v>
      </c>
      <c r="N172" s="32" t="s">
        <v>894</v>
      </c>
      <c r="O172" s="31">
        <f>4519</f>
        <v>4519</v>
      </c>
      <c r="P172" s="32" t="s">
        <v>995</v>
      </c>
      <c r="Q172" s="31">
        <f>4795</f>
        <v>4795</v>
      </c>
      <c r="R172" s="32" t="s">
        <v>893</v>
      </c>
      <c r="S172" s="33">
        <f>4770.95</f>
        <v>4770.95</v>
      </c>
      <c r="T172" s="30">
        <f>55510</f>
        <v>55510</v>
      </c>
      <c r="U172" s="30" t="str">
        <f t="shared" si="5"/>
        <v>－</v>
      </c>
      <c r="V172" s="30">
        <f>264041640</f>
        <v>264041640</v>
      </c>
      <c r="W172" s="30" t="str">
        <f t="shared" si="6"/>
        <v>－</v>
      </c>
      <c r="X172" s="34">
        <f>22</f>
        <v>22</v>
      </c>
    </row>
    <row r="173" spans="1:24" ht="13.5" customHeight="1" x14ac:dyDescent="0.15">
      <c r="A173" s="25" t="s">
        <v>1102</v>
      </c>
      <c r="B173" s="25" t="s">
        <v>546</v>
      </c>
      <c r="C173" s="25" t="s">
        <v>547</v>
      </c>
      <c r="D173" s="25" t="s">
        <v>548</v>
      </c>
      <c r="E173" s="26" t="s">
        <v>45</v>
      </c>
      <c r="F173" s="27" t="s">
        <v>45</v>
      </c>
      <c r="G173" s="28" t="s">
        <v>45</v>
      </c>
      <c r="H173" s="29"/>
      <c r="I173" s="29" t="s">
        <v>46</v>
      </c>
      <c r="J173" s="30">
        <v>10</v>
      </c>
      <c r="K173" s="31">
        <f>2653.5</f>
        <v>2653.5</v>
      </c>
      <c r="L173" s="32" t="s">
        <v>995</v>
      </c>
      <c r="M173" s="31">
        <f>3026</f>
        <v>3026</v>
      </c>
      <c r="N173" s="32" t="s">
        <v>876</v>
      </c>
      <c r="O173" s="31">
        <f>2637</f>
        <v>2637</v>
      </c>
      <c r="P173" s="32" t="s">
        <v>995</v>
      </c>
      <c r="Q173" s="31">
        <f>2766</f>
        <v>2766</v>
      </c>
      <c r="R173" s="32" t="s">
        <v>893</v>
      </c>
      <c r="S173" s="33">
        <f>2794.48</f>
        <v>2794.48</v>
      </c>
      <c r="T173" s="30">
        <f>45050</f>
        <v>45050</v>
      </c>
      <c r="U173" s="30" t="str">
        <f t="shared" si="5"/>
        <v>－</v>
      </c>
      <c r="V173" s="30">
        <f>125750130</f>
        <v>125750130</v>
      </c>
      <c r="W173" s="30" t="str">
        <f t="shared" si="6"/>
        <v>－</v>
      </c>
      <c r="X173" s="34">
        <f>22</f>
        <v>22</v>
      </c>
    </row>
    <row r="174" spans="1:24" ht="13.5" customHeight="1" x14ac:dyDescent="0.15">
      <c r="A174" s="25" t="s">
        <v>1102</v>
      </c>
      <c r="B174" s="25" t="s">
        <v>549</v>
      </c>
      <c r="C174" s="25" t="s">
        <v>550</v>
      </c>
      <c r="D174" s="25" t="s">
        <v>551</v>
      </c>
      <c r="E174" s="26" t="s">
        <v>45</v>
      </c>
      <c r="F174" s="27" t="s">
        <v>45</v>
      </c>
      <c r="G174" s="28" t="s">
        <v>45</v>
      </c>
      <c r="H174" s="29"/>
      <c r="I174" s="29" t="s">
        <v>46</v>
      </c>
      <c r="J174" s="30">
        <v>100</v>
      </c>
      <c r="K174" s="31">
        <f>79.8</f>
        <v>79.8</v>
      </c>
      <c r="L174" s="32" t="s">
        <v>995</v>
      </c>
      <c r="M174" s="31">
        <f>103.3</f>
        <v>103.3</v>
      </c>
      <c r="N174" s="32" t="s">
        <v>786</v>
      </c>
      <c r="O174" s="31">
        <f>79.8</f>
        <v>79.8</v>
      </c>
      <c r="P174" s="32" t="s">
        <v>995</v>
      </c>
      <c r="Q174" s="31">
        <f>93.7</f>
        <v>93.7</v>
      </c>
      <c r="R174" s="32" t="s">
        <v>893</v>
      </c>
      <c r="S174" s="33">
        <f>90.55</f>
        <v>90.55</v>
      </c>
      <c r="T174" s="30">
        <f>15692000</f>
        <v>15692000</v>
      </c>
      <c r="U174" s="30" t="str">
        <f t="shared" si="5"/>
        <v>－</v>
      </c>
      <c r="V174" s="30">
        <f>1446289380</f>
        <v>1446289380</v>
      </c>
      <c r="W174" s="30" t="str">
        <f t="shared" si="6"/>
        <v>－</v>
      </c>
      <c r="X174" s="34">
        <f>22</f>
        <v>22</v>
      </c>
    </row>
    <row r="175" spans="1:24" ht="13.5" customHeight="1" x14ac:dyDescent="0.15">
      <c r="A175" s="25" t="s">
        <v>1102</v>
      </c>
      <c r="B175" s="25" t="s">
        <v>552</v>
      </c>
      <c r="C175" s="25" t="s">
        <v>553</v>
      </c>
      <c r="D175" s="25" t="s">
        <v>554</v>
      </c>
      <c r="E175" s="26" t="s">
        <v>45</v>
      </c>
      <c r="F175" s="27" t="s">
        <v>45</v>
      </c>
      <c r="G175" s="28" t="s">
        <v>45</v>
      </c>
      <c r="H175" s="29"/>
      <c r="I175" s="29" t="s">
        <v>46</v>
      </c>
      <c r="J175" s="30">
        <v>100</v>
      </c>
      <c r="K175" s="31">
        <f>172.8</f>
        <v>172.8</v>
      </c>
      <c r="L175" s="32" t="s">
        <v>995</v>
      </c>
      <c r="M175" s="31">
        <f>210.8</f>
        <v>210.8</v>
      </c>
      <c r="N175" s="32" t="s">
        <v>1001</v>
      </c>
      <c r="O175" s="31">
        <f>171</f>
        <v>171</v>
      </c>
      <c r="P175" s="32" t="s">
        <v>999</v>
      </c>
      <c r="Q175" s="31">
        <f>184</f>
        <v>184</v>
      </c>
      <c r="R175" s="32" t="s">
        <v>893</v>
      </c>
      <c r="S175" s="33">
        <f>188.18</f>
        <v>188.18</v>
      </c>
      <c r="T175" s="30">
        <f>1476500</f>
        <v>1476500</v>
      </c>
      <c r="U175" s="30" t="str">
        <f t="shared" si="5"/>
        <v>－</v>
      </c>
      <c r="V175" s="30">
        <f>279113830</f>
        <v>279113830</v>
      </c>
      <c r="W175" s="30" t="str">
        <f t="shared" si="6"/>
        <v>－</v>
      </c>
      <c r="X175" s="34">
        <f>22</f>
        <v>22</v>
      </c>
    </row>
    <row r="176" spans="1:24" ht="13.5" customHeight="1" x14ac:dyDescent="0.15">
      <c r="A176" s="25" t="s">
        <v>1102</v>
      </c>
      <c r="B176" s="25" t="s">
        <v>555</v>
      </c>
      <c r="C176" s="25" t="s">
        <v>556</v>
      </c>
      <c r="D176" s="25" t="s">
        <v>557</v>
      </c>
      <c r="E176" s="26" t="s">
        <v>45</v>
      </c>
      <c r="F176" s="27" t="s">
        <v>45</v>
      </c>
      <c r="G176" s="28" t="s">
        <v>45</v>
      </c>
      <c r="H176" s="29"/>
      <c r="I176" s="29" t="s">
        <v>46</v>
      </c>
      <c r="J176" s="30">
        <v>10</v>
      </c>
      <c r="K176" s="31">
        <f>3786</f>
        <v>3786</v>
      </c>
      <c r="L176" s="32" t="s">
        <v>995</v>
      </c>
      <c r="M176" s="31">
        <f>4746</f>
        <v>4746</v>
      </c>
      <c r="N176" s="32" t="s">
        <v>80</v>
      </c>
      <c r="O176" s="31">
        <f>3786</f>
        <v>3786</v>
      </c>
      <c r="P176" s="32" t="s">
        <v>995</v>
      </c>
      <c r="Q176" s="31">
        <f>4450</f>
        <v>4450</v>
      </c>
      <c r="R176" s="32" t="s">
        <v>893</v>
      </c>
      <c r="S176" s="33">
        <f>4257.86</f>
        <v>4257.8599999999997</v>
      </c>
      <c r="T176" s="30">
        <f>25000</f>
        <v>25000</v>
      </c>
      <c r="U176" s="30" t="str">
        <f t="shared" si="5"/>
        <v>－</v>
      </c>
      <c r="V176" s="30">
        <f>110270450</f>
        <v>110270450</v>
      </c>
      <c r="W176" s="30" t="str">
        <f t="shared" si="6"/>
        <v>－</v>
      </c>
      <c r="X176" s="34">
        <f>22</f>
        <v>22</v>
      </c>
    </row>
    <row r="177" spans="1:24" ht="13.5" customHeight="1" x14ac:dyDescent="0.15">
      <c r="A177" s="25" t="s">
        <v>1102</v>
      </c>
      <c r="B177" s="25" t="s">
        <v>558</v>
      </c>
      <c r="C177" s="25" t="s">
        <v>559</v>
      </c>
      <c r="D177" s="25" t="s">
        <v>560</v>
      </c>
      <c r="E177" s="26" t="s">
        <v>45</v>
      </c>
      <c r="F177" s="27" t="s">
        <v>45</v>
      </c>
      <c r="G177" s="28" t="s">
        <v>45</v>
      </c>
      <c r="H177" s="29"/>
      <c r="I177" s="29" t="s">
        <v>46</v>
      </c>
      <c r="J177" s="30">
        <v>10</v>
      </c>
      <c r="K177" s="31">
        <f>2289.5</f>
        <v>2289.5</v>
      </c>
      <c r="L177" s="32" t="s">
        <v>995</v>
      </c>
      <c r="M177" s="31">
        <f>2521</f>
        <v>2521</v>
      </c>
      <c r="N177" s="32" t="s">
        <v>1017</v>
      </c>
      <c r="O177" s="31">
        <f>2285</f>
        <v>2285</v>
      </c>
      <c r="P177" s="32" t="s">
        <v>995</v>
      </c>
      <c r="Q177" s="31">
        <f>2494.5</f>
        <v>2494.5</v>
      </c>
      <c r="R177" s="32" t="s">
        <v>893</v>
      </c>
      <c r="S177" s="33">
        <f>2436.23</f>
        <v>2436.23</v>
      </c>
      <c r="T177" s="30">
        <f>593130</f>
        <v>593130</v>
      </c>
      <c r="U177" s="30">
        <f>132170</f>
        <v>132170</v>
      </c>
      <c r="V177" s="30">
        <f>1444218369</f>
        <v>1444218369</v>
      </c>
      <c r="W177" s="30">
        <f>319995659</f>
        <v>319995659</v>
      </c>
      <c r="X177" s="34">
        <f>22</f>
        <v>22</v>
      </c>
    </row>
    <row r="178" spans="1:24" ht="13.5" customHeight="1" x14ac:dyDescent="0.15">
      <c r="A178" s="25" t="s">
        <v>1102</v>
      </c>
      <c r="B178" s="25" t="s">
        <v>561</v>
      </c>
      <c r="C178" s="25" t="s">
        <v>562</v>
      </c>
      <c r="D178" s="25" t="s">
        <v>563</v>
      </c>
      <c r="E178" s="26" t="s">
        <v>45</v>
      </c>
      <c r="F178" s="27" t="s">
        <v>45</v>
      </c>
      <c r="G178" s="28" t="s">
        <v>45</v>
      </c>
      <c r="H178" s="29"/>
      <c r="I178" s="29" t="s">
        <v>46</v>
      </c>
      <c r="J178" s="30">
        <v>10</v>
      </c>
      <c r="K178" s="31">
        <f>305.2</f>
        <v>305.2</v>
      </c>
      <c r="L178" s="32" t="s">
        <v>995</v>
      </c>
      <c r="M178" s="31">
        <f>333.4</f>
        <v>333.4</v>
      </c>
      <c r="N178" s="32" t="s">
        <v>1001</v>
      </c>
      <c r="O178" s="31">
        <f>304.8</f>
        <v>304.8</v>
      </c>
      <c r="P178" s="32" t="s">
        <v>995</v>
      </c>
      <c r="Q178" s="31">
        <f>329.5</f>
        <v>329.5</v>
      </c>
      <c r="R178" s="32" t="s">
        <v>893</v>
      </c>
      <c r="S178" s="33">
        <f>321.82</f>
        <v>321.82</v>
      </c>
      <c r="T178" s="30">
        <f>28516890</f>
        <v>28516890</v>
      </c>
      <c r="U178" s="30">
        <f>58440</f>
        <v>58440</v>
      </c>
      <c r="V178" s="30">
        <f>9110787809</f>
        <v>9110787809</v>
      </c>
      <c r="W178" s="30">
        <f>19121176</f>
        <v>19121176</v>
      </c>
      <c r="X178" s="34">
        <f>22</f>
        <v>22</v>
      </c>
    </row>
    <row r="179" spans="1:24" ht="13.5" customHeight="1" x14ac:dyDescent="0.15">
      <c r="A179" s="25" t="s">
        <v>1102</v>
      </c>
      <c r="B179" s="25" t="s">
        <v>564</v>
      </c>
      <c r="C179" s="25" t="s">
        <v>565</v>
      </c>
      <c r="D179" s="25" t="s">
        <v>566</v>
      </c>
      <c r="E179" s="26" t="s">
        <v>45</v>
      </c>
      <c r="F179" s="27" t="s">
        <v>45</v>
      </c>
      <c r="G179" s="28" t="s">
        <v>45</v>
      </c>
      <c r="H179" s="29"/>
      <c r="I179" s="29" t="s">
        <v>567</v>
      </c>
      <c r="J179" s="30">
        <v>1</v>
      </c>
      <c r="K179" s="31">
        <f>4882</f>
        <v>4882</v>
      </c>
      <c r="L179" s="32" t="s">
        <v>995</v>
      </c>
      <c r="M179" s="31">
        <f>6100</f>
        <v>6100</v>
      </c>
      <c r="N179" s="32" t="s">
        <v>876</v>
      </c>
      <c r="O179" s="31">
        <f>4882</f>
        <v>4882</v>
      </c>
      <c r="P179" s="32" t="s">
        <v>995</v>
      </c>
      <c r="Q179" s="31">
        <f>5520</f>
        <v>5520</v>
      </c>
      <c r="R179" s="32" t="s">
        <v>893</v>
      </c>
      <c r="S179" s="33">
        <f>5554.27</f>
        <v>5554.27</v>
      </c>
      <c r="T179" s="30">
        <f>57638</f>
        <v>57638</v>
      </c>
      <c r="U179" s="30" t="str">
        <f>"－"</f>
        <v>－</v>
      </c>
      <c r="V179" s="30">
        <f>321410625</f>
        <v>321410625</v>
      </c>
      <c r="W179" s="30" t="str">
        <f>"－"</f>
        <v>－</v>
      </c>
      <c r="X179" s="34">
        <f>22</f>
        <v>22</v>
      </c>
    </row>
    <row r="180" spans="1:24" ht="13.5" customHeight="1" x14ac:dyDescent="0.15">
      <c r="A180" s="25" t="s">
        <v>1102</v>
      </c>
      <c r="B180" s="25" t="s">
        <v>568</v>
      </c>
      <c r="C180" s="25" t="s">
        <v>569</v>
      </c>
      <c r="D180" s="25" t="s">
        <v>570</v>
      </c>
      <c r="E180" s="26" t="s">
        <v>45</v>
      </c>
      <c r="F180" s="27" t="s">
        <v>45</v>
      </c>
      <c r="G180" s="28" t="s">
        <v>45</v>
      </c>
      <c r="H180" s="29"/>
      <c r="I180" s="29" t="s">
        <v>567</v>
      </c>
      <c r="J180" s="30">
        <v>1</v>
      </c>
      <c r="K180" s="31">
        <f>8537</f>
        <v>8537</v>
      </c>
      <c r="L180" s="32" t="s">
        <v>995</v>
      </c>
      <c r="M180" s="31">
        <f>8539</f>
        <v>8539</v>
      </c>
      <c r="N180" s="32" t="s">
        <v>995</v>
      </c>
      <c r="O180" s="31">
        <f>7658</f>
        <v>7658</v>
      </c>
      <c r="P180" s="32" t="s">
        <v>876</v>
      </c>
      <c r="Q180" s="31">
        <f>8370</f>
        <v>8370</v>
      </c>
      <c r="R180" s="32" t="s">
        <v>893</v>
      </c>
      <c r="S180" s="33">
        <f>8106.59</f>
        <v>8106.59</v>
      </c>
      <c r="T180" s="30">
        <f>12335</f>
        <v>12335</v>
      </c>
      <c r="U180" s="30" t="str">
        <f>"－"</f>
        <v>－</v>
      </c>
      <c r="V180" s="30">
        <f>99384106</f>
        <v>99384106</v>
      </c>
      <c r="W180" s="30" t="str">
        <f>"－"</f>
        <v>－</v>
      </c>
      <c r="X180" s="34">
        <f>22</f>
        <v>22</v>
      </c>
    </row>
    <row r="181" spans="1:24" ht="13.5" customHeight="1" x14ac:dyDescent="0.15">
      <c r="A181" s="25" t="s">
        <v>1102</v>
      </c>
      <c r="B181" s="25" t="s">
        <v>571</v>
      </c>
      <c r="C181" s="25" t="s">
        <v>572</v>
      </c>
      <c r="D181" s="25" t="s">
        <v>573</v>
      </c>
      <c r="E181" s="26" t="s">
        <v>45</v>
      </c>
      <c r="F181" s="27" t="s">
        <v>45</v>
      </c>
      <c r="G181" s="28" t="s">
        <v>45</v>
      </c>
      <c r="H181" s="29"/>
      <c r="I181" s="29" t="s">
        <v>567</v>
      </c>
      <c r="J181" s="30">
        <v>1</v>
      </c>
      <c r="K181" s="31">
        <f>12235</f>
        <v>12235</v>
      </c>
      <c r="L181" s="32" t="s">
        <v>995</v>
      </c>
      <c r="M181" s="31">
        <f>13075</f>
        <v>13075</v>
      </c>
      <c r="N181" s="32" t="s">
        <v>787</v>
      </c>
      <c r="O181" s="31">
        <f>12115</f>
        <v>12115</v>
      </c>
      <c r="P181" s="32" t="s">
        <v>893</v>
      </c>
      <c r="Q181" s="31">
        <f>12485</f>
        <v>12485</v>
      </c>
      <c r="R181" s="32" t="s">
        <v>893</v>
      </c>
      <c r="S181" s="33">
        <f>12589.41</f>
        <v>12589.41</v>
      </c>
      <c r="T181" s="30">
        <f>1023</f>
        <v>1023</v>
      </c>
      <c r="U181" s="30" t="str">
        <f>"－"</f>
        <v>－</v>
      </c>
      <c r="V181" s="30">
        <f>12745510</f>
        <v>12745510</v>
      </c>
      <c r="W181" s="30" t="str">
        <f>"－"</f>
        <v>－</v>
      </c>
      <c r="X181" s="34">
        <f>17</f>
        <v>17</v>
      </c>
    </row>
    <row r="182" spans="1:24" ht="13.5" customHeight="1" x14ac:dyDescent="0.15">
      <c r="A182" s="25" t="s">
        <v>1102</v>
      </c>
      <c r="B182" s="25" t="s">
        <v>574</v>
      </c>
      <c r="C182" s="25" t="s">
        <v>575</v>
      </c>
      <c r="D182" s="25" t="s">
        <v>576</v>
      </c>
      <c r="E182" s="26" t="s">
        <v>45</v>
      </c>
      <c r="F182" s="27" t="s">
        <v>45</v>
      </c>
      <c r="G182" s="28" t="s">
        <v>45</v>
      </c>
      <c r="H182" s="29"/>
      <c r="I182" s="29" t="s">
        <v>567</v>
      </c>
      <c r="J182" s="30">
        <v>1</v>
      </c>
      <c r="K182" s="31">
        <f>7551</f>
        <v>7551</v>
      </c>
      <c r="L182" s="32" t="s">
        <v>995</v>
      </c>
      <c r="M182" s="31">
        <f>7965</f>
        <v>7965</v>
      </c>
      <c r="N182" s="32" t="s">
        <v>997</v>
      </c>
      <c r="O182" s="31">
        <f>7520</f>
        <v>7520</v>
      </c>
      <c r="P182" s="32" t="s">
        <v>78</v>
      </c>
      <c r="Q182" s="31">
        <f>7884</f>
        <v>7884</v>
      </c>
      <c r="R182" s="32" t="s">
        <v>893</v>
      </c>
      <c r="S182" s="33">
        <f>7770.36</f>
        <v>7770.36</v>
      </c>
      <c r="T182" s="30">
        <f>15681</f>
        <v>15681</v>
      </c>
      <c r="U182" s="30" t="str">
        <f>"－"</f>
        <v>－</v>
      </c>
      <c r="V182" s="30">
        <f>121486042</f>
        <v>121486042</v>
      </c>
      <c r="W182" s="30" t="str">
        <f>"－"</f>
        <v>－</v>
      </c>
      <c r="X182" s="34">
        <f>22</f>
        <v>22</v>
      </c>
    </row>
    <row r="183" spans="1:24" ht="13.5" customHeight="1" x14ac:dyDescent="0.15">
      <c r="A183" s="25" t="s">
        <v>1102</v>
      </c>
      <c r="B183" s="25" t="s">
        <v>577</v>
      </c>
      <c r="C183" s="25" t="s">
        <v>578</v>
      </c>
      <c r="D183" s="25" t="s">
        <v>579</v>
      </c>
      <c r="E183" s="26" t="s">
        <v>45</v>
      </c>
      <c r="F183" s="27" t="s">
        <v>45</v>
      </c>
      <c r="G183" s="28" t="s">
        <v>45</v>
      </c>
      <c r="H183" s="29"/>
      <c r="I183" s="29" t="s">
        <v>567</v>
      </c>
      <c r="J183" s="30">
        <v>1</v>
      </c>
      <c r="K183" s="31">
        <f>32600</f>
        <v>32600</v>
      </c>
      <c r="L183" s="32" t="s">
        <v>995</v>
      </c>
      <c r="M183" s="31">
        <f>33590</f>
        <v>33590</v>
      </c>
      <c r="N183" s="32" t="s">
        <v>790</v>
      </c>
      <c r="O183" s="31">
        <f>32080</f>
        <v>32080</v>
      </c>
      <c r="P183" s="32" t="s">
        <v>1002</v>
      </c>
      <c r="Q183" s="31">
        <f>33090</f>
        <v>33090</v>
      </c>
      <c r="R183" s="32" t="s">
        <v>893</v>
      </c>
      <c r="S183" s="33">
        <f>32722.73</f>
        <v>32722.73</v>
      </c>
      <c r="T183" s="30">
        <f>21672</f>
        <v>21672</v>
      </c>
      <c r="U183" s="30">
        <f>19</f>
        <v>19</v>
      </c>
      <c r="V183" s="30">
        <f>709000470</f>
        <v>709000470</v>
      </c>
      <c r="W183" s="30">
        <f>623020</f>
        <v>623020</v>
      </c>
      <c r="X183" s="34">
        <f>22</f>
        <v>22</v>
      </c>
    </row>
    <row r="184" spans="1:24" ht="13.5" customHeight="1" x14ac:dyDescent="0.15">
      <c r="A184" s="25" t="s">
        <v>1102</v>
      </c>
      <c r="B184" s="25" t="s">
        <v>580</v>
      </c>
      <c r="C184" s="25" t="s">
        <v>581</v>
      </c>
      <c r="D184" s="25" t="s">
        <v>582</v>
      </c>
      <c r="E184" s="26" t="s">
        <v>45</v>
      </c>
      <c r="F184" s="27" t="s">
        <v>45</v>
      </c>
      <c r="G184" s="28" t="s">
        <v>45</v>
      </c>
      <c r="H184" s="29"/>
      <c r="I184" s="29" t="s">
        <v>567</v>
      </c>
      <c r="J184" s="30">
        <v>1</v>
      </c>
      <c r="K184" s="31">
        <f>3825</f>
        <v>3825</v>
      </c>
      <c r="L184" s="32" t="s">
        <v>995</v>
      </c>
      <c r="M184" s="31">
        <f>3900</f>
        <v>3900</v>
      </c>
      <c r="N184" s="32" t="s">
        <v>1000</v>
      </c>
      <c r="O184" s="31">
        <f>3780</f>
        <v>3780</v>
      </c>
      <c r="P184" s="32" t="s">
        <v>786</v>
      </c>
      <c r="Q184" s="31">
        <f>3805</f>
        <v>3805</v>
      </c>
      <c r="R184" s="32" t="s">
        <v>893</v>
      </c>
      <c r="S184" s="33">
        <f>3823.41</f>
        <v>3823.41</v>
      </c>
      <c r="T184" s="30">
        <f>8869</f>
        <v>8869</v>
      </c>
      <c r="U184" s="30" t="str">
        <f>"－"</f>
        <v>－</v>
      </c>
      <c r="V184" s="30">
        <f>33947625</f>
        <v>33947625</v>
      </c>
      <c r="W184" s="30" t="str">
        <f>"－"</f>
        <v>－</v>
      </c>
      <c r="X184" s="34">
        <f>22</f>
        <v>22</v>
      </c>
    </row>
    <row r="185" spans="1:24" ht="13.5" customHeight="1" x14ac:dyDescent="0.15">
      <c r="A185" s="25" t="s">
        <v>1102</v>
      </c>
      <c r="B185" s="25" t="s">
        <v>583</v>
      </c>
      <c r="C185" s="25" t="s">
        <v>584</v>
      </c>
      <c r="D185" s="25" t="s">
        <v>585</v>
      </c>
      <c r="E185" s="26" t="s">
        <v>45</v>
      </c>
      <c r="F185" s="27" t="s">
        <v>45</v>
      </c>
      <c r="G185" s="28" t="s">
        <v>45</v>
      </c>
      <c r="H185" s="29"/>
      <c r="I185" s="29" t="s">
        <v>567</v>
      </c>
      <c r="J185" s="30">
        <v>1</v>
      </c>
      <c r="K185" s="31">
        <f>1141</f>
        <v>1141</v>
      </c>
      <c r="L185" s="32" t="s">
        <v>995</v>
      </c>
      <c r="M185" s="31">
        <f>1370</f>
        <v>1370</v>
      </c>
      <c r="N185" s="32" t="s">
        <v>893</v>
      </c>
      <c r="O185" s="31">
        <f>1141</f>
        <v>1141</v>
      </c>
      <c r="P185" s="32" t="s">
        <v>995</v>
      </c>
      <c r="Q185" s="31">
        <f>1367</f>
        <v>1367</v>
      </c>
      <c r="R185" s="32" t="s">
        <v>893</v>
      </c>
      <c r="S185" s="33">
        <f>1282.32</f>
        <v>1282.32</v>
      </c>
      <c r="T185" s="30">
        <f>43772712</f>
        <v>43772712</v>
      </c>
      <c r="U185" s="30">
        <f>341539</f>
        <v>341539</v>
      </c>
      <c r="V185" s="30">
        <f>55642919414</f>
        <v>55642919414</v>
      </c>
      <c r="W185" s="30">
        <f>472649280</f>
        <v>472649280</v>
      </c>
      <c r="X185" s="34">
        <f>22</f>
        <v>22</v>
      </c>
    </row>
    <row r="186" spans="1:24" ht="13.5" customHeight="1" x14ac:dyDescent="0.15">
      <c r="A186" s="25" t="s">
        <v>1102</v>
      </c>
      <c r="B186" s="25" t="s">
        <v>586</v>
      </c>
      <c r="C186" s="25" t="s">
        <v>587</v>
      </c>
      <c r="D186" s="25" t="s">
        <v>588</v>
      </c>
      <c r="E186" s="26" t="s">
        <v>45</v>
      </c>
      <c r="F186" s="27" t="s">
        <v>45</v>
      </c>
      <c r="G186" s="28" t="s">
        <v>45</v>
      </c>
      <c r="H186" s="29"/>
      <c r="I186" s="29" t="s">
        <v>567</v>
      </c>
      <c r="J186" s="30">
        <v>1</v>
      </c>
      <c r="K186" s="31">
        <f>1456</f>
        <v>1456</v>
      </c>
      <c r="L186" s="32" t="s">
        <v>995</v>
      </c>
      <c r="M186" s="31">
        <f>1457</f>
        <v>1457</v>
      </c>
      <c r="N186" s="32" t="s">
        <v>995</v>
      </c>
      <c r="O186" s="31">
        <f>1326</f>
        <v>1326</v>
      </c>
      <c r="P186" s="32" t="s">
        <v>1001</v>
      </c>
      <c r="Q186" s="31">
        <f>1328</f>
        <v>1328</v>
      </c>
      <c r="R186" s="32" t="s">
        <v>893</v>
      </c>
      <c r="S186" s="33">
        <f>1367.64</f>
        <v>1367.64</v>
      </c>
      <c r="T186" s="30">
        <f>2551294</f>
        <v>2551294</v>
      </c>
      <c r="U186" s="30">
        <f>4528</f>
        <v>4528</v>
      </c>
      <c r="V186" s="30">
        <f>3487213065</f>
        <v>3487213065</v>
      </c>
      <c r="W186" s="30">
        <f>6219576</f>
        <v>6219576</v>
      </c>
      <c r="X186" s="34">
        <f>22</f>
        <v>22</v>
      </c>
    </row>
    <row r="187" spans="1:24" ht="13.5" customHeight="1" x14ac:dyDescent="0.15">
      <c r="A187" s="25" t="s">
        <v>1102</v>
      </c>
      <c r="B187" s="25" t="s">
        <v>589</v>
      </c>
      <c r="C187" s="25" t="s">
        <v>590</v>
      </c>
      <c r="D187" s="25" t="s">
        <v>591</v>
      </c>
      <c r="E187" s="26" t="s">
        <v>45</v>
      </c>
      <c r="F187" s="27" t="s">
        <v>45</v>
      </c>
      <c r="G187" s="28" t="s">
        <v>45</v>
      </c>
      <c r="H187" s="29"/>
      <c r="I187" s="29" t="s">
        <v>567</v>
      </c>
      <c r="J187" s="30">
        <v>1</v>
      </c>
      <c r="K187" s="31">
        <f>23330</f>
        <v>23330</v>
      </c>
      <c r="L187" s="32" t="s">
        <v>995</v>
      </c>
      <c r="M187" s="31">
        <f>25150</f>
        <v>25150</v>
      </c>
      <c r="N187" s="32" t="s">
        <v>876</v>
      </c>
      <c r="O187" s="31">
        <f>23315</f>
        <v>23315</v>
      </c>
      <c r="P187" s="32" t="s">
        <v>995</v>
      </c>
      <c r="Q187" s="31">
        <f>24810</f>
        <v>24810</v>
      </c>
      <c r="R187" s="32" t="s">
        <v>893</v>
      </c>
      <c r="S187" s="33">
        <f>24382.27</f>
        <v>24382.27</v>
      </c>
      <c r="T187" s="30">
        <f>74958</f>
        <v>74958</v>
      </c>
      <c r="U187" s="30">
        <f>15</f>
        <v>15</v>
      </c>
      <c r="V187" s="30">
        <f>1832957765</f>
        <v>1832957765</v>
      </c>
      <c r="W187" s="30">
        <f>361970</f>
        <v>361970</v>
      </c>
      <c r="X187" s="34">
        <f>22</f>
        <v>22</v>
      </c>
    </row>
    <row r="188" spans="1:24" ht="13.5" customHeight="1" x14ac:dyDescent="0.15">
      <c r="A188" s="25" t="s">
        <v>1102</v>
      </c>
      <c r="B188" s="25" t="s">
        <v>592</v>
      </c>
      <c r="C188" s="25" t="s">
        <v>593</v>
      </c>
      <c r="D188" s="25" t="s">
        <v>594</v>
      </c>
      <c r="E188" s="26" t="s">
        <v>45</v>
      </c>
      <c r="F188" s="27" t="s">
        <v>45</v>
      </c>
      <c r="G188" s="28" t="s">
        <v>45</v>
      </c>
      <c r="H188" s="29"/>
      <c r="I188" s="29" t="s">
        <v>567</v>
      </c>
      <c r="J188" s="30">
        <v>1</v>
      </c>
      <c r="K188" s="31">
        <f>2957</f>
        <v>2957</v>
      </c>
      <c r="L188" s="32" t="s">
        <v>995</v>
      </c>
      <c r="M188" s="31">
        <f>2960</f>
        <v>2960</v>
      </c>
      <c r="N188" s="32" t="s">
        <v>995</v>
      </c>
      <c r="O188" s="31">
        <f>2828</f>
        <v>2828</v>
      </c>
      <c r="P188" s="32" t="s">
        <v>876</v>
      </c>
      <c r="Q188" s="31">
        <f>2852</f>
        <v>2852</v>
      </c>
      <c r="R188" s="32" t="s">
        <v>893</v>
      </c>
      <c r="S188" s="33">
        <f>2874.95</f>
        <v>2874.95</v>
      </c>
      <c r="T188" s="30">
        <f>253938</f>
        <v>253938</v>
      </c>
      <c r="U188" s="30">
        <f>386</f>
        <v>386</v>
      </c>
      <c r="V188" s="30">
        <f>730141288</f>
        <v>730141288</v>
      </c>
      <c r="W188" s="30">
        <f>1129568</f>
        <v>1129568</v>
      </c>
      <c r="X188" s="34">
        <f>22</f>
        <v>22</v>
      </c>
    </row>
    <row r="189" spans="1:24" ht="13.5" customHeight="1" x14ac:dyDescent="0.15">
      <c r="A189" s="25" t="s">
        <v>1102</v>
      </c>
      <c r="B189" s="25" t="s">
        <v>595</v>
      </c>
      <c r="C189" s="25" t="s">
        <v>596</v>
      </c>
      <c r="D189" s="25" t="s">
        <v>597</v>
      </c>
      <c r="E189" s="26" t="s">
        <v>45</v>
      </c>
      <c r="F189" s="27" t="s">
        <v>45</v>
      </c>
      <c r="G189" s="28" t="s">
        <v>45</v>
      </c>
      <c r="H189" s="29"/>
      <c r="I189" s="29" t="s">
        <v>567</v>
      </c>
      <c r="J189" s="30">
        <v>1</v>
      </c>
      <c r="K189" s="31">
        <f>7951</f>
        <v>7951</v>
      </c>
      <c r="L189" s="32" t="s">
        <v>995</v>
      </c>
      <c r="M189" s="31">
        <f>9300</f>
        <v>9300</v>
      </c>
      <c r="N189" s="32" t="s">
        <v>998</v>
      </c>
      <c r="O189" s="31">
        <f>7920</f>
        <v>7920</v>
      </c>
      <c r="P189" s="32" t="s">
        <v>995</v>
      </c>
      <c r="Q189" s="31">
        <f>8793</f>
        <v>8793</v>
      </c>
      <c r="R189" s="32" t="s">
        <v>893</v>
      </c>
      <c r="S189" s="33">
        <f>8603.77</f>
        <v>8603.77</v>
      </c>
      <c r="T189" s="30">
        <f>184614</f>
        <v>184614</v>
      </c>
      <c r="U189" s="30">
        <f>8011</f>
        <v>8011</v>
      </c>
      <c r="V189" s="30">
        <f>1623450711</f>
        <v>1623450711</v>
      </c>
      <c r="W189" s="30">
        <f>70801800</f>
        <v>70801800</v>
      </c>
      <c r="X189" s="34">
        <f>22</f>
        <v>22</v>
      </c>
    </row>
    <row r="190" spans="1:24" ht="13.5" customHeight="1" x14ac:dyDescent="0.15">
      <c r="A190" s="25" t="s">
        <v>1102</v>
      </c>
      <c r="B190" s="25" t="s">
        <v>598</v>
      </c>
      <c r="C190" s="25" t="s">
        <v>599</v>
      </c>
      <c r="D190" s="25" t="s">
        <v>600</v>
      </c>
      <c r="E190" s="26" t="s">
        <v>45</v>
      </c>
      <c r="F190" s="27" t="s">
        <v>45</v>
      </c>
      <c r="G190" s="28" t="s">
        <v>45</v>
      </c>
      <c r="H190" s="29"/>
      <c r="I190" s="29" t="s">
        <v>567</v>
      </c>
      <c r="J190" s="30">
        <v>1</v>
      </c>
      <c r="K190" s="31">
        <f>16360</f>
        <v>16360</v>
      </c>
      <c r="L190" s="32" t="s">
        <v>995</v>
      </c>
      <c r="M190" s="31">
        <f>17380</f>
        <v>17380</v>
      </c>
      <c r="N190" s="32" t="s">
        <v>786</v>
      </c>
      <c r="O190" s="31">
        <f>16000</f>
        <v>16000</v>
      </c>
      <c r="P190" s="32" t="s">
        <v>999</v>
      </c>
      <c r="Q190" s="31">
        <f>17300</f>
        <v>17300</v>
      </c>
      <c r="R190" s="32" t="s">
        <v>893</v>
      </c>
      <c r="S190" s="33">
        <f>16755</f>
        <v>16755</v>
      </c>
      <c r="T190" s="30">
        <f>545</f>
        <v>545</v>
      </c>
      <c r="U190" s="30" t="str">
        <f t="shared" ref="U190:U206" si="7">"－"</f>
        <v>－</v>
      </c>
      <c r="V190" s="30">
        <f>9241355</f>
        <v>9241355</v>
      </c>
      <c r="W190" s="30" t="str">
        <f t="shared" ref="W190:W206" si="8">"－"</f>
        <v>－</v>
      </c>
      <c r="X190" s="34">
        <f>21</f>
        <v>21</v>
      </c>
    </row>
    <row r="191" spans="1:24" ht="13.5" customHeight="1" x14ac:dyDescent="0.15">
      <c r="A191" s="25" t="s">
        <v>1102</v>
      </c>
      <c r="B191" s="25" t="s">
        <v>601</v>
      </c>
      <c r="C191" s="25" t="s">
        <v>602</v>
      </c>
      <c r="D191" s="25" t="s">
        <v>603</v>
      </c>
      <c r="E191" s="26" t="s">
        <v>45</v>
      </c>
      <c r="F191" s="27" t="s">
        <v>45</v>
      </c>
      <c r="G191" s="28" t="s">
        <v>45</v>
      </c>
      <c r="H191" s="29"/>
      <c r="I191" s="29" t="s">
        <v>567</v>
      </c>
      <c r="J191" s="30">
        <v>1</v>
      </c>
      <c r="K191" s="31">
        <f>23070</f>
        <v>23070</v>
      </c>
      <c r="L191" s="32" t="s">
        <v>995</v>
      </c>
      <c r="M191" s="31">
        <f>25660</f>
        <v>25660</v>
      </c>
      <c r="N191" s="32" t="s">
        <v>893</v>
      </c>
      <c r="O191" s="31">
        <f>23000</f>
        <v>23000</v>
      </c>
      <c r="P191" s="32" t="s">
        <v>999</v>
      </c>
      <c r="Q191" s="31">
        <f>25660</f>
        <v>25660</v>
      </c>
      <c r="R191" s="32" t="s">
        <v>893</v>
      </c>
      <c r="S191" s="33">
        <f>24395.45</f>
        <v>24395.45</v>
      </c>
      <c r="T191" s="30">
        <f>33330</f>
        <v>33330</v>
      </c>
      <c r="U191" s="30" t="str">
        <f t="shared" si="7"/>
        <v>－</v>
      </c>
      <c r="V191" s="30">
        <f>826031690</f>
        <v>826031690</v>
      </c>
      <c r="W191" s="30" t="str">
        <f t="shared" si="8"/>
        <v>－</v>
      </c>
      <c r="X191" s="34">
        <f>22</f>
        <v>22</v>
      </c>
    </row>
    <row r="192" spans="1:24" ht="13.5" customHeight="1" x14ac:dyDescent="0.15">
      <c r="A192" s="25" t="s">
        <v>1102</v>
      </c>
      <c r="B192" s="25" t="s">
        <v>604</v>
      </c>
      <c r="C192" s="25" t="s">
        <v>605</v>
      </c>
      <c r="D192" s="25" t="s">
        <v>606</v>
      </c>
      <c r="E192" s="26" t="s">
        <v>45</v>
      </c>
      <c r="F192" s="27" t="s">
        <v>45</v>
      </c>
      <c r="G192" s="28" t="s">
        <v>45</v>
      </c>
      <c r="H192" s="29"/>
      <c r="I192" s="29" t="s">
        <v>567</v>
      </c>
      <c r="J192" s="30">
        <v>1</v>
      </c>
      <c r="K192" s="31">
        <f>15600</f>
        <v>15600</v>
      </c>
      <c r="L192" s="32" t="s">
        <v>995</v>
      </c>
      <c r="M192" s="31">
        <f>16200</f>
        <v>16200</v>
      </c>
      <c r="N192" s="32" t="s">
        <v>790</v>
      </c>
      <c r="O192" s="31">
        <f>15285</f>
        <v>15285</v>
      </c>
      <c r="P192" s="32" t="s">
        <v>56</v>
      </c>
      <c r="Q192" s="31">
        <f>15850</f>
        <v>15850</v>
      </c>
      <c r="R192" s="32" t="s">
        <v>1017</v>
      </c>
      <c r="S192" s="33">
        <f>15731.88</f>
        <v>15731.88</v>
      </c>
      <c r="T192" s="30">
        <f>133</f>
        <v>133</v>
      </c>
      <c r="U192" s="30" t="str">
        <f t="shared" si="7"/>
        <v>－</v>
      </c>
      <c r="V192" s="30">
        <f>2093140</f>
        <v>2093140</v>
      </c>
      <c r="W192" s="30" t="str">
        <f t="shared" si="8"/>
        <v>－</v>
      </c>
      <c r="X192" s="34">
        <f>16</f>
        <v>16</v>
      </c>
    </row>
    <row r="193" spans="1:24" ht="13.5" customHeight="1" x14ac:dyDescent="0.15">
      <c r="A193" s="25" t="s">
        <v>1102</v>
      </c>
      <c r="B193" s="25" t="s">
        <v>607</v>
      </c>
      <c r="C193" s="25" t="s">
        <v>608</v>
      </c>
      <c r="D193" s="25" t="s">
        <v>609</v>
      </c>
      <c r="E193" s="26" t="s">
        <v>45</v>
      </c>
      <c r="F193" s="27" t="s">
        <v>45</v>
      </c>
      <c r="G193" s="28" t="s">
        <v>45</v>
      </c>
      <c r="H193" s="29"/>
      <c r="I193" s="29" t="s">
        <v>567</v>
      </c>
      <c r="J193" s="30">
        <v>1</v>
      </c>
      <c r="K193" s="31">
        <f>19685</f>
        <v>19685</v>
      </c>
      <c r="L193" s="32" t="s">
        <v>995</v>
      </c>
      <c r="M193" s="31">
        <f>22300</f>
        <v>22300</v>
      </c>
      <c r="N193" s="32" t="s">
        <v>893</v>
      </c>
      <c r="O193" s="31">
        <f>19670</f>
        <v>19670</v>
      </c>
      <c r="P193" s="32" t="s">
        <v>999</v>
      </c>
      <c r="Q193" s="31">
        <f>22300</f>
        <v>22300</v>
      </c>
      <c r="R193" s="32" t="s">
        <v>893</v>
      </c>
      <c r="S193" s="33">
        <f>20556.59</f>
        <v>20556.59</v>
      </c>
      <c r="T193" s="30">
        <f>52130</f>
        <v>52130</v>
      </c>
      <c r="U193" s="30" t="str">
        <f t="shared" si="7"/>
        <v>－</v>
      </c>
      <c r="V193" s="30">
        <f>1093790865</f>
        <v>1093790865</v>
      </c>
      <c r="W193" s="30" t="str">
        <f t="shared" si="8"/>
        <v>－</v>
      </c>
      <c r="X193" s="34">
        <f>22</f>
        <v>22</v>
      </c>
    </row>
    <row r="194" spans="1:24" ht="13.5" customHeight="1" x14ac:dyDescent="0.15">
      <c r="A194" s="25" t="s">
        <v>1102</v>
      </c>
      <c r="B194" s="25" t="s">
        <v>610</v>
      </c>
      <c r="C194" s="25" t="s">
        <v>611</v>
      </c>
      <c r="D194" s="25" t="s">
        <v>612</v>
      </c>
      <c r="E194" s="26" t="s">
        <v>45</v>
      </c>
      <c r="F194" s="27" t="s">
        <v>45</v>
      </c>
      <c r="G194" s="28" t="s">
        <v>45</v>
      </c>
      <c r="H194" s="29"/>
      <c r="I194" s="29" t="s">
        <v>567</v>
      </c>
      <c r="J194" s="30">
        <v>1</v>
      </c>
      <c r="K194" s="31">
        <f>4205</f>
        <v>4205</v>
      </c>
      <c r="L194" s="32" t="s">
        <v>995</v>
      </c>
      <c r="M194" s="31">
        <f>4395</f>
        <v>4395</v>
      </c>
      <c r="N194" s="32" t="s">
        <v>255</v>
      </c>
      <c r="O194" s="31">
        <f>4165</f>
        <v>4165</v>
      </c>
      <c r="P194" s="32" t="s">
        <v>1004</v>
      </c>
      <c r="Q194" s="31">
        <f>4315</f>
        <v>4315</v>
      </c>
      <c r="R194" s="32" t="s">
        <v>893</v>
      </c>
      <c r="S194" s="33">
        <f>4232.95</f>
        <v>4232.95</v>
      </c>
      <c r="T194" s="30">
        <f>5142</f>
        <v>5142</v>
      </c>
      <c r="U194" s="30" t="str">
        <f t="shared" si="7"/>
        <v>－</v>
      </c>
      <c r="V194" s="30">
        <f>21823235</f>
        <v>21823235</v>
      </c>
      <c r="W194" s="30" t="str">
        <f t="shared" si="8"/>
        <v>－</v>
      </c>
      <c r="X194" s="34">
        <f>22</f>
        <v>22</v>
      </c>
    </row>
    <row r="195" spans="1:24" ht="13.5" customHeight="1" x14ac:dyDescent="0.15">
      <c r="A195" s="25" t="s">
        <v>1102</v>
      </c>
      <c r="B195" s="25" t="s">
        <v>613</v>
      </c>
      <c r="C195" s="25" t="s">
        <v>614</v>
      </c>
      <c r="D195" s="25" t="s">
        <v>615</v>
      </c>
      <c r="E195" s="26" t="s">
        <v>45</v>
      </c>
      <c r="F195" s="27" t="s">
        <v>45</v>
      </c>
      <c r="G195" s="28" t="s">
        <v>45</v>
      </c>
      <c r="H195" s="29"/>
      <c r="I195" s="29" t="s">
        <v>567</v>
      </c>
      <c r="J195" s="30">
        <v>1</v>
      </c>
      <c r="K195" s="31">
        <f>18295</f>
        <v>18295</v>
      </c>
      <c r="L195" s="32" t="s">
        <v>999</v>
      </c>
      <c r="M195" s="31">
        <f>20840</f>
        <v>20840</v>
      </c>
      <c r="N195" s="32" t="s">
        <v>893</v>
      </c>
      <c r="O195" s="31">
        <f>18295</f>
        <v>18295</v>
      </c>
      <c r="P195" s="32" t="s">
        <v>999</v>
      </c>
      <c r="Q195" s="31">
        <f>20840</f>
        <v>20840</v>
      </c>
      <c r="R195" s="32" t="s">
        <v>893</v>
      </c>
      <c r="S195" s="33">
        <f>19504.74</f>
        <v>19504.740000000002</v>
      </c>
      <c r="T195" s="30">
        <f>1368</f>
        <v>1368</v>
      </c>
      <c r="U195" s="30" t="str">
        <f t="shared" si="7"/>
        <v>－</v>
      </c>
      <c r="V195" s="30">
        <f>27065330</f>
        <v>27065330</v>
      </c>
      <c r="W195" s="30" t="str">
        <f t="shared" si="8"/>
        <v>－</v>
      </c>
      <c r="X195" s="34">
        <f>19</f>
        <v>19</v>
      </c>
    </row>
    <row r="196" spans="1:24" ht="13.5" customHeight="1" x14ac:dyDescent="0.15">
      <c r="A196" s="25" t="s">
        <v>1102</v>
      </c>
      <c r="B196" s="25" t="s">
        <v>616</v>
      </c>
      <c r="C196" s="25" t="s">
        <v>617</v>
      </c>
      <c r="D196" s="25" t="s">
        <v>618</v>
      </c>
      <c r="E196" s="26" t="s">
        <v>45</v>
      </c>
      <c r="F196" s="27" t="s">
        <v>45</v>
      </c>
      <c r="G196" s="28" t="s">
        <v>45</v>
      </c>
      <c r="H196" s="29"/>
      <c r="I196" s="29" t="s">
        <v>567</v>
      </c>
      <c r="J196" s="30">
        <v>1</v>
      </c>
      <c r="K196" s="31">
        <f>14565</f>
        <v>14565</v>
      </c>
      <c r="L196" s="32" t="s">
        <v>999</v>
      </c>
      <c r="M196" s="31">
        <f>15745</f>
        <v>15745</v>
      </c>
      <c r="N196" s="32" t="s">
        <v>894</v>
      </c>
      <c r="O196" s="31">
        <f>14565</f>
        <v>14565</v>
      </c>
      <c r="P196" s="32" t="s">
        <v>999</v>
      </c>
      <c r="Q196" s="31">
        <f>15545</f>
        <v>15545</v>
      </c>
      <c r="R196" s="32" t="s">
        <v>997</v>
      </c>
      <c r="S196" s="33">
        <f>15326.25</f>
        <v>15326.25</v>
      </c>
      <c r="T196" s="30">
        <f>33</f>
        <v>33</v>
      </c>
      <c r="U196" s="30" t="str">
        <f t="shared" si="7"/>
        <v>－</v>
      </c>
      <c r="V196" s="30">
        <f>509720</f>
        <v>509720</v>
      </c>
      <c r="W196" s="30" t="str">
        <f t="shared" si="8"/>
        <v>－</v>
      </c>
      <c r="X196" s="34">
        <f>8</f>
        <v>8</v>
      </c>
    </row>
    <row r="197" spans="1:24" ht="13.5" customHeight="1" x14ac:dyDescent="0.15">
      <c r="A197" s="25" t="s">
        <v>1102</v>
      </c>
      <c r="B197" s="25" t="s">
        <v>619</v>
      </c>
      <c r="C197" s="25" t="s">
        <v>620</v>
      </c>
      <c r="D197" s="25" t="s">
        <v>621</v>
      </c>
      <c r="E197" s="26" t="s">
        <v>45</v>
      </c>
      <c r="F197" s="27" t="s">
        <v>45</v>
      </c>
      <c r="G197" s="28" t="s">
        <v>45</v>
      </c>
      <c r="H197" s="29"/>
      <c r="I197" s="29" t="s">
        <v>567</v>
      </c>
      <c r="J197" s="30">
        <v>1</v>
      </c>
      <c r="K197" s="31">
        <f>21665</f>
        <v>21665</v>
      </c>
      <c r="L197" s="32" t="s">
        <v>995</v>
      </c>
      <c r="M197" s="31">
        <f>24030</f>
        <v>24030</v>
      </c>
      <c r="N197" s="32" t="s">
        <v>997</v>
      </c>
      <c r="O197" s="31">
        <f>21665</f>
        <v>21665</v>
      </c>
      <c r="P197" s="32" t="s">
        <v>995</v>
      </c>
      <c r="Q197" s="31">
        <f>24030</f>
        <v>24030</v>
      </c>
      <c r="R197" s="32" t="s">
        <v>1017</v>
      </c>
      <c r="S197" s="33">
        <f>22842.94</f>
        <v>22842.94</v>
      </c>
      <c r="T197" s="30">
        <f>205</f>
        <v>205</v>
      </c>
      <c r="U197" s="30" t="str">
        <f t="shared" si="7"/>
        <v>－</v>
      </c>
      <c r="V197" s="30">
        <f>4722935</f>
        <v>4722935</v>
      </c>
      <c r="W197" s="30" t="str">
        <f t="shared" si="8"/>
        <v>－</v>
      </c>
      <c r="X197" s="34">
        <f>17</f>
        <v>17</v>
      </c>
    </row>
    <row r="198" spans="1:24" ht="13.5" customHeight="1" x14ac:dyDescent="0.15">
      <c r="A198" s="25" t="s">
        <v>1102</v>
      </c>
      <c r="B198" s="25" t="s">
        <v>622</v>
      </c>
      <c r="C198" s="25" t="s">
        <v>623</v>
      </c>
      <c r="D198" s="25" t="s">
        <v>624</v>
      </c>
      <c r="E198" s="26" t="s">
        <v>45</v>
      </c>
      <c r="F198" s="27" t="s">
        <v>45</v>
      </c>
      <c r="G198" s="28" t="s">
        <v>45</v>
      </c>
      <c r="H198" s="29"/>
      <c r="I198" s="29" t="s">
        <v>567</v>
      </c>
      <c r="J198" s="30">
        <v>1</v>
      </c>
      <c r="K198" s="31">
        <f>16910</f>
        <v>16910</v>
      </c>
      <c r="L198" s="32" t="s">
        <v>995</v>
      </c>
      <c r="M198" s="31">
        <f>17605</f>
        <v>17605</v>
      </c>
      <c r="N198" s="32" t="s">
        <v>255</v>
      </c>
      <c r="O198" s="31">
        <f>16910</f>
        <v>16910</v>
      </c>
      <c r="P198" s="32" t="s">
        <v>995</v>
      </c>
      <c r="Q198" s="31">
        <f>17605</f>
        <v>17605</v>
      </c>
      <c r="R198" s="32" t="s">
        <v>255</v>
      </c>
      <c r="S198" s="33">
        <f>17316.25</f>
        <v>17316.25</v>
      </c>
      <c r="T198" s="30">
        <f>43</f>
        <v>43</v>
      </c>
      <c r="U198" s="30" t="str">
        <f t="shared" si="7"/>
        <v>－</v>
      </c>
      <c r="V198" s="30">
        <f>752870</f>
        <v>752870</v>
      </c>
      <c r="W198" s="30" t="str">
        <f t="shared" si="8"/>
        <v>－</v>
      </c>
      <c r="X198" s="34">
        <f>4</f>
        <v>4</v>
      </c>
    </row>
    <row r="199" spans="1:24" ht="13.5" customHeight="1" x14ac:dyDescent="0.15">
      <c r="A199" s="25" t="s">
        <v>1102</v>
      </c>
      <c r="B199" s="25" t="s">
        <v>625</v>
      </c>
      <c r="C199" s="25" t="s">
        <v>626</v>
      </c>
      <c r="D199" s="25" t="s">
        <v>627</v>
      </c>
      <c r="E199" s="26" t="s">
        <v>45</v>
      </c>
      <c r="F199" s="27" t="s">
        <v>45</v>
      </c>
      <c r="G199" s="28" t="s">
        <v>45</v>
      </c>
      <c r="H199" s="29"/>
      <c r="I199" s="29" t="s">
        <v>567</v>
      </c>
      <c r="J199" s="30">
        <v>1</v>
      </c>
      <c r="K199" s="31">
        <f>14765</f>
        <v>14765</v>
      </c>
      <c r="L199" s="32" t="s">
        <v>995</v>
      </c>
      <c r="M199" s="31">
        <f>16300</f>
        <v>16300</v>
      </c>
      <c r="N199" s="32" t="s">
        <v>894</v>
      </c>
      <c r="O199" s="31">
        <f>14765</f>
        <v>14765</v>
      </c>
      <c r="P199" s="32" t="s">
        <v>995</v>
      </c>
      <c r="Q199" s="31">
        <f>16110</f>
        <v>16110</v>
      </c>
      <c r="R199" s="32" t="s">
        <v>893</v>
      </c>
      <c r="S199" s="33">
        <f>15754.52</f>
        <v>15754.52</v>
      </c>
      <c r="T199" s="30">
        <f>1441</f>
        <v>1441</v>
      </c>
      <c r="U199" s="30" t="str">
        <f t="shared" si="7"/>
        <v>－</v>
      </c>
      <c r="V199" s="30">
        <f>22640460</f>
        <v>22640460</v>
      </c>
      <c r="W199" s="30" t="str">
        <f t="shared" si="8"/>
        <v>－</v>
      </c>
      <c r="X199" s="34">
        <f>21</f>
        <v>21</v>
      </c>
    </row>
    <row r="200" spans="1:24" ht="13.5" customHeight="1" x14ac:dyDescent="0.15">
      <c r="A200" s="25" t="s">
        <v>1102</v>
      </c>
      <c r="B200" s="25" t="s">
        <v>628</v>
      </c>
      <c r="C200" s="25" t="s">
        <v>629</v>
      </c>
      <c r="D200" s="25" t="s">
        <v>630</v>
      </c>
      <c r="E200" s="26" t="s">
        <v>45</v>
      </c>
      <c r="F200" s="27" t="s">
        <v>45</v>
      </c>
      <c r="G200" s="28" t="s">
        <v>45</v>
      </c>
      <c r="H200" s="29"/>
      <c r="I200" s="29" t="s">
        <v>567</v>
      </c>
      <c r="J200" s="30">
        <v>1</v>
      </c>
      <c r="K200" s="31">
        <f>16545</f>
        <v>16545</v>
      </c>
      <c r="L200" s="32" t="s">
        <v>995</v>
      </c>
      <c r="M200" s="31">
        <f>18035</f>
        <v>18035</v>
      </c>
      <c r="N200" s="32" t="s">
        <v>1005</v>
      </c>
      <c r="O200" s="31">
        <f>16545</f>
        <v>16545</v>
      </c>
      <c r="P200" s="32" t="s">
        <v>995</v>
      </c>
      <c r="Q200" s="31">
        <f>17500</f>
        <v>17500</v>
      </c>
      <c r="R200" s="32" t="s">
        <v>255</v>
      </c>
      <c r="S200" s="33">
        <f>17547.73</f>
        <v>17547.73</v>
      </c>
      <c r="T200" s="30">
        <f>126</f>
        <v>126</v>
      </c>
      <c r="U200" s="30" t="str">
        <f t="shared" si="7"/>
        <v>－</v>
      </c>
      <c r="V200" s="30">
        <f>2219035</f>
        <v>2219035</v>
      </c>
      <c r="W200" s="30" t="str">
        <f t="shared" si="8"/>
        <v>－</v>
      </c>
      <c r="X200" s="34">
        <f>11</f>
        <v>11</v>
      </c>
    </row>
    <row r="201" spans="1:24" ht="13.5" customHeight="1" x14ac:dyDescent="0.15">
      <c r="A201" s="25" t="s">
        <v>1102</v>
      </c>
      <c r="B201" s="25" t="s">
        <v>631</v>
      </c>
      <c r="C201" s="25" t="s">
        <v>632</v>
      </c>
      <c r="D201" s="25" t="s">
        <v>633</v>
      </c>
      <c r="E201" s="26" t="s">
        <v>45</v>
      </c>
      <c r="F201" s="27" t="s">
        <v>45</v>
      </c>
      <c r="G201" s="28" t="s">
        <v>45</v>
      </c>
      <c r="H201" s="29"/>
      <c r="I201" s="29" t="s">
        <v>567</v>
      </c>
      <c r="J201" s="30">
        <v>1</v>
      </c>
      <c r="K201" s="31">
        <f>15195</f>
        <v>15195</v>
      </c>
      <c r="L201" s="32" t="s">
        <v>999</v>
      </c>
      <c r="M201" s="31">
        <f>15860</f>
        <v>15860</v>
      </c>
      <c r="N201" s="32" t="s">
        <v>1005</v>
      </c>
      <c r="O201" s="31">
        <f>15195</f>
        <v>15195</v>
      </c>
      <c r="P201" s="32" t="s">
        <v>999</v>
      </c>
      <c r="Q201" s="31">
        <f>15655</f>
        <v>15655</v>
      </c>
      <c r="R201" s="32" t="s">
        <v>894</v>
      </c>
      <c r="S201" s="33">
        <f>15650</f>
        <v>15650</v>
      </c>
      <c r="T201" s="30">
        <f>58</f>
        <v>58</v>
      </c>
      <c r="U201" s="30" t="str">
        <f t="shared" si="7"/>
        <v>－</v>
      </c>
      <c r="V201" s="30">
        <f>912390</f>
        <v>912390</v>
      </c>
      <c r="W201" s="30" t="str">
        <f t="shared" si="8"/>
        <v>－</v>
      </c>
      <c r="X201" s="34">
        <f>5</f>
        <v>5</v>
      </c>
    </row>
    <row r="202" spans="1:24" ht="13.5" customHeight="1" x14ac:dyDescent="0.15">
      <c r="A202" s="25" t="s">
        <v>1102</v>
      </c>
      <c r="B202" s="25" t="s">
        <v>634</v>
      </c>
      <c r="C202" s="25" t="s">
        <v>635</v>
      </c>
      <c r="D202" s="25" t="s">
        <v>636</v>
      </c>
      <c r="E202" s="26" t="s">
        <v>45</v>
      </c>
      <c r="F202" s="27" t="s">
        <v>45</v>
      </c>
      <c r="G202" s="28" t="s">
        <v>45</v>
      </c>
      <c r="H202" s="29"/>
      <c r="I202" s="29" t="s">
        <v>567</v>
      </c>
      <c r="J202" s="30">
        <v>1</v>
      </c>
      <c r="K202" s="31">
        <f>10500</f>
        <v>10500</v>
      </c>
      <c r="L202" s="32" t="s">
        <v>784</v>
      </c>
      <c r="M202" s="31">
        <f>10975</f>
        <v>10975</v>
      </c>
      <c r="N202" s="32" t="s">
        <v>790</v>
      </c>
      <c r="O202" s="31">
        <f>10330</f>
        <v>10330</v>
      </c>
      <c r="P202" s="32" t="s">
        <v>1000</v>
      </c>
      <c r="Q202" s="31">
        <f>10745</f>
        <v>10745</v>
      </c>
      <c r="R202" s="32" t="s">
        <v>893</v>
      </c>
      <c r="S202" s="33">
        <f>10698.75</f>
        <v>10698.75</v>
      </c>
      <c r="T202" s="30">
        <f>32003</f>
        <v>32003</v>
      </c>
      <c r="U202" s="30" t="str">
        <f t="shared" si="7"/>
        <v>－</v>
      </c>
      <c r="V202" s="30">
        <f>342570455</f>
        <v>342570455</v>
      </c>
      <c r="W202" s="30" t="str">
        <f t="shared" si="8"/>
        <v>－</v>
      </c>
      <c r="X202" s="34">
        <f>20</f>
        <v>20</v>
      </c>
    </row>
    <row r="203" spans="1:24" ht="13.5" customHeight="1" x14ac:dyDescent="0.15">
      <c r="A203" s="25" t="s">
        <v>1102</v>
      </c>
      <c r="B203" s="25" t="s">
        <v>637</v>
      </c>
      <c r="C203" s="25" t="s">
        <v>638</v>
      </c>
      <c r="D203" s="25" t="s">
        <v>639</v>
      </c>
      <c r="E203" s="26" t="s">
        <v>45</v>
      </c>
      <c r="F203" s="27" t="s">
        <v>45</v>
      </c>
      <c r="G203" s="28" t="s">
        <v>45</v>
      </c>
      <c r="H203" s="29"/>
      <c r="I203" s="29" t="s">
        <v>567</v>
      </c>
      <c r="J203" s="30">
        <v>1</v>
      </c>
      <c r="K203" s="31">
        <f>11150</f>
        <v>11150</v>
      </c>
      <c r="L203" s="32" t="s">
        <v>995</v>
      </c>
      <c r="M203" s="31">
        <f>12075</f>
        <v>12075</v>
      </c>
      <c r="N203" s="32" t="s">
        <v>1002</v>
      </c>
      <c r="O203" s="31">
        <f>11090</f>
        <v>11090</v>
      </c>
      <c r="P203" s="32" t="s">
        <v>995</v>
      </c>
      <c r="Q203" s="31">
        <f>11720</f>
        <v>11720</v>
      </c>
      <c r="R203" s="32" t="s">
        <v>893</v>
      </c>
      <c r="S203" s="33">
        <f>11657.5</f>
        <v>11657.5</v>
      </c>
      <c r="T203" s="30">
        <f>50016</f>
        <v>50016</v>
      </c>
      <c r="U203" s="30" t="str">
        <f t="shared" si="7"/>
        <v>－</v>
      </c>
      <c r="V203" s="30">
        <f>582853880</f>
        <v>582853880</v>
      </c>
      <c r="W203" s="30" t="str">
        <f t="shared" si="8"/>
        <v>－</v>
      </c>
      <c r="X203" s="34">
        <f>22</f>
        <v>22</v>
      </c>
    </row>
    <row r="204" spans="1:24" ht="13.5" customHeight="1" x14ac:dyDescent="0.15">
      <c r="A204" s="25" t="s">
        <v>1102</v>
      </c>
      <c r="B204" s="25" t="s">
        <v>640</v>
      </c>
      <c r="C204" s="25" t="s">
        <v>641</v>
      </c>
      <c r="D204" s="25" t="s">
        <v>642</v>
      </c>
      <c r="E204" s="26" t="s">
        <v>45</v>
      </c>
      <c r="F204" s="27" t="s">
        <v>45</v>
      </c>
      <c r="G204" s="28" t="s">
        <v>45</v>
      </c>
      <c r="H204" s="29"/>
      <c r="I204" s="29" t="s">
        <v>567</v>
      </c>
      <c r="J204" s="30">
        <v>1</v>
      </c>
      <c r="K204" s="31">
        <f>10680</f>
        <v>10680</v>
      </c>
      <c r="L204" s="32" t="s">
        <v>995</v>
      </c>
      <c r="M204" s="31">
        <f>11500</f>
        <v>11500</v>
      </c>
      <c r="N204" s="32" t="s">
        <v>894</v>
      </c>
      <c r="O204" s="31">
        <f>10680</f>
        <v>10680</v>
      </c>
      <c r="P204" s="32" t="s">
        <v>995</v>
      </c>
      <c r="Q204" s="31">
        <f>11365</f>
        <v>11365</v>
      </c>
      <c r="R204" s="32" t="s">
        <v>893</v>
      </c>
      <c r="S204" s="33">
        <f>11171.9</f>
        <v>11171.9</v>
      </c>
      <c r="T204" s="30">
        <f>26006</f>
        <v>26006</v>
      </c>
      <c r="U204" s="30" t="str">
        <f t="shared" si="7"/>
        <v>－</v>
      </c>
      <c r="V204" s="30">
        <f>290890395</f>
        <v>290890395</v>
      </c>
      <c r="W204" s="30" t="str">
        <f t="shared" si="8"/>
        <v>－</v>
      </c>
      <c r="X204" s="34">
        <f>21</f>
        <v>21</v>
      </c>
    </row>
    <row r="205" spans="1:24" ht="13.5" customHeight="1" x14ac:dyDescent="0.15">
      <c r="A205" s="25" t="s">
        <v>1102</v>
      </c>
      <c r="B205" s="25" t="s">
        <v>899</v>
      </c>
      <c r="C205" s="25" t="s">
        <v>900</v>
      </c>
      <c r="D205" s="25" t="s">
        <v>901</v>
      </c>
      <c r="E205" s="26" t="s">
        <v>45</v>
      </c>
      <c r="F205" s="27" t="s">
        <v>45</v>
      </c>
      <c r="G205" s="28" t="s">
        <v>45</v>
      </c>
      <c r="H205" s="29"/>
      <c r="I205" s="29" t="s">
        <v>567</v>
      </c>
      <c r="J205" s="30">
        <v>1</v>
      </c>
      <c r="K205" s="31">
        <f>10980</f>
        <v>10980</v>
      </c>
      <c r="L205" s="32" t="s">
        <v>995</v>
      </c>
      <c r="M205" s="31">
        <f>11550</f>
        <v>11550</v>
      </c>
      <c r="N205" s="32" t="s">
        <v>1002</v>
      </c>
      <c r="O205" s="31">
        <f>10980</f>
        <v>10980</v>
      </c>
      <c r="P205" s="32" t="s">
        <v>995</v>
      </c>
      <c r="Q205" s="31">
        <f>11010</f>
        <v>11010</v>
      </c>
      <c r="R205" s="32" t="s">
        <v>255</v>
      </c>
      <c r="S205" s="33">
        <f>11278.33</f>
        <v>11278.33</v>
      </c>
      <c r="T205" s="30">
        <f>1873</f>
        <v>1873</v>
      </c>
      <c r="U205" s="30" t="str">
        <f t="shared" si="7"/>
        <v>－</v>
      </c>
      <c r="V205" s="30">
        <f>21530290</f>
        <v>21530290</v>
      </c>
      <c r="W205" s="30" t="str">
        <f t="shared" si="8"/>
        <v>－</v>
      </c>
      <c r="X205" s="34">
        <f>6</f>
        <v>6</v>
      </c>
    </row>
    <row r="206" spans="1:24" ht="13.5" customHeight="1" x14ac:dyDescent="0.15">
      <c r="A206" s="25" t="s">
        <v>1102</v>
      </c>
      <c r="B206" s="25" t="s">
        <v>986</v>
      </c>
      <c r="C206" s="25" t="s">
        <v>987</v>
      </c>
      <c r="D206" s="25" t="s">
        <v>988</v>
      </c>
      <c r="E206" s="26" t="s">
        <v>45</v>
      </c>
      <c r="F206" s="27" t="s">
        <v>45</v>
      </c>
      <c r="G206" s="28" t="s">
        <v>45</v>
      </c>
      <c r="H206" s="29"/>
      <c r="I206" s="29" t="s">
        <v>46</v>
      </c>
      <c r="J206" s="30">
        <v>10</v>
      </c>
      <c r="K206" s="31">
        <f>1997</f>
        <v>1997</v>
      </c>
      <c r="L206" s="32" t="s">
        <v>995</v>
      </c>
      <c r="M206" s="31">
        <f>2204.5</f>
        <v>2204.5</v>
      </c>
      <c r="N206" s="32" t="s">
        <v>1001</v>
      </c>
      <c r="O206" s="31">
        <f>1996.5</f>
        <v>1996.5</v>
      </c>
      <c r="P206" s="32" t="s">
        <v>995</v>
      </c>
      <c r="Q206" s="31">
        <f>2154</f>
        <v>2154</v>
      </c>
      <c r="R206" s="32" t="s">
        <v>893</v>
      </c>
      <c r="S206" s="33">
        <f>2084.5</f>
        <v>2084.5</v>
      </c>
      <c r="T206" s="30">
        <f>230790</f>
        <v>230790</v>
      </c>
      <c r="U206" s="30" t="str">
        <f t="shared" si="7"/>
        <v>－</v>
      </c>
      <c r="V206" s="30">
        <f>471582250</f>
        <v>471582250</v>
      </c>
      <c r="W206" s="30" t="str">
        <f t="shared" si="8"/>
        <v>－</v>
      </c>
      <c r="X206" s="34">
        <f>22</f>
        <v>22</v>
      </c>
    </row>
    <row r="207" spans="1:24" ht="13.5" customHeight="1" x14ac:dyDescent="0.15">
      <c r="A207" s="25" t="s">
        <v>1102</v>
      </c>
      <c r="B207" s="25" t="s">
        <v>990</v>
      </c>
      <c r="C207" s="25" t="s">
        <v>991</v>
      </c>
      <c r="D207" s="25" t="s">
        <v>992</v>
      </c>
      <c r="E207" s="26" t="s">
        <v>45</v>
      </c>
      <c r="F207" s="27" t="s">
        <v>45</v>
      </c>
      <c r="G207" s="28" t="s">
        <v>45</v>
      </c>
      <c r="H207" s="29"/>
      <c r="I207" s="29" t="s">
        <v>46</v>
      </c>
      <c r="J207" s="30">
        <v>1</v>
      </c>
      <c r="K207" s="31">
        <f>995</f>
        <v>995</v>
      </c>
      <c r="L207" s="32" t="s">
        <v>995</v>
      </c>
      <c r="M207" s="31">
        <f>1105</f>
        <v>1105</v>
      </c>
      <c r="N207" s="32" t="s">
        <v>893</v>
      </c>
      <c r="O207" s="31">
        <f>991</f>
        <v>991</v>
      </c>
      <c r="P207" s="32" t="s">
        <v>995</v>
      </c>
      <c r="Q207" s="31">
        <f>1103</f>
        <v>1103</v>
      </c>
      <c r="R207" s="32" t="s">
        <v>893</v>
      </c>
      <c r="S207" s="33">
        <f>1057</f>
        <v>1057</v>
      </c>
      <c r="T207" s="30">
        <f>881005</f>
        <v>881005</v>
      </c>
      <c r="U207" s="30">
        <f>169000</f>
        <v>169000</v>
      </c>
      <c r="V207" s="30">
        <f>936888436</f>
        <v>936888436</v>
      </c>
      <c r="W207" s="30">
        <f>183833805</f>
        <v>183833805</v>
      </c>
      <c r="X207" s="34">
        <f>22</f>
        <v>22</v>
      </c>
    </row>
    <row r="208" spans="1:24" ht="13.5" customHeight="1" x14ac:dyDescent="0.15">
      <c r="A208" s="25" t="s">
        <v>1102</v>
      </c>
      <c r="B208" s="25" t="s">
        <v>1006</v>
      </c>
      <c r="C208" s="25" t="s">
        <v>1007</v>
      </c>
      <c r="D208" s="25" t="s">
        <v>1008</v>
      </c>
      <c r="E208" s="26" t="s">
        <v>45</v>
      </c>
      <c r="F208" s="27" t="s">
        <v>45</v>
      </c>
      <c r="G208" s="28" t="s">
        <v>45</v>
      </c>
      <c r="H208" s="29"/>
      <c r="I208" s="29" t="s">
        <v>46</v>
      </c>
      <c r="J208" s="30">
        <v>1</v>
      </c>
      <c r="K208" s="31">
        <f>52730</f>
        <v>52730</v>
      </c>
      <c r="L208" s="32" t="s">
        <v>995</v>
      </c>
      <c r="M208" s="31">
        <f>58580</f>
        <v>58580</v>
      </c>
      <c r="N208" s="32" t="s">
        <v>876</v>
      </c>
      <c r="O208" s="31">
        <f>52410</f>
        <v>52410</v>
      </c>
      <c r="P208" s="32" t="s">
        <v>995</v>
      </c>
      <c r="Q208" s="31">
        <f>57770</f>
        <v>57770</v>
      </c>
      <c r="R208" s="32" t="s">
        <v>893</v>
      </c>
      <c r="S208" s="33">
        <f>56308.18</f>
        <v>56308.18</v>
      </c>
      <c r="T208" s="30">
        <f>28078</f>
        <v>28078</v>
      </c>
      <c r="U208" s="30" t="str">
        <f>"－"</f>
        <v>－</v>
      </c>
      <c r="V208" s="30">
        <f>1575594050</f>
        <v>1575594050</v>
      </c>
      <c r="W208" s="30" t="str">
        <f>"－"</f>
        <v>－</v>
      </c>
      <c r="X208" s="34">
        <f>22</f>
        <v>22</v>
      </c>
    </row>
    <row r="209" spans="1:24" ht="13.5" customHeight="1" x14ac:dyDescent="0.15">
      <c r="A209" s="25" t="s">
        <v>1102</v>
      </c>
      <c r="B209" s="25" t="s">
        <v>1010</v>
      </c>
      <c r="C209" s="25" t="s">
        <v>1011</v>
      </c>
      <c r="D209" s="25" t="s">
        <v>1012</v>
      </c>
      <c r="E209" s="26" t="s">
        <v>45</v>
      </c>
      <c r="F209" s="27" t="s">
        <v>45</v>
      </c>
      <c r="G209" s="28" t="s">
        <v>45</v>
      </c>
      <c r="H209" s="29"/>
      <c r="I209" s="29" t="s">
        <v>46</v>
      </c>
      <c r="J209" s="30">
        <v>1</v>
      </c>
      <c r="K209" s="31">
        <f>9310</f>
        <v>9310</v>
      </c>
      <c r="L209" s="32" t="s">
        <v>995</v>
      </c>
      <c r="M209" s="31">
        <f>9326</f>
        <v>9326</v>
      </c>
      <c r="N209" s="32" t="s">
        <v>995</v>
      </c>
      <c r="O209" s="31">
        <f>8813</f>
        <v>8813</v>
      </c>
      <c r="P209" s="32" t="s">
        <v>876</v>
      </c>
      <c r="Q209" s="31">
        <f>8860</f>
        <v>8860</v>
      </c>
      <c r="R209" s="32" t="s">
        <v>893</v>
      </c>
      <c r="S209" s="33">
        <f>8992.32</f>
        <v>8992.32</v>
      </c>
      <c r="T209" s="30">
        <f>577649</f>
        <v>577649</v>
      </c>
      <c r="U209" s="30">
        <f>435900</f>
        <v>435900</v>
      </c>
      <c r="V209" s="30">
        <f>5150961913</f>
        <v>5150961913</v>
      </c>
      <c r="W209" s="30">
        <f>3881055390</f>
        <v>3881055390</v>
      </c>
      <c r="X209" s="34">
        <f>22</f>
        <v>22</v>
      </c>
    </row>
    <row r="210" spans="1:24" ht="13.5" customHeight="1" x14ac:dyDescent="0.15">
      <c r="A210" s="25" t="s">
        <v>1102</v>
      </c>
      <c r="B210" s="25" t="s">
        <v>1018</v>
      </c>
      <c r="C210" s="25" t="s">
        <v>1019</v>
      </c>
      <c r="D210" s="25" t="s">
        <v>1020</v>
      </c>
      <c r="E210" s="26" t="s">
        <v>45</v>
      </c>
      <c r="F210" s="27" t="s">
        <v>45</v>
      </c>
      <c r="G210" s="28" t="s">
        <v>45</v>
      </c>
      <c r="H210" s="29"/>
      <c r="I210" s="29" t="s">
        <v>46</v>
      </c>
      <c r="J210" s="30">
        <v>10</v>
      </c>
      <c r="K210" s="31">
        <f>11205</f>
        <v>11205</v>
      </c>
      <c r="L210" s="32" t="s">
        <v>995</v>
      </c>
      <c r="M210" s="31">
        <f>12505</f>
        <v>12505</v>
      </c>
      <c r="N210" s="32" t="s">
        <v>876</v>
      </c>
      <c r="O210" s="31">
        <f>11200</f>
        <v>11200</v>
      </c>
      <c r="P210" s="32" t="s">
        <v>995</v>
      </c>
      <c r="Q210" s="31">
        <f>12340</f>
        <v>12340</v>
      </c>
      <c r="R210" s="32" t="s">
        <v>893</v>
      </c>
      <c r="S210" s="33">
        <f>12016.14</f>
        <v>12016.14</v>
      </c>
      <c r="T210" s="30">
        <f>21500</f>
        <v>21500</v>
      </c>
      <c r="U210" s="30" t="str">
        <f>"－"</f>
        <v>－</v>
      </c>
      <c r="V210" s="30">
        <f>257820600</f>
        <v>257820600</v>
      </c>
      <c r="W210" s="30" t="str">
        <f>"－"</f>
        <v>－</v>
      </c>
      <c r="X210" s="34">
        <f>22</f>
        <v>22</v>
      </c>
    </row>
    <row r="211" spans="1:24" ht="13.5" customHeight="1" x14ac:dyDescent="0.15">
      <c r="A211" s="25" t="s">
        <v>1102</v>
      </c>
      <c r="B211" s="25" t="s">
        <v>1022</v>
      </c>
      <c r="C211" s="25" t="s">
        <v>1023</v>
      </c>
      <c r="D211" s="25" t="s">
        <v>1024</v>
      </c>
      <c r="E211" s="26" t="s">
        <v>45</v>
      </c>
      <c r="F211" s="27" t="s">
        <v>45</v>
      </c>
      <c r="G211" s="28" t="s">
        <v>45</v>
      </c>
      <c r="H211" s="29"/>
      <c r="I211" s="29" t="s">
        <v>46</v>
      </c>
      <c r="J211" s="30">
        <v>10</v>
      </c>
      <c r="K211" s="31">
        <f>9356</f>
        <v>9356</v>
      </c>
      <c r="L211" s="32" t="s">
        <v>995</v>
      </c>
      <c r="M211" s="31">
        <f>9360</f>
        <v>9360</v>
      </c>
      <c r="N211" s="32" t="s">
        <v>995</v>
      </c>
      <c r="O211" s="31">
        <f>8843</f>
        <v>8843</v>
      </c>
      <c r="P211" s="32" t="s">
        <v>876</v>
      </c>
      <c r="Q211" s="31">
        <f>8920</f>
        <v>8920</v>
      </c>
      <c r="R211" s="32" t="s">
        <v>893</v>
      </c>
      <c r="S211" s="33">
        <f>9048.74</f>
        <v>9048.74</v>
      </c>
      <c r="T211" s="30">
        <f>117820</f>
        <v>117820</v>
      </c>
      <c r="U211" s="30">
        <f>115300</f>
        <v>115300</v>
      </c>
      <c r="V211" s="30">
        <f>1060646031</f>
        <v>1060646031</v>
      </c>
      <c r="W211" s="30">
        <f>1037730181</f>
        <v>1037730181</v>
      </c>
      <c r="X211" s="34">
        <f>19</f>
        <v>19</v>
      </c>
    </row>
    <row r="212" spans="1:24" ht="13.5" customHeight="1" x14ac:dyDescent="0.15">
      <c r="A212" s="25" t="s">
        <v>1102</v>
      </c>
      <c r="B212" s="25" t="s">
        <v>1025</v>
      </c>
      <c r="C212" s="25" t="s">
        <v>1026</v>
      </c>
      <c r="D212" s="25" t="s">
        <v>1027</v>
      </c>
      <c r="E212" s="26" t="s">
        <v>45</v>
      </c>
      <c r="F212" s="27" t="s">
        <v>45</v>
      </c>
      <c r="G212" s="28" t="s">
        <v>45</v>
      </c>
      <c r="H212" s="29"/>
      <c r="I212" s="29" t="s">
        <v>46</v>
      </c>
      <c r="J212" s="30">
        <v>10</v>
      </c>
      <c r="K212" s="31">
        <f>509.6</f>
        <v>509.6</v>
      </c>
      <c r="L212" s="32" t="s">
        <v>995</v>
      </c>
      <c r="M212" s="31">
        <f>550.3</f>
        <v>550.29999999999995</v>
      </c>
      <c r="N212" s="32" t="s">
        <v>893</v>
      </c>
      <c r="O212" s="31">
        <f>509.6</f>
        <v>509.6</v>
      </c>
      <c r="P212" s="32" t="s">
        <v>995</v>
      </c>
      <c r="Q212" s="31">
        <f>549.7</f>
        <v>549.70000000000005</v>
      </c>
      <c r="R212" s="32" t="s">
        <v>893</v>
      </c>
      <c r="S212" s="33">
        <f>532.33</f>
        <v>532.33000000000004</v>
      </c>
      <c r="T212" s="30">
        <f>194200</f>
        <v>194200</v>
      </c>
      <c r="U212" s="30" t="str">
        <f>"－"</f>
        <v>－</v>
      </c>
      <c r="V212" s="30">
        <f>103720114</f>
        <v>103720114</v>
      </c>
      <c r="W212" s="30" t="str">
        <f>"－"</f>
        <v>－</v>
      </c>
      <c r="X212" s="34">
        <f>22</f>
        <v>22</v>
      </c>
    </row>
    <row r="213" spans="1:24" ht="13.5" customHeight="1" x14ac:dyDescent="0.15">
      <c r="A213" s="25" t="s">
        <v>1102</v>
      </c>
      <c r="B213" s="25" t="s">
        <v>1029</v>
      </c>
      <c r="C213" s="25" t="s">
        <v>1030</v>
      </c>
      <c r="D213" s="25" t="s">
        <v>1031</v>
      </c>
      <c r="E213" s="26" t="s">
        <v>45</v>
      </c>
      <c r="F213" s="27" t="s">
        <v>45</v>
      </c>
      <c r="G213" s="28" t="s">
        <v>45</v>
      </c>
      <c r="H213" s="29"/>
      <c r="I213" s="29" t="s">
        <v>46</v>
      </c>
      <c r="J213" s="30">
        <v>10</v>
      </c>
      <c r="K213" s="31">
        <f>492</f>
        <v>492</v>
      </c>
      <c r="L213" s="32" t="s">
        <v>995</v>
      </c>
      <c r="M213" s="31">
        <f>513.9</f>
        <v>513.9</v>
      </c>
      <c r="N213" s="32" t="s">
        <v>876</v>
      </c>
      <c r="O213" s="31">
        <f>491</f>
        <v>491</v>
      </c>
      <c r="P213" s="32" t="s">
        <v>995</v>
      </c>
      <c r="Q213" s="31">
        <f>508.8</f>
        <v>508.8</v>
      </c>
      <c r="R213" s="32" t="s">
        <v>893</v>
      </c>
      <c r="S213" s="33">
        <f>505.24</f>
        <v>505.24</v>
      </c>
      <c r="T213" s="30">
        <f>162370</f>
        <v>162370</v>
      </c>
      <c r="U213" s="30" t="str">
        <f>"－"</f>
        <v>－</v>
      </c>
      <c r="V213" s="30">
        <f>82165086</f>
        <v>82165086</v>
      </c>
      <c r="W213" s="30" t="str">
        <f>"－"</f>
        <v>－</v>
      </c>
      <c r="X213" s="34">
        <f>22</f>
        <v>22</v>
      </c>
    </row>
    <row r="214" spans="1:24" ht="13.5" customHeight="1" x14ac:dyDescent="0.15">
      <c r="A214" s="25" t="s">
        <v>1102</v>
      </c>
      <c r="B214" s="25" t="s">
        <v>1071</v>
      </c>
      <c r="C214" s="25" t="s">
        <v>1072</v>
      </c>
      <c r="D214" s="25" t="s">
        <v>1073</v>
      </c>
      <c r="E214" s="26" t="s">
        <v>45</v>
      </c>
      <c r="F214" s="27" t="s">
        <v>45</v>
      </c>
      <c r="G214" s="28" t="s">
        <v>45</v>
      </c>
      <c r="H214" s="29"/>
      <c r="I214" s="29" t="s">
        <v>46</v>
      </c>
      <c r="J214" s="30">
        <v>1</v>
      </c>
      <c r="K214" s="31">
        <f>1148</f>
        <v>1148</v>
      </c>
      <c r="L214" s="32" t="s">
        <v>995</v>
      </c>
      <c r="M214" s="31">
        <f>1267</f>
        <v>1267</v>
      </c>
      <c r="N214" s="32" t="s">
        <v>1002</v>
      </c>
      <c r="O214" s="31">
        <f>1145</f>
        <v>1145</v>
      </c>
      <c r="P214" s="32" t="s">
        <v>995</v>
      </c>
      <c r="Q214" s="31">
        <f>1254</f>
        <v>1254</v>
      </c>
      <c r="R214" s="32" t="s">
        <v>893</v>
      </c>
      <c r="S214" s="33">
        <f>1210.18</f>
        <v>1210.18</v>
      </c>
      <c r="T214" s="30">
        <f>1424383</f>
        <v>1424383</v>
      </c>
      <c r="U214" s="30">
        <f>102585</f>
        <v>102585</v>
      </c>
      <c r="V214" s="30">
        <f>1731654085</f>
        <v>1731654085</v>
      </c>
      <c r="W214" s="30">
        <f>130531887</f>
        <v>130531887</v>
      </c>
      <c r="X214" s="34">
        <f>22</f>
        <v>22</v>
      </c>
    </row>
    <row r="215" spans="1:24" ht="13.5" customHeight="1" x14ac:dyDescent="0.15">
      <c r="A215" s="25" t="s">
        <v>1102</v>
      </c>
      <c r="B215" s="25" t="s">
        <v>1075</v>
      </c>
      <c r="C215" s="25" t="s">
        <v>1076</v>
      </c>
      <c r="D215" s="25" t="s">
        <v>1077</v>
      </c>
      <c r="E215" s="26" t="s">
        <v>45</v>
      </c>
      <c r="F215" s="27" t="s">
        <v>45</v>
      </c>
      <c r="G215" s="28" t="s">
        <v>45</v>
      </c>
      <c r="H215" s="29"/>
      <c r="I215" s="29" t="s">
        <v>46</v>
      </c>
      <c r="J215" s="30">
        <v>1</v>
      </c>
      <c r="K215" s="31">
        <f>1190</f>
        <v>1190</v>
      </c>
      <c r="L215" s="32" t="s">
        <v>995</v>
      </c>
      <c r="M215" s="31">
        <f>1325</f>
        <v>1325</v>
      </c>
      <c r="N215" s="32" t="s">
        <v>893</v>
      </c>
      <c r="O215" s="31">
        <f>1188</f>
        <v>1188</v>
      </c>
      <c r="P215" s="32" t="s">
        <v>995</v>
      </c>
      <c r="Q215" s="31">
        <f>1323</f>
        <v>1323</v>
      </c>
      <c r="R215" s="32" t="s">
        <v>893</v>
      </c>
      <c r="S215" s="33">
        <f>1270.14</f>
        <v>1270.1400000000001</v>
      </c>
      <c r="T215" s="30">
        <f>934262</f>
        <v>934262</v>
      </c>
      <c r="U215" s="30" t="str">
        <f>"－"</f>
        <v>－</v>
      </c>
      <c r="V215" s="30">
        <f>1181045825</f>
        <v>1181045825</v>
      </c>
      <c r="W215" s="30" t="str">
        <f>"－"</f>
        <v>－</v>
      </c>
      <c r="X215" s="34">
        <f>22</f>
        <v>22</v>
      </c>
    </row>
    <row r="216" spans="1:24" ht="13.5" customHeight="1" x14ac:dyDescent="0.15">
      <c r="A216" s="25" t="s">
        <v>1102</v>
      </c>
      <c r="B216" s="25" t="s">
        <v>1078</v>
      </c>
      <c r="C216" s="25" t="s">
        <v>1079</v>
      </c>
      <c r="D216" s="25" t="s">
        <v>1080</v>
      </c>
      <c r="E216" s="26" t="s">
        <v>45</v>
      </c>
      <c r="F216" s="27" t="s">
        <v>45</v>
      </c>
      <c r="G216" s="28" t="s">
        <v>45</v>
      </c>
      <c r="H216" s="29"/>
      <c r="I216" s="29" t="s">
        <v>46</v>
      </c>
      <c r="J216" s="30">
        <v>10</v>
      </c>
      <c r="K216" s="31">
        <f>806.3</f>
        <v>806.3</v>
      </c>
      <c r="L216" s="32" t="s">
        <v>784</v>
      </c>
      <c r="M216" s="31">
        <f>815.1</f>
        <v>815.1</v>
      </c>
      <c r="N216" s="32" t="s">
        <v>1004</v>
      </c>
      <c r="O216" s="31">
        <f>792.1</f>
        <v>792.1</v>
      </c>
      <c r="P216" s="32" t="s">
        <v>876</v>
      </c>
      <c r="Q216" s="31">
        <f>795.5</f>
        <v>795.5</v>
      </c>
      <c r="R216" s="32" t="s">
        <v>893</v>
      </c>
      <c r="S216" s="33">
        <f>799.19</f>
        <v>799.19</v>
      </c>
      <c r="T216" s="30">
        <f>101640</f>
        <v>101640</v>
      </c>
      <c r="U216" s="30">
        <f>100000</f>
        <v>100000</v>
      </c>
      <c r="V216" s="30">
        <f>80933189</f>
        <v>80933189</v>
      </c>
      <c r="W216" s="30">
        <f>79620000</f>
        <v>79620000</v>
      </c>
      <c r="X216" s="34">
        <f>13</f>
        <v>13</v>
      </c>
    </row>
    <row r="217" spans="1:24" ht="13.5" customHeight="1" x14ac:dyDescent="0.15">
      <c r="A217" s="25" t="s">
        <v>1102</v>
      </c>
      <c r="B217" s="25" t="s">
        <v>1082</v>
      </c>
      <c r="C217" s="25" t="s">
        <v>1083</v>
      </c>
      <c r="D217" s="25" t="s">
        <v>1084</v>
      </c>
      <c r="E217" s="26" t="s">
        <v>45</v>
      </c>
      <c r="F217" s="27" t="s">
        <v>45</v>
      </c>
      <c r="G217" s="28" t="s">
        <v>45</v>
      </c>
      <c r="H217" s="29"/>
      <c r="I217" s="29" t="s">
        <v>46</v>
      </c>
      <c r="J217" s="30">
        <v>10</v>
      </c>
      <c r="K217" s="31">
        <f>807.6</f>
        <v>807.6</v>
      </c>
      <c r="L217" s="32" t="s">
        <v>784</v>
      </c>
      <c r="M217" s="31">
        <f>822.6</f>
        <v>822.6</v>
      </c>
      <c r="N217" s="32" t="s">
        <v>1003</v>
      </c>
      <c r="O217" s="31">
        <f>795.5</f>
        <v>795.5</v>
      </c>
      <c r="P217" s="32" t="s">
        <v>80</v>
      </c>
      <c r="Q217" s="31">
        <f>800.7</f>
        <v>800.7</v>
      </c>
      <c r="R217" s="32" t="s">
        <v>893</v>
      </c>
      <c r="S217" s="33">
        <f>802.74</f>
        <v>802.74</v>
      </c>
      <c r="T217" s="30">
        <f>3320</f>
        <v>3320</v>
      </c>
      <c r="U217" s="30" t="str">
        <f>"－"</f>
        <v>－</v>
      </c>
      <c r="V217" s="30">
        <f>2660371</f>
        <v>2660371</v>
      </c>
      <c r="W217" s="30" t="str">
        <f>"－"</f>
        <v>－</v>
      </c>
      <c r="X217" s="34">
        <f>13</f>
        <v>13</v>
      </c>
    </row>
    <row r="218" spans="1:24" ht="13.5" customHeight="1" x14ac:dyDescent="0.15">
      <c r="A218" s="25" t="s">
        <v>1102</v>
      </c>
      <c r="B218" s="25" t="s">
        <v>1092</v>
      </c>
      <c r="C218" s="25" t="s">
        <v>1093</v>
      </c>
      <c r="D218" s="25" t="s">
        <v>1094</v>
      </c>
      <c r="E218" s="26" t="s">
        <v>45</v>
      </c>
      <c r="F218" s="27" t="s">
        <v>45</v>
      </c>
      <c r="G218" s="28" t="s">
        <v>45</v>
      </c>
      <c r="H218" s="29"/>
      <c r="I218" s="29" t="s">
        <v>46</v>
      </c>
      <c r="J218" s="30">
        <v>1</v>
      </c>
      <c r="K218" s="31">
        <f>10910</f>
        <v>10910</v>
      </c>
      <c r="L218" s="32" t="s">
        <v>995</v>
      </c>
      <c r="M218" s="31">
        <f>11915</f>
        <v>11915</v>
      </c>
      <c r="N218" s="32" t="s">
        <v>893</v>
      </c>
      <c r="O218" s="31">
        <f>10900</f>
        <v>10900</v>
      </c>
      <c r="P218" s="32" t="s">
        <v>995</v>
      </c>
      <c r="Q218" s="31">
        <f>11900</f>
        <v>11900</v>
      </c>
      <c r="R218" s="32" t="s">
        <v>893</v>
      </c>
      <c r="S218" s="33">
        <f>11438.41</f>
        <v>11438.41</v>
      </c>
      <c r="T218" s="30">
        <f>26899</f>
        <v>26899</v>
      </c>
      <c r="U218" s="30" t="str">
        <f>"－"</f>
        <v>－</v>
      </c>
      <c r="V218" s="30">
        <f>310516900</f>
        <v>310516900</v>
      </c>
      <c r="W218" s="30" t="str">
        <f>"－"</f>
        <v>－</v>
      </c>
      <c r="X218" s="34">
        <f>22</f>
        <v>22</v>
      </c>
    </row>
    <row r="219" spans="1:24" ht="13.5" customHeight="1" x14ac:dyDescent="0.15">
      <c r="A219" s="25" t="s">
        <v>1102</v>
      </c>
      <c r="B219" s="25" t="s">
        <v>1096</v>
      </c>
      <c r="C219" s="25" t="s">
        <v>1097</v>
      </c>
      <c r="D219" s="25" t="s">
        <v>1098</v>
      </c>
      <c r="E219" s="26" t="s">
        <v>45</v>
      </c>
      <c r="F219" s="27" t="s">
        <v>45</v>
      </c>
      <c r="G219" s="28" t="s">
        <v>45</v>
      </c>
      <c r="H219" s="29"/>
      <c r="I219" s="29" t="s">
        <v>46</v>
      </c>
      <c r="J219" s="30">
        <v>1</v>
      </c>
      <c r="K219" s="31">
        <f>35000</f>
        <v>35000</v>
      </c>
      <c r="L219" s="32" t="s">
        <v>995</v>
      </c>
      <c r="M219" s="31">
        <f>36840</f>
        <v>36840</v>
      </c>
      <c r="N219" s="32" t="s">
        <v>876</v>
      </c>
      <c r="O219" s="31">
        <f>35000</f>
        <v>35000</v>
      </c>
      <c r="P219" s="32" t="s">
        <v>995</v>
      </c>
      <c r="Q219" s="31">
        <f>36630</f>
        <v>36630</v>
      </c>
      <c r="R219" s="32" t="s">
        <v>893</v>
      </c>
      <c r="S219" s="33">
        <f>36258.46</f>
        <v>36258.46</v>
      </c>
      <c r="T219" s="30">
        <f>182</f>
        <v>182</v>
      </c>
      <c r="U219" s="30" t="str">
        <f>"－"</f>
        <v>－</v>
      </c>
      <c r="V219" s="30">
        <f>6634460</f>
        <v>6634460</v>
      </c>
      <c r="W219" s="30" t="str">
        <f>"－"</f>
        <v>－</v>
      </c>
      <c r="X219" s="34">
        <f>13</f>
        <v>13</v>
      </c>
    </row>
    <row r="220" spans="1:24" ht="13.5" customHeight="1" x14ac:dyDescent="0.15">
      <c r="A220" s="25" t="s">
        <v>1102</v>
      </c>
      <c r="B220" s="25" t="s">
        <v>1099</v>
      </c>
      <c r="C220" s="25" t="s">
        <v>1100</v>
      </c>
      <c r="D220" s="25" t="s">
        <v>1101</v>
      </c>
      <c r="E220" s="26" t="s">
        <v>45</v>
      </c>
      <c r="F220" s="27" t="s">
        <v>45</v>
      </c>
      <c r="G220" s="28" t="s">
        <v>45</v>
      </c>
      <c r="H220" s="29"/>
      <c r="I220" s="29" t="s">
        <v>46</v>
      </c>
      <c r="J220" s="30">
        <v>1</v>
      </c>
      <c r="K220" s="31">
        <f>32050</f>
        <v>32050</v>
      </c>
      <c r="L220" s="32" t="s">
        <v>995</v>
      </c>
      <c r="M220" s="31">
        <f>32200</f>
        <v>32200</v>
      </c>
      <c r="N220" s="32" t="s">
        <v>995</v>
      </c>
      <c r="O220" s="31">
        <f>28770</f>
        <v>28770</v>
      </c>
      <c r="P220" s="32" t="s">
        <v>876</v>
      </c>
      <c r="Q220" s="31">
        <f>29045</f>
        <v>29045</v>
      </c>
      <c r="R220" s="32" t="s">
        <v>893</v>
      </c>
      <c r="S220" s="33">
        <f>29936.59</f>
        <v>29936.59</v>
      </c>
      <c r="T220" s="30">
        <f>8314</f>
        <v>8314</v>
      </c>
      <c r="U220" s="30" t="str">
        <f>"－"</f>
        <v>－</v>
      </c>
      <c r="V220" s="30">
        <f>247171160</f>
        <v>247171160</v>
      </c>
      <c r="W220" s="30" t="str">
        <f>"－"</f>
        <v>－</v>
      </c>
      <c r="X220" s="34">
        <f>22</f>
        <v>22</v>
      </c>
    </row>
    <row r="221" spans="1:24" ht="13.5" customHeight="1" x14ac:dyDescent="0.15">
      <c r="A221" s="25" t="s">
        <v>1102</v>
      </c>
      <c r="B221" s="25" t="s">
        <v>1104</v>
      </c>
      <c r="C221" s="25" t="s">
        <v>1105</v>
      </c>
      <c r="D221" s="25" t="s">
        <v>1106</v>
      </c>
      <c r="E221" s="26" t="s">
        <v>782</v>
      </c>
      <c r="F221" s="27" t="s">
        <v>783</v>
      </c>
      <c r="G221" s="28" t="s">
        <v>1107</v>
      </c>
      <c r="H221" s="29"/>
      <c r="I221" s="29" t="s">
        <v>46</v>
      </c>
      <c r="J221" s="30">
        <v>10</v>
      </c>
      <c r="K221" s="31">
        <f>201.9</f>
        <v>201.9</v>
      </c>
      <c r="L221" s="32" t="s">
        <v>1000</v>
      </c>
      <c r="M221" s="31">
        <f>211.5</f>
        <v>211.5</v>
      </c>
      <c r="N221" s="32" t="s">
        <v>1005</v>
      </c>
      <c r="O221" s="31">
        <f>194.7</f>
        <v>194.7</v>
      </c>
      <c r="P221" s="32" t="s">
        <v>1000</v>
      </c>
      <c r="Q221" s="31">
        <f>206.5</f>
        <v>206.5</v>
      </c>
      <c r="R221" s="32" t="s">
        <v>893</v>
      </c>
      <c r="S221" s="33">
        <f>203.12</f>
        <v>203.12</v>
      </c>
      <c r="T221" s="30">
        <f>1215470</f>
        <v>1215470</v>
      </c>
      <c r="U221" s="30">
        <f>1000000</f>
        <v>1000000</v>
      </c>
      <c r="V221" s="30">
        <f>242294205</f>
        <v>242294205</v>
      </c>
      <c r="W221" s="30">
        <f>198640000</f>
        <v>198640000</v>
      </c>
      <c r="X221" s="34">
        <f>17</f>
        <v>17</v>
      </c>
    </row>
    <row r="222" spans="1:24" ht="13.5" customHeight="1" x14ac:dyDescent="0.15">
      <c r="A222" s="25" t="s">
        <v>1102</v>
      </c>
      <c r="B222" s="25" t="s">
        <v>1108</v>
      </c>
      <c r="C222" s="25" t="s">
        <v>1109</v>
      </c>
      <c r="D222" s="25" t="s">
        <v>1110</v>
      </c>
      <c r="E222" s="26" t="s">
        <v>782</v>
      </c>
      <c r="F222" s="27" t="s">
        <v>783</v>
      </c>
      <c r="G222" s="28" t="s">
        <v>1111</v>
      </c>
      <c r="H222" s="29"/>
      <c r="I222" s="29" t="s">
        <v>46</v>
      </c>
      <c r="J222" s="30">
        <v>10</v>
      </c>
      <c r="K222" s="31">
        <f>753</f>
        <v>753</v>
      </c>
      <c r="L222" s="32" t="s">
        <v>894</v>
      </c>
      <c r="M222" s="31">
        <f>753</f>
        <v>753</v>
      </c>
      <c r="N222" s="32" t="s">
        <v>894</v>
      </c>
      <c r="O222" s="31">
        <f>745</f>
        <v>745</v>
      </c>
      <c r="P222" s="32" t="s">
        <v>255</v>
      </c>
      <c r="Q222" s="31">
        <f>750.9</f>
        <v>750.9</v>
      </c>
      <c r="R222" s="32" t="s">
        <v>893</v>
      </c>
      <c r="S222" s="33">
        <f>748.7</f>
        <v>748.7</v>
      </c>
      <c r="T222" s="30">
        <f>9910</f>
        <v>9910</v>
      </c>
      <c r="U222" s="30" t="str">
        <f>"－"</f>
        <v>－</v>
      </c>
      <c r="V222" s="30">
        <f>7410589</f>
        <v>7410589</v>
      </c>
      <c r="W222" s="30" t="str">
        <f>"－"</f>
        <v>－</v>
      </c>
      <c r="X222" s="34">
        <f>5</f>
        <v>5</v>
      </c>
    </row>
    <row r="223" spans="1:24" ht="13.5" customHeight="1" x14ac:dyDescent="0.15">
      <c r="A223" s="25" t="s">
        <v>1102</v>
      </c>
      <c r="B223" s="25" t="s">
        <v>643</v>
      </c>
      <c r="C223" s="25" t="s">
        <v>644</v>
      </c>
      <c r="D223" s="25" t="s">
        <v>645</v>
      </c>
      <c r="E223" s="26" t="s">
        <v>45</v>
      </c>
      <c r="F223" s="27" t="s">
        <v>45</v>
      </c>
      <c r="G223" s="28" t="s">
        <v>45</v>
      </c>
      <c r="H223" s="29"/>
      <c r="I223" s="29" t="s">
        <v>46</v>
      </c>
      <c r="J223" s="30">
        <v>10</v>
      </c>
      <c r="K223" s="31">
        <f>956.3</f>
        <v>956.3</v>
      </c>
      <c r="L223" s="32" t="s">
        <v>995</v>
      </c>
      <c r="M223" s="31">
        <f>973</f>
        <v>973</v>
      </c>
      <c r="N223" s="32" t="s">
        <v>80</v>
      </c>
      <c r="O223" s="31">
        <f>953.1</f>
        <v>953.1</v>
      </c>
      <c r="P223" s="32" t="s">
        <v>995</v>
      </c>
      <c r="Q223" s="31">
        <f>958.6</f>
        <v>958.6</v>
      </c>
      <c r="R223" s="32" t="s">
        <v>893</v>
      </c>
      <c r="S223" s="33">
        <f>957.06</f>
        <v>957.06</v>
      </c>
      <c r="T223" s="30">
        <f>3306750</f>
        <v>3306750</v>
      </c>
      <c r="U223" s="30">
        <f>2142320</f>
        <v>2142320</v>
      </c>
      <c r="V223" s="30">
        <f>3163232702</f>
        <v>3163232702</v>
      </c>
      <c r="W223" s="30">
        <f>2047284393</f>
        <v>2047284393</v>
      </c>
      <c r="X223" s="34">
        <f>22</f>
        <v>22</v>
      </c>
    </row>
    <row r="224" spans="1:24" ht="13.5" customHeight="1" x14ac:dyDescent="0.15">
      <c r="A224" s="25" t="s">
        <v>1102</v>
      </c>
      <c r="B224" s="25" t="s">
        <v>646</v>
      </c>
      <c r="C224" s="25" t="s">
        <v>647</v>
      </c>
      <c r="D224" s="25" t="s">
        <v>648</v>
      </c>
      <c r="E224" s="26" t="s">
        <v>45</v>
      </c>
      <c r="F224" s="27" t="s">
        <v>45</v>
      </c>
      <c r="G224" s="28" t="s">
        <v>45</v>
      </c>
      <c r="H224" s="29"/>
      <c r="I224" s="29" t="s">
        <v>46</v>
      </c>
      <c r="J224" s="30">
        <v>10</v>
      </c>
      <c r="K224" s="31">
        <f>1002.5</f>
        <v>1002.5</v>
      </c>
      <c r="L224" s="32" t="s">
        <v>995</v>
      </c>
      <c r="M224" s="31">
        <f>1048.5</f>
        <v>1048.5</v>
      </c>
      <c r="N224" s="32" t="s">
        <v>1017</v>
      </c>
      <c r="O224" s="31">
        <f>998.2</f>
        <v>998.2</v>
      </c>
      <c r="P224" s="32" t="s">
        <v>1000</v>
      </c>
      <c r="Q224" s="31">
        <f>1041</f>
        <v>1041</v>
      </c>
      <c r="R224" s="32" t="s">
        <v>893</v>
      </c>
      <c r="S224" s="33">
        <f>1019.67</f>
        <v>1019.67</v>
      </c>
      <c r="T224" s="30">
        <f>805350</f>
        <v>805350</v>
      </c>
      <c r="U224" s="30">
        <f>131430</f>
        <v>131430</v>
      </c>
      <c r="V224" s="30">
        <f>820274074</f>
        <v>820274074</v>
      </c>
      <c r="W224" s="30">
        <f>134578068</f>
        <v>134578068</v>
      </c>
      <c r="X224" s="34">
        <f>22</f>
        <v>22</v>
      </c>
    </row>
    <row r="225" spans="1:24" ht="13.5" customHeight="1" x14ac:dyDescent="0.15">
      <c r="A225" s="25" t="s">
        <v>1102</v>
      </c>
      <c r="B225" s="25" t="s">
        <v>649</v>
      </c>
      <c r="C225" s="25" t="s">
        <v>650</v>
      </c>
      <c r="D225" s="25" t="s">
        <v>651</v>
      </c>
      <c r="E225" s="26" t="s">
        <v>45</v>
      </c>
      <c r="F225" s="27" t="s">
        <v>45</v>
      </c>
      <c r="G225" s="28" t="s">
        <v>45</v>
      </c>
      <c r="H225" s="29"/>
      <c r="I225" s="29" t="s">
        <v>46</v>
      </c>
      <c r="J225" s="30">
        <v>10</v>
      </c>
      <c r="K225" s="31">
        <f>823.5</f>
        <v>823.5</v>
      </c>
      <c r="L225" s="32" t="s">
        <v>995</v>
      </c>
      <c r="M225" s="31">
        <f>839.9</f>
        <v>839.9</v>
      </c>
      <c r="N225" s="32" t="s">
        <v>790</v>
      </c>
      <c r="O225" s="31">
        <f>815.6</f>
        <v>815.6</v>
      </c>
      <c r="P225" s="32" t="s">
        <v>1002</v>
      </c>
      <c r="Q225" s="31">
        <f>817.2</f>
        <v>817.2</v>
      </c>
      <c r="R225" s="32" t="s">
        <v>893</v>
      </c>
      <c r="S225" s="33">
        <f>821.82</f>
        <v>821.82</v>
      </c>
      <c r="T225" s="30">
        <f>3809310</f>
        <v>3809310</v>
      </c>
      <c r="U225" s="30">
        <f>3161690</f>
        <v>3161690</v>
      </c>
      <c r="V225" s="30">
        <f>3115849826</f>
        <v>3115849826</v>
      </c>
      <c r="W225" s="30">
        <f>2583971874</f>
        <v>2583971874</v>
      </c>
      <c r="X225" s="34">
        <f>22</f>
        <v>22</v>
      </c>
    </row>
    <row r="226" spans="1:24" ht="13.5" customHeight="1" x14ac:dyDescent="0.15">
      <c r="A226" s="25" t="s">
        <v>1102</v>
      </c>
      <c r="B226" s="25" t="s">
        <v>652</v>
      </c>
      <c r="C226" s="25" t="s">
        <v>653</v>
      </c>
      <c r="D226" s="25" t="s">
        <v>654</v>
      </c>
      <c r="E226" s="26" t="s">
        <v>45</v>
      </c>
      <c r="F226" s="27" t="s">
        <v>45</v>
      </c>
      <c r="G226" s="28" t="s">
        <v>45</v>
      </c>
      <c r="H226" s="29"/>
      <c r="I226" s="29" t="s">
        <v>46</v>
      </c>
      <c r="J226" s="30">
        <v>10</v>
      </c>
      <c r="K226" s="31">
        <f>1784</f>
        <v>1784</v>
      </c>
      <c r="L226" s="32" t="s">
        <v>995</v>
      </c>
      <c r="M226" s="31">
        <f>1947.5</f>
        <v>1947.5</v>
      </c>
      <c r="N226" s="32" t="s">
        <v>893</v>
      </c>
      <c r="O226" s="31">
        <f>1782</f>
        <v>1782</v>
      </c>
      <c r="P226" s="32" t="s">
        <v>995</v>
      </c>
      <c r="Q226" s="31">
        <f>1945</f>
        <v>1945</v>
      </c>
      <c r="R226" s="32" t="s">
        <v>893</v>
      </c>
      <c r="S226" s="33">
        <f>1875.89</f>
        <v>1875.89</v>
      </c>
      <c r="T226" s="30">
        <f>1207910</f>
        <v>1207910</v>
      </c>
      <c r="U226" s="30">
        <f>850210</f>
        <v>850210</v>
      </c>
      <c r="V226" s="30">
        <f>2314804969</f>
        <v>2314804969</v>
      </c>
      <c r="W226" s="30">
        <f>1643699264</f>
        <v>1643699264</v>
      </c>
      <c r="X226" s="34">
        <f>22</f>
        <v>22</v>
      </c>
    </row>
    <row r="227" spans="1:24" ht="13.5" customHeight="1" x14ac:dyDescent="0.15">
      <c r="A227" s="25" t="s">
        <v>1102</v>
      </c>
      <c r="B227" s="25" t="s">
        <v>655</v>
      </c>
      <c r="C227" s="25" t="s">
        <v>656</v>
      </c>
      <c r="D227" s="25" t="s">
        <v>657</v>
      </c>
      <c r="E227" s="26" t="s">
        <v>45</v>
      </c>
      <c r="F227" s="27" t="s">
        <v>45</v>
      </c>
      <c r="G227" s="28" t="s">
        <v>45</v>
      </c>
      <c r="H227" s="29"/>
      <c r="I227" s="29" t="s">
        <v>46</v>
      </c>
      <c r="J227" s="30">
        <v>10</v>
      </c>
      <c r="K227" s="31">
        <f>1352.5</f>
        <v>1352.5</v>
      </c>
      <c r="L227" s="32" t="s">
        <v>995</v>
      </c>
      <c r="M227" s="31">
        <f>1450</f>
        <v>1450</v>
      </c>
      <c r="N227" s="32" t="s">
        <v>1001</v>
      </c>
      <c r="O227" s="31">
        <f>1352</f>
        <v>1352</v>
      </c>
      <c r="P227" s="32" t="s">
        <v>995</v>
      </c>
      <c r="Q227" s="31">
        <f>1407.5</f>
        <v>1407.5</v>
      </c>
      <c r="R227" s="32" t="s">
        <v>893</v>
      </c>
      <c r="S227" s="33">
        <f>1393.11</f>
        <v>1393.11</v>
      </c>
      <c r="T227" s="30">
        <f>152870</f>
        <v>152870</v>
      </c>
      <c r="U227" s="30">
        <f>12370</f>
        <v>12370</v>
      </c>
      <c r="V227" s="30">
        <f>213116744</f>
        <v>213116744</v>
      </c>
      <c r="W227" s="30">
        <f>17415324</f>
        <v>17415324</v>
      </c>
      <c r="X227" s="34">
        <f>22</f>
        <v>22</v>
      </c>
    </row>
    <row r="228" spans="1:24" ht="13.5" customHeight="1" x14ac:dyDescent="0.15">
      <c r="A228" s="25" t="s">
        <v>1102</v>
      </c>
      <c r="B228" s="25" t="s">
        <v>658</v>
      </c>
      <c r="C228" s="25" t="s">
        <v>659</v>
      </c>
      <c r="D228" s="25" t="s">
        <v>660</v>
      </c>
      <c r="E228" s="26" t="s">
        <v>45</v>
      </c>
      <c r="F228" s="27" t="s">
        <v>45</v>
      </c>
      <c r="G228" s="28" t="s">
        <v>45</v>
      </c>
      <c r="H228" s="29"/>
      <c r="I228" s="29" t="s">
        <v>46</v>
      </c>
      <c r="J228" s="30">
        <v>10</v>
      </c>
      <c r="K228" s="31">
        <f>1157.5</f>
        <v>1157.5</v>
      </c>
      <c r="L228" s="32" t="s">
        <v>995</v>
      </c>
      <c r="M228" s="31">
        <f>1230</f>
        <v>1230</v>
      </c>
      <c r="N228" s="32" t="s">
        <v>893</v>
      </c>
      <c r="O228" s="31">
        <f>1156.5</f>
        <v>1156.5</v>
      </c>
      <c r="P228" s="32" t="s">
        <v>999</v>
      </c>
      <c r="Q228" s="31">
        <f>1226.5</f>
        <v>1226.5</v>
      </c>
      <c r="R228" s="32" t="s">
        <v>893</v>
      </c>
      <c r="S228" s="33">
        <f>1196.36</f>
        <v>1196.3599999999999</v>
      </c>
      <c r="T228" s="30">
        <f>736400</f>
        <v>736400</v>
      </c>
      <c r="U228" s="30">
        <f>201250</f>
        <v>201250</v>
      </c>
      <c r="V228" s="30">
        <f>888069128</f>
        <v>888069128</v>
      </c>
      <c r="W228" s="30">
        <f>246080988</f>
        <v>246080988</v>
      </c>
      <c r="X228" s="34">
        <f>22</f>
        <v>22</v>
      </c>
    </row>
    <row r="229" spans="1:24" ht="13.5" customHeight="1" x14ac:dyDescent="0.15">
      <c r="A229" s="25" t="s">
        <v>1102</v>
      </c>
      <c r="B229" s="25" t="s">
        <v>661</v>
      </c>
      <c r="C229" s="25" t="s">
        <v>662</v>
      </c>
      <c r="D229" s="25" t="s">
        <v>663</v>
      </c>
      <c r="E229" s="26" t="s">
        <v>45</v>
      </c>
      <c r="F229" s="27" t="s">
        <v>45</v>
      </c>
      <c r="G229" s="28" t="s">
        <v>45</v>
      </c>
      <c r="H229" s="29"/>
      <c r="I229" s="29" t="s">
        <v>46</v>
      </c>
      <c r="J229" s="30">
        <v>10</v>
      </c>
      <c r="K229" s="31">
        <f>581.4</f>
        <v>581.4</v>
      </c>
      <c r="L229" s="32" t="s">
        <v>995</v>
      </c>
      <c r="M229" s="31">
        <f>680</f>
        <v>680</v>
      </c>
      <c r="N229" s="32" t="s">
        <v>998</v>
      </c>
      <c r="O229" s="31">
        <f>579.5</f>
        <v>579.5</v>
      </c>
      <c r="P229" s="32" t="s">
        <v>995</v>
      </c>
      <c r="Q229" s="31">
        <f>633.5</f>
        <v>633.5</v>
      </c>
      <c r="R229" s="32" t="s">
        <v>893</v>
      </c>
      <c r="S229" s="33">
        <f>627.09</f>
        <v>627.09</v>
      </c>
      <c r="T229" s="30">
        <f>72814240</f>
        <v>72814240</v>
      </c>
      <c r="U229" s="30">
        <f>635640</f>
        <v>635640</v>
      </c>
      <c r="V229" s="30">
        <f>46269670898</f>
        <v>46269670898</v>
      </c>
      <c r="W229" s="30">
        <f>415740407</f>
        <v>415740407</v>
      </c>
      <c r="X229" s="34">
        <f>22</f>
        <v>22</v>
      </c>
    </row>
    <row r="230" spans="1:24" ht="13.5" customHeight="1" x14ac:dyDescent="0.15">
      <c r="A230" s="25" t="s">
        <v>1102</v>
      </c>
      <c r="B230" s="25" t="s">
        <v>664</v>
      </c>
      <c r="C230" s="25" t="s">
        <v>665</v>
      </c>
      <c r="D230" s="25" t="s">
        <v>666</v>
      </c>
      <c r="E230" s="26" t="s">
        <v>45</v>
      </c>
      <c r="F230" s="27" t="s">
        <v>45</v>
      </c>
      <c r="G230" s="28" t="s">
        <v>45</v>
      </c>
      <c r="H230" s="29"/>
      <c r="I230" s="29" t="s">
        <v>46</v>
      </c>
      <c r="J230" s="30">
        <v>10</v>
      </c>
      <c r="K230" s="31">
        <f>1140</f>
        <v>1140</v>
      </c>
      <c r="L230" s="32" t="s">
        <v>995</v>
      </c>
      <c r="M230" s="31">
        <f>1140</f>
        <v>1140</v>
      </c>
      <c r="N230" s="32" t="s">
        <v>995</v>
      </c>
      <c r="O230" s="31">
        <f>1104.5</f>
        <v>1104.5</v>
      </c>
      <c r="P230" s="32" t="s">
        <v>786</v>
      </c>
      <c r="Q230" s="31">
        <f>1122.5</f>
        <v>1122.5</v>
      </c>
      <c r="R230" s="32" t="s">
        <v>893</v>
      </c>
      <c r="S230" s="33">
        <f>1117.57</f>
        <v>1117.57</v>
      </c>
      <c r="T230" s="30">
        <f>23770</f>
        <v>23770</v>
      </c>
      <c r="U230" s="30" t="str">
        <f>"－"</f>
        <v>－</v>
      </c>
      <c r="V230" s="30">
        <f>26582525</f>
        <v>26582525</v>
      </c>
      <c r="W230" s="30" t="str">
        <f>"－"</f>
        <v>－</v>
      </c>
      <c r="X230" s="34">
        <f>22</f>
        <v>22</v>
      </c>
    </row>
    <row r="231" spans="1:24" ht="13.5" customHeight="1" x14ac:dyDescent="0.15">
      <c r="A231" s="25" t="s">
        <v>1102</v>
      </c>
      <c r="B231" s="25" t="s">
        <v>667</v>
      </c>
      <c r="C231" s="25" t="s">
        <v>668</v>
      </c>
      <c r="D231" s="25" t="s">
        <v>669</v>
      </c>
      <c r="E231" s="26" t="s">
        <v>45</v>
      </c>
      <c r="F231" s="27" t="s">
        <v>45</v>
      </c>
      <c r="G231" s="28" t="s">
        <v>45</v>
      </c>
      <c r="H231" s="29"/>
      <c r="I231" s="29" t="s">
        <v>46</v>
      </c>
      <c r="J231" s="30">
        <v>1</v>
      </c>
      <c r="K231" s="31">
        <f>1169</f>
        <v>1169</v>
      </c>
      <c r="L231" s="32" t="s">
        <v>995</v>
      </c>
      <c r="M231" s="31">
        <f>1277</f>
        <v>1277</v>
      </c>
      <c r="N231" s="32" t="s">
        <v>1002</v>
      </c>
      <c r="O231" s="31">
        <f>1169</f>
        <v>1169</v>
      </c>
      <c r="P231" s="32" t="s">
        <v>995</v>
      </c>
      <c r="Q231" s="31">
        <f>1257</f>
        <v>1257</v>
      </c>
      <c r="R231" s="32" t="s">
        <v>893</v>
      </c>
      <c r="S231" s="33">
        <f>1244.27</f>
        <v>1244.27</v>
      </c>
      <c r="T231" s="30">
        <f>219082</f>
        <v>219082</v>
      </c>
      <c r="U231" s="30">
        <f>41002</f>
        <v>41002</v>
      </c>
      <c r="V231" s="30">
        <f>273669925</f>
        <v>273669925</v>
      </c>
      <c r="W231" s="30">
        <f>50936805</f>
        <v>50936805</v>
      </c>
      <c r="X231" s="34">
        <f>22</f>
        <v>22</v>
      </c>
    </row>
    <row r="232" spans="1:24" ht="13.5" customHeight="1" x14ac:dyDescent="0.15">
      <c r="A232" s="25" t="s">
        <v>1102</v>
      </c>
      <c r="B232" s="25" t="s">
        <v>670</v>
      </c>
      <c r="C232" s="25" t="s">
        <v>671</v>
      </c>
      <c r="D232" s="25" t="s">
        <v>672</v>
      </c>
      <c r="E232" s="26" t="s">
        <v>45</v>
      </c>
      <c r="F232" s="27" t="s">
        <v>45</v>
      </c>
      <c r="G232" s="28" t="s">
        <v>45</v>
      </c>
      <c r="H232" s="29"/>
      <c r="I232" s="29" t="s">
        <v>46</v>
      </c>
      <c r="J232" s="30">
        <v>10</v>
      </c>
      <c r="K232" s="31">
        <f>916.6</f>
        <v>916.6</v>
      </c>
      <c r="L232" s="32" t="s">
        <v>995</v>
      </c>
      <c r="M232" s="31">
        <f>967.1</f>
        <v>967.1</v>
      </c>
      <c r="N232" s="32" t="s">
        <v>997</v>
      </c>
      <c r="O232" s="31">
        <f>910</f>
        <v>910</v>
      </c>
      <c r="P232" s="32" t="s">
        <v>999</v>
      </c>
      <c r="Q232" s="31">
        <f>964.8</f>
        <v>964.8</v>
      </c>
      <c r="R232" s="32" t="s">
        <v>893</v>
      </c>
      <c r="S232" s="33">
        <f>940.61</f>
        <v>940.61</v>
      </c>
      <c r="T232" s="30">
        <f>200540</f>
        <v>200540</v>
      </c>
      <c r="U232" s="30">
        <f>93950</f>
        <v>93950</v>
      </c>
      <c r="V232" s="30">
        <f>190135587</f>
        <v>190135587</v>
      </c>
      <c r="W232" s="30">
        <f>90549010</f>
        <v>90549010</v>
      </c>
      <c r="X232" s="34">
        <f>22</f>
        <v>22</v>
      </c>
    </row>
    <row r="233" spans="1:24" ht="13.5" customHeight="1" x14ac:dyDescent="0.15">
      <c r="A233" s="25" t="s">
        <v>1102</v>
      </c>
      <c r="B233" s="25" t="s">
        <v>673</v>
      </c>
      <c r="C233" s="25" t="s">
        <v>674</v>
      </c>
      <c r="D233" s="25" t="s">
        <v>675</v>
      </c>
      <c r="E233" s="26" t="s">
        <v>45</v>
      </c>
      <c r="F233" s="27" t="s">
        <v>45</v>
      </c>
      <c r="G233" s="28" t="s">
        <v>45</v>
      </c>
      <c r="H233" s="29"/>
      <c r="I233" s="29" t="s">
        <v>46</v>
      </c>
      <c r="J233" s="30">
        <v>10</v>
      </c>
      <c r="K233" s="31">
        <f>1158.5</f>
        <v>1158.5</v>
      </c>
      <c r="L233" s="32" t="s">
        <v>995</v>
      </c>
      <c r="M233" s="31">
        <f>1289</f>
        <v>1289</v>
      </c>
      <c r="N233" s="32" t="s">
        <v>790</v>
      </c>
      <c r="O233" s="31">
        <f>1158.5</f>
        <v>1158.5</v>
      </c>
      <c r="P233" s="32" t="s">
        <v>995</v>
      </c>
      <c r="Q233" s="31">
        <f>1258.5</f>
        <v>1258.5</v>
      </c>
      <c r="R233" s="32" t="s">
        <v>893</v>
      </c>
      <c r="S233" s="33">
        <f>1238.02</f>
        <v>1238.02</v>
      </c>
      <c r="T233" s="30">
        <f>156100</f>
        <v>156100</v>
      </c>
      <c r="U233" s="30">
        <f>69270</f>
        <v>69270</v>
      </c>
      <c r="V233" s="30">
        <f>194641135</f>
        <v>194641135</v>
      </c>
      <c r="W233" s="30">
        <f>86726040</f>
        <v>86726040</v>
      </c>
      <c r="X233" s="34">
        <f>22</f>
        <v>22</v>
      </c>
    </row>
    <row r="234" spans="1:24" ht="13.5" customHeight="1" x14ac:dyDescent="0.15">
      <c r="A234" s="25" t="s">
        <v>1102</v>
      </c>
      <c r="B234" s="25" t="s">
        <v>676</v>
      </c>
      <c r="C234" s="25" t="s">
        <v>677</v>
      </c>
      <c r="D234" s="25" t="s">
        <v>678</v>
      </c>
      <c r="E234" s="26" t="s">
        <v>45</v>
      </c>
      <c r="F234" s="27" t="s">
        <v>45</v>
      </c>
      <c r="G234" s="28" t="s">
        <v>45</v>
      </c>
      <c r="H234" s="29"/>
      <c r="I234" s="29" t="s">
        <v>46</v>
      </c>
      <c r="J234" s="30">
        <v>10</v>
      </c>
      <c r="K234" s="31">
        <f>1382.5</f>
        <v>1382.5</v>
      </c>
      <c r="L234" s="32" t="s">
        <v>995</v>
      </c>
      <c r="M234" s="31">
        <f>1457.5</f>
        <v>1457.5</v>
      </c>
      <c r="N234" s="32" t="s">
        <v>876</v>
      </c>
      <c r="O234" s="31">
        <f>1376.5</f>
        <v>1376.5</v>
      </c>
      <c r="P234" s="32" t="s">
        <v>995</v>
      </c>
      <c r="Q234" s="31">
        <f>1449</f>
        <v>1449</v>
      </c>
      <c r="R234" s="32" t="s">
        <v>893</v>
      </c>
      <c r="S234" s="33">
        <f>1427.39</f>
        <v>1427.39</v>
      </c>
      <c r="T234" s="30">
        <f>13260440</f>
        <v>13260440</v>
      </c>
      <c r="U234" s="30">
        <f>10191100</f>
        <v>10191100</v>
      </c>
      <c r="V234" s="30">
        <f>18833167428</f>
        <v>18833167428</v>
      </c>
      <c r="W234" s="30">
        <f>14443661293</f>
        <v>14443661293</v>
      </c>
      <c r="X234" s="34">
        <f>22</f>
        <v>22</v>
      </c>
    </row>
    <row r="235" spans="1:24" ht="13.5" customHeight="1" x14ac:dyDescent="0.15">
      <c r="A235" s="25" t="s">
        <v>1102</v>
      </c>
      <c r="B235" s="25" t="s">
        <v>679</v>
      </c>
      <c r="C235" s="25" t="s">
        <v>680</v>
      </c>
      <c r="D235" s="25" t="s">
        <v>681</v>
      </c>
      <c r="E235" s="26" t="s">
        <v>45</v>
      </c>
      <c r="F235" s="27" t="s">
        <v>45</v>
      </c>
      <c r="G235" s="28" t="s">
        <v>45</v>
      </c>
      <c r="H235" s="29"/>
      <c r="I235" s="29" t="s">
        <v>46</v>
      </c>
      <c r="J235" s="30">
        <v>1</v>
      </c>
      <c r="K235" s="31">
        <f>4180</f>
        <v>4180</v>
      </c>
      <c r="L235" s="32" t="s">
        <v>995</v>
      </c>
      <c r="M235" s="31">
        <f>4535</f>
        <v>4535</v>
      </c>
      <c r="N235" s="32" t="s">
        <v>790</v>
      </c>
      <c r="O235" s="31">
        <f>4180</f>
        <v>4180</v>
      </c>
      <c r="P235" s="32" t="s">
        <v>995</v>
      </c>
      <c r="Q235" s="31">
        <f>4530</f>
        <v>4530</v>
      </c>
      <c r="R235" s="32" t="s">
        <v>893</v>
      </c>
      <c r="S235" s="33">
        <f>4397.95</f>
        <v>4397.95</v>
      </c>
      <c r="T235" s="30">
        <f>40551</f>
        <v>40551</v>
      </c>
      <c r="U235" s="30" t="str">
        <f>"－"</f>
        <v>－</v>
      </c>
      <c r="V235" s="30">
        <f>178089015</f>
        <v>178089015</v>
      </c>
      <c r="W235" s="30" t="str">
        <f>"－"</f>
        <v>－</v>
      </c>
      <c r="X235" s="34">
        <f>22</f>
        <v>22</v>
      </c>
    </row>
    <row r="236" spans="1:24" ht="13.5" customHeight="1" x14ac:dyDescent="0.15">
      <c r="A236" s="25" t="s">
        <v>1102</v>
      </c>
      <c r="B236" s="25" t="s">
        <v>682</v>
      </c>
      <c r="C236" s="25" t="s">
        <v>683</v>
      </c>
      <c r="D236" s="25" t="s">
        <v>684</v>
      </c>
      <c r="E236" s="26" t="s">
        <v>45</v>
      </c>
      <c r="F236" s="27" t="s">
        <v>45</v>
      </c>
      <c r="G236" s="28" t="s">
        <v>45</v>
      </c>
      <c r="H236" s="29"/>
      <c r="I236" s="29" t="s">
        <v>46</v>
      </c>
      <c r="J236" s="30">
        <v>10</v>
      </c>
      <c r="K236" s="31">
        <f>1840</f>
        <v>1840</v>
      </c>
      <c r="L236" s="32" t="s">
        <v>999</v>
      </c>
      <c r="M236" s="31">
        <f>1890</f>
        <v>1890</v>
      </c>
      <c r="N236" s="32" t="s">
        <v>1001</v>
      </c>
      <c r="O236" s="31">
        <f>1800.5</f>
        <v>1800.5</v>
      </c>
      <c r="P236" s="32" t="s">
        <v>784</v>
      </c>
      <c r="Q236" s="31">
        <f>1890</f>
        <v>1890</v>
      </c>
      <c r="R236" s="32" t="s">
        <v>1001</v>
      </c>
      <c r="S236" s="33">
        <f>1845.69</f>
        <v>1845.69</v>
      </c>
      <c r="T236" s="30">
        <f>510</f>
        <v>510</v>
      </c>
      <c r="U236" s="30" t="str">
        <f>"－"</f>
        <v>－</v>
      </c>
      <c r="V236" s="30">
        <f>941740</f>
        <v>941740</v>
      </c>
      <c r="W236" s="30" t="str">
        <f>"－"</f>
        <v>－</v>
      </c>
      <c r="X236" s="34">
        <f>8</f>
        <v>8</v>
      </c>
    </row>
    <row r="237" spans="1:24" ht="13.5" customHeight="1" x14ac:dyDescent="0.15">
      <c r="A237" s="25" t="s">
        <v>1102</v>
      </c>
      <c r="B237" s="25" t="s">
        <v>685</v>
      </c>
      <c r="C237" s="25" t="s">
        <v>686</v>
      </c>
      <c r="D237" s="25" t="s">
        <v>687</v>
      </c>
      <c r="E237" s="26" t="s">
        <v>45</v>
      </c>
      <c r="F237" s="27" t="s">
        <v>45</v>
      </c>
      <c r="G237" s="28" t="s">
        <v>45</v>
      </c>
      <c r="H237" s="29"/>
      <c r="I237" s="29" t="s">
        <v>46</v>
      </c>
      <c r="J237" s="30">
        <v>10</v>
      </c>
      <c r="K237" s="31">
        <f>2189</f>
        <v>2189</v>
      </c>
      <c r="L237" s="32" t="s">
        <v>995</v>
      </c>
      <c r="M237" s="31">
        <f>2377.5</f>
        <v>2377.5</v>
      </c>
      <c r="N237" s="32" t="s">
        <v>1017</v>
      </c>
      <c r="O237" s="31">
        <f>2189</f>
        <v>2189</v>
      </c>
      <c r="P237" s="32" t="s">
        <v>995</v>
      </c>
      <c r="Q237" s="31">
        <f>2355.5</f>
        <v>2355.5</v>
      </c>
      <c r="R237" s="32" t="s">
        <v>893</v>
      </c>
      <c r="S237" s="33">
        <f>2317.67</f>
        <v>2317.67</v>
      </c>
      <c r="T237" s="30">
        <f>554610</f>
        <v>554610</v>
      </c>
      <c r="U237" s="30" t="str">
        <f>"－"</f>
        <v>－</v>
      </c>
      <c r="V237" s="30">
        <f>1281785300</f>
        <v>1281785300</v>
      </c>
      <c r="W237" s="30" t="str">
        <f>"－"</f>
        <v>－</v>
      </c>
      <c r="X237" s="34">
        <f>21</f>
        <v>21</v>
      </c>
    </row>
    <row r="238" spans="1:24" ht="13.5" customHeight="1" x14ac:dyDescent="0.15">
      <c r="A238" s="25" t="s">
        <v>1102</v>
      </c>
      <c r="B238" s="25" t="s">
        <v>688</v>
      </c>
      <c r="C238" s="25" t="s">
        <v>689</v>
      </c>
      <c r="D238" s="25" t="s">
        <v>690</v>
      </c>
      <c r="E238" s="26" t="s">
        <v>45</v>
      </c>
      <c r="F238" s="27" t="s">
        <v>45</v>
      </c>
      <c r="G238" s="28" t="s">
        <v>45</v>
      </c>
      <c r="H238" s="29"/>
      <c r="I238" s="29" t="s">
        <v>46</v>
      </c>
      <c r="J238" s="30">
        <v>1</v>
      </c>
      <c r="K238" s="31">
        <f>31410</f>
        <v>31410</v>
      </c>
      <c r="L238" s="32" t="s">
        <v>995</v>
      </c>
      <c r="M238" s="31">
        <f>34420</f>
        <v>34420</v>
      </c>
      <c r="N238" s="32" t="s">
        <v>790</v>
      </c>
      <c r="O238" s="31">
        <f>31410</f>
        <v>31410</v>
      </c>
      <c r="P238" s="32" t="s">
        <v>995</v>
      </c>
      <c r="Q238" s="31">
        <f>33840</f>
        <v>33840</v>
      </c>
      <c r="R238" s="32" t="s">
        <v>893</v>
      </c>
      <c r="S238" s="33">
        <f>33332.73</f>
        <v>33332.730000000003</v>
      </c>
      <c r="T238" s="30">
        <f>103329</f>
        <v>103329</v>
      </c>
      <c r="U238" s="30">
        <f>64800</f>
        <v>64800</v>
      </c>
      <c r="V238" s="30">
        <f>3434454500</f>
        <v>3434454500</v>
      </c>
      <c r="W238" s="30">
        <f>2142095160</f>
        <v>2142095160</v>
      </c>
      <c r="X238" s="34">
        <f>22</f>
        <v>22</v>
      </c>
    </row>
    <row r="239" spans="1:24" ht="13.5" customHeight="1" x14ac:dyDescent="0.15">
      <c r="A239" s="25" t="s">
        <v>1102</v>
      </c>
      <c r="B239" s="25" t="s">
        <v>691</v>
      </c>
      <c r="C239" s="25" t="s">
        <v>692</v>
      </c>
      <c r="D239" s="25" t="s">
        <v>693</v>
      </c>
      <c r="E239" s="26" t="s">
        <v>45</v>
      </c>
      <c r="F239" s="27" t="s">
        <v>45</v>
      </c>
      <c r="G239" s="28" t="s">
        <v>45</v>
      </c>
      <c r="H239" s="29"/>
      <c r="I239" s="29" t="s">
        <v>46</v>
      </c>
      <c r="J239" s="30">
        <v>1</v>
      </c>
      <c r="K239" s="31">
        <f>20955</f>
        <v>20955</v>
      </c>
      <c r="L239" s="32" t="s">
        <v>56</v>
      </c>
      <c r="M239" s="31">
        <f>21460</f>
        <v>21460</v>
      </c>
      <c r="N239" s="32" t="s">
        <v>1001</v>
      </c>
      <c r="O239" s="31">
        <f>20955</f>
        <v>20955</v>
      </c>
      <c r="P239" s="32" t="s">
        <v>56</v>
      </c>
      <c r="Q239" s="31">
        <f>21150</f>
        <v>21150</v>
      </c>
      <c r="R239" s="32" t="s">
        <v>893</v>
      </c>
      <c r="S239" s="33">
        <f>21248.57</f>
        <v>21248.57</v>
      </c>
      <c r="T239" s="30">
        <f>921</f>
        <v>921</v>
      </c>
      <c r="U239" s="30" t="str">
        <f>"－"</f>
        <v>－</v>
      </c>
      <c r="V239" s="30">
        <f>19586535</f>
        <v>19586535</v>
      </c>
      <c r="W239" s="30" t="str">
        <f>"－"</f>
        <v>－</v>
      </c>
      <c r="X239" s="34">
        <f>7</f>
        <v>7</v>
      </c>
    </row>
    <row r="240" spans="1:24" ht="13.5" customHeight="1" x14ac:dyDescent="0.15">
      <c r="A240" s="25" t="s">
        <v>1102</v>
      </c>
      <c r="B240" s="25" t="s">
        <v>694</v>
      </c>
      <c r="C240" s="25" t="s">
        <v>695</v>
      </c>
      <c r="D240" s="25" t="s">
        <v>696</v>
      </c>
      <c r="E240" s="26" t="s">
        <v>45</v>
      </c>
      <c r="F240" s="27" t="s">
        <v>45</v>
      </c>
      <c r="G240" s="28" t="s">
        <v>45</v>
      </c>
      <c r="H240" s="29"/>
      <c r="I240" s="29" t="s">
        <v>46</v>
      </c>
      <c r="J240" s="30">
        <v>10</v>
      </c>
      <c r="K240" s="31">
        <f>1130</f>
        <v>1130</v>
      </c>
      <c r="L240" s="32" t="s">
        <v>995</v>
      </c>
      <c r="M240" s="31">
        <f>1141</f>
        <v>1141</v>
      </c>
      <c r="N240" s="32" t="s">
        <v>1004</v>
      </c>
      <c r="O240" s="31">
        <f>1122</f>
        <v>1122</v>
      </c>
      <c r="P240" s="32" t="s">
        <v>786</v>
      </c>
      <c r="Q240" s="31">
        <f>1132</f>
        <v>1132</v>
      </c>
      <c r="R240" s="32" t="s">
        <v>893</v>
      </c>
      <c r="S240" s="33">
        <f>1132.46</f>
        <v>1132.46</v>
      </c>
      <c r="T240" s="30">
        <f>3749800</f>
        <v>3749800</v>
      </c>
      <c r="U240" s="30">
        <f>3670830</f>
        <v>3670830</v>
      </c>
      <c r="V240" s="30">
        <f>4244508142</f>
        <v>4244508142</v>
      </c>
      <c r="W240" s="30">
        <f>4155093337</f>
        <v>4155093337</v>
      </c>
      <c r="X240" s="34">
        <f>13</f>
        <v>13</v>
      </c>
    </row>
    <row r="241" spans="1:24" ht="13.5" customHeight="1" x14ac:dyDescent="0.15">
      <c r="A241" s="25" t="s">
        <v>1102</v>
      </c>
      <c r="B241" s="25" t="s">
        <v>697</v>
      </c>
      <c r="C241" s="25" t="s">
        <v>1085</v>
      </c>
      <c r="D241" s="25" t="s">
        <v>1086</v>
      </c>
      <c r="E241" s="26" t="s">
        <v>45</v>
      </c>
      <c r="F241" s="27" t="s">
        <v>45</v>
      </c>
      <c r="G241" s="28" t="s">
        <v>45</v>
      </c>
      <c r="H241" s="29"/>
      <c r="I241" s="29" t="s">
        <v>46</v>
      </c>
      <c r="J241" s="30">
        <v>10</v>
      </c>
      <c r="K241" s="31">
        <f>1113.5</f>
        <v>1113.5</v>
      </c>
      <c r="L241" s="32" t="s">
        <v>995</v>
      </c>
      <c r="M241" s="31">
        <f>1126</f>
        <v>1126</v>
      </c>
      <c r="N241" s="32" t="s">
        <v>784</v>
      </c>
      <c r="O241" s="31">
        <f>1101</f>
        <v>1101</v>
      </c>
      <c r="P241" s="32" t="s">
        <v>786</v>
      </c>
      <c r="Q241" s="31">
        <f>1111</f>
        <v>1111</v>
      </c>
      <c r="R241" s="32" t="s">
        <v>893</v>
      </c>
      <c r="S241" s="33">
        <f>1114.53</f>
        <v>1114.53</v>
      </c>
      <c r="T241" s="30">
        <f>7020</f>
        <v>7020</v>
      </c>
      <c r="U241" s="30" t="str">
        <f>"－"</f>
        <v>－</v>
      </c>
      <c r="V241" s="30">
        <f>7836045</f>
        <v>7836045</v>
      </c>
      <c r="W241" s="30" t="str">
        <f>"－"</f>
        <v>－</v>
      </c>
      <c r="X241" s="34">
        <f>20</f>
        <v>20</v>
      </c>
    </row>
    <row r="242" spans="1:24" ht="13.5" customHeight="1" x14ac:dyDescent="0.15">
      <c r="A242" s="25" t="s">
        <v>1102</v>
      </c>
      <c r="B242" s="25" t="s">
        <v>700</v>
      </c>
      <c r="C242" s="25" t="s">
        <v>701</v>
      </c>
      <c r="D242" s="25" t="s">
        <v>702</v>
      </c>
      <c r="E242" s="26" t="s">
        <v>45</v>
      </c>
      <c r="F242" s="27" t="s">
        <v>45</v>
      </c>
      <c r="G242" s="28" t="s">
        <v>45</v>
      </c>
      <c r="H242" s="29"/>
      <c r="I242" s="29" t="s">
        <v>46</v>
      </c>
      <c r="J242" s="30">
        <v>1</v>
      </c>
      <c r="K242" s="31">
        <f>1321</f>
        <v>1321</v>
      </c>
      <c r="L242" s="32" t="s">
        <v>995</v>
      </c>
      <c r="M242" s="31">
        <f>1450</f>
        <v>1450</v>
      </c>
      <c r="N242" s="32" t="s">
        <v>1017</v>
      </c>
      <c r="O242" s="31">
        <f>1321</f>
        <v>1321</v>
      </c>
      <c r="P242" s="32" t="s">
        <v>995</v>
      </c>
      <c r="Q242" s="31">
        <f>1438</f>
        <v>1438</v>
      </c>
      <c r="R242" s="32" t="s">
        <v>893</v>
      </c>
      <c r="S242" s="33">
        <f>1401.68</f>
        <v>1401.68</v>
      </c>
      <c r="T242" s="30">
        <f>386906</f>
        <v>386906</v>
      </c>
      <c r="U242" s="30">
        <f>50000</f>
        <v>50000</v>
      </c>
      <c r="V242" s="30">
        <f>543961324</f>
        <v>543961324</v>
      </c>
      <c r="W242" s="30">
        <f>68750000</f>
        <v>68750000</v>
      </c>
      <c r="X242" s="34">
        <f>22</f>
        <v>22</v>
      </c>
    </row>
    <row r="243" spans="1:24" ht="13.5" customHeight="1" x14ac:dyDescent="0.15">
      <c r="A243" s="25" t="s">
        <v>1102</v>
      </c>
      <c r="B243" s="25" t="s">
        <v>703</v>
      </c>
      <c r="C243" s="25" t="s">
        <v>704</v>
      </c>
      <c r="D243" s="25" t="s">
        <v>705</v>
      </c>
      <c r="E243" s="26" t="s">
        <v>45</v>
      </c>
      <c r="F243" s="27" t="s">
        <v>45</v>
      </c>
      <c r="G243" s="28" t="s">
        <v>45</v>
      </c>
      <c r="H243" s="29"/>
      <c r="I243" s="29" t="s">
        <v>46</v>
      </c>
      <c r="J243" s="30">
        <v>1</v>
      </c>
      <c r="K243" s="31">
        <f>12900</f>
        <v>12900</v>
      </c>
      <c r="L243" s="32" t="s">
        <v>995</v>
      </c>
      <c r="M243" s="31">
        <f>13675</f>
        <v>13675</v>
      </c>
      <c r="N243" s="32" t="s">
        <v>790</v>
      </c>
      <c r="O243" s="31">
        <f>12530</f>
        <v>12530</v>
      </c>
      <c r="P243" s="32" t="s">
        <v>995</v>
      </c>
      <c r="Q243" s="31">
        <f>13050</f>
        <v>13050</v>
      </c>
      <c r="R243" s="32" t="s">
        <v>893</v>
      </c>
      <c r="S243" s="33">
        <f>12950.48</f>
        <v>12950.48</v>
      </c>
      <c r="T243" s="30">
        <f>726</f>
        <v>726</v>
      </c>
      <c r="U243" s="30" t="str">
        <f>"－"</f>
        <v>－</v>
      </c>
      <c r="V243" s="30">
        <f>9404895</f>
        <v>9404895</v>
      </c>
      <c r="W243" s="30" t="str">
        <f>"－"</f>
        <v>－</v>
      </c>
      <c r="X243" s="34">
        <f>21</f>
        <v>21</v>
      </c>
    </row>
    <row r="244" spans="1:24" ht="13.5" customHeight="1" x14ac:dyDescent="0.15">
      <c r="A244" s="25" t="s">
        <v>1102</v>
      </c>
      <c r="B244" s="25" t="s">
        <v>706</v>
      </c>
      <c r="C244" s="25" t="s">
        <v>707</v>
      </c>
      <c r="D244" s="25" t="s">
        <v>708</v>
      </c>
      <c r="E244" s="26" t="s">
        <v>45</v>
      </c>
      <c r="F244" s="27" t="s">
        <v>45</v>
      </c>
      <c r="G244" s="28" t="s">
        <v>45</v>
      </c>
      <c r="H244" s="29"/>
      <c r="I244" s="29" t="s">
        <v>46</v>
      </c>
      <c r="J244" s="30">
        <v>1</v>
      </c>
      <c r="K244" s="31">
        <f>2012</f>
        <v>2012</v>
      </c>
      <c r="L244" s="32" t="s">
        <v>995</v>
      </c>
      <c r="M244" s="31">
        <f>2012</f>
        <v>2012</v>
      </c>
      <c r="N244" s="32" t="s">
        <v>995</v>
      </c>
      <c r="O244" s="31">
        <f>1964</f>
        <v>1964</v>
      </c>
      <c r="P244" s="32" t="s">
        <v>786</v>
      </c>
      <c r="Q244" s="31">
        <f>1996</f>
        <v>1996</v>
      </c>
      <c r="R244" s="32" t="s">
        <v>893</v>
      </c>
      <c r="S244" s="33">
        <f>1991.05</f>
        <v>1991.05</v>
      </c>
      <c r="T244" s="30">
        <f>82538</f>
        <v>82538</v>
      </c>
      <c r="U244" s="30">
        <f>4</f>
        <v>4</v>
      </c>
      <c r="V244" s="30">
        <f>164203224</f>
        <v>164203224</v>
      </c>
      <c r="W244" s="30">
        <f>7396</f>
        <v>7396</v>
      </c>
      <c r="X244" s="34">
        <f>22</f>
        <v>22</v>
      </c>
    </row>
    <row r="245" spans="1:24" ht="13.5" customHeight="1" x14ac:dyDescent="0.15">
      <c r="A245" s="25" t="s">
        <v>1102</v>
      </c>
      <c r="B245" s="25" t="s">
        <v>709</v>
      </c>
      <c r="C245" s="25" t="s">
        <v>710</v>
      </c>
      <c r="D245" s="25" t="s">
        <v>711</v>
      </c>
      <c r="E245" s="26" t="s">
        <v>45</v>
      </c>
      <c r="F245" s="27" t="s">
        <v>45</v>
      </c>
      <c r="G245" s="28" t="s">
        <v>45</v>
      </c>
      <c r="H245" s="29"/>
      <c r="I245" s="29" t="s">
        <v>46</v>
      </c>
      <c r="J245" s="30">
        <v>10</v>
      </c>
      <c r="K245" s="31">
        <f>1635</f>
        <v>1635</v>
      </c>
      <c r="L245" s="32" t="s">
        <v>999</v>
      </c>
      <c r="M245" s="31">
        <f>1668</f>
        <v>1668</v>
      </c>
      <c r="N245" s="32" t="s">
        <v>876</v>
      </c>
      <c r="O245" s="31">
        <f>1575</f>
        <v>1575</v>
      </c>
      <c r="P245" s="32" t="s">
        <v>1003</v>
      </c>
      <c r="Q245" s="31">
        <f>1600</f>
        <v>1600</v>
      </c>
      <c r="R245" s="32" t="s">
        <v>997</v>
      </c>
      <c r="S245" s="33">
        <f>1613.67</f>
        <v>1613.67</v>
      </c>
      <c r="T245" s="30">
        <f>2750</f>
        <v>2750</v>
      </c>
      <c r="U245" s="30" t="str">
        <f>"－"</f>
        <v>－</v>
      </c>
      <c r="V245" s="30">
        <f>4375740</f>
        <v>4375740</v>
      </c>
      <c r="W245" s="30" t="str">
        <f>"－"</f>
        <v>－</v>
      </c>
      <c r="X245" s="34">
        <f>12</f>
        <v>12</v>
      </c>
    </row>
    <row r="246" spans="1:24" ht="13.5" customHeight="1" x14ac:dyDescent="0.15">
      <c r="A246" s="25" t="s">
        <v>1102</v>
      </c>
      <c r="B246" s="25" t="s">
        <v>712</v>
      </c>
      <c r="C246" s="25" t="s">
        <v>795</v>
      </c>
      <c r="D246" s="25" t="s">
        <v>796</v>
      </c>
      <c r="E246" s="26" t="s">
        <v>45</v>
      </c>
      <c r="F246" s="27" t="s">
        <v>45</v>
      </c>
      <c r="G246" s="28" t="s">
        <v>45</v>
      </c>
      <c r="H246" s="29"/>
      <c r="I246" s="29" t="s">
        <v>46</v>
      </c>
      <c r="J246" s="30">
        <v>10</v>
      </c>
      <c r="K246" s="31">
        <f>840.4</f>
        <v>840.4</v>
      </c>
      <c r="L246" s="32" t="s">
        <v>995</v>
      </c>
      <c r="M246" s="31">
        <f>858</f>
        <v>858</v>
      </c>
      <c r="N246" s="32" t="s">
        <v>790</v>
      </c>
      <c r="O246" s="31">
        <f>825</f>
        <v>825</v>
      </c>
      <c r="P246" s="32" t="s">
        <v>80</v>
      </c>
      <c r="Q246" s="31">
        <f>826.1</f>
        <v>826.1</v>
      </c>
      <c r="R246" s="32" t="s">
        <v>893</v>
      </c>
      <c r="S246" s="33">
        <f>830.23</f>
        <v>830.23</v>
      </c>
      <c r="T246" s="30">
        <f>1692550</f>
        <v>1692550</v>
      </c>
      <c r="U246" s="30">
        <f>726330</f>
        <v>726330</v>
      </c>
      <c r="V246" s="30">
        <f>1402535764</f>
        <v>1402535764</v>
      </c>
      <c r="W246" s="30">
        <f>599658048</f>
        <v>599658048</v>
      </c>
      <c r="X246" s="34">
        <f>22</f>
        <v>22</v>
      </c>
    </row>
    <row r="247" spans="1:24" ht="13.5" customHeight="1" x14ac:dyDescent="0.15">
      <c r="A247" s="25" t="s">
        <v>1102</v>
      </c>
      <c r="B247" s="25" t="s">
        <v>713</v>
      </c>
      <c r="C247" s="25" t="s">
        <v>714</v>
      </c>
      <c r="D247" s="25" t="s">
        <v>715</v>
      </c>
      <c r="E247" s="26" t="s">
        <v>45</v>
      </c>
      <c r="F247" s="27" t="s">
        <v>45</v>
      </c>
      <c r="G247" s="28" t="s">
        <v>45</v>
      </c>
      <c r="H247" s="29"/>
      <c r="I247" s="29" t="s">
        <v>46</v>
      </c>
      <c r="J247" s="30">
        <v>10</v>
      </c>
      <c r="K247" s="31">
        <f>1915.5</f>
        <v>1915.5</v>
      </c>
      <c r="L247" s="32" t="s">
        <v>995</v>
      </c>
      <c r="M247" s="31">
        <f>1927.5</f>
        <v>1927.5</v>
      </c>
      <c r="N247" s="32" t="s">
        <v>997</v>
      </c>
      <c r="O247" s="31">
        <f>1887</f>
        <v>1887</v>
      </c>
      <c r="P247" s="32" t="s">
        <v>786</v>
      </c>
      <c r="Q247" s="31">
        <f>1918</f>
        <v>1918</v>
      </c>
      <c r="R247" s="32" t="s">
        <v>893</v>
      </c>
      <c r="S247" s="33">
        <f>1910.57</f>
        <v>1910.57</v>
      </c>
      <c r="T247" s="30">
        <f>8110</f>
        <v>8110</v>
      </c>
      <c r="U247" s="30" t="str">
        <f>"－"</f>
        <v>－</v>
      </c>
      <c r="V247" s="30">
        <f>15487405</f>
        <v>15487405</v>
      </c>
      <c r="W247" s="30" t="str">
        <f>"－"</f>
        <v>－</v>
      </c>
      <c r="X247" s="34">
        <f>22</f>
        <v>22</v>
      </c>
    </row>
    <row r="248" spans="1:24" ht="13.5" customHeight="1" x14ac:dyDescent="0.15">
      <c r="A248" s="25" t="s">
        <v>1102</v>
      </c>
      <c r="B248" s="25" t="s">
        <v>716</v>
      </c>
      <c r="C248" s="25" t="s">
        <v>717</v>
      </c>
      <c r="D248" s="25" t="s">
        <v>718</v>
      </c>
      <c r="E248" s="26" t="s">
        <v>45</v>
      </c>
      <c r="F248" s="27" t="s">
        <v>45</v>
      </c>
      <c r="G248" s="28" t="s">
        <v>45</v>
      </c>
      <c r="H248" s="29"/>
      <c r="I248" s="29" t="s">
        <v>46</v>
      </c>
      <c r="J248" s="30">
        <v>10</v>
      </c>
      <c r="K248" s="31">
        <f>1919.5</f>
        <v>1919.5</v>
      </c>
      <c r="L248" s="32" t="s">
        <v>995</v>
      </c>
      <c r="M248" s="31">
        <f>1934</f>
        <v>1934</v>
      </c>
      <c r="N248" s="32" t="s">
        <v>999</v>
      </c>
      <c r="O248" s="31">
        <f>1881.5</f>
        <v>1881.5</v>
      </c>
      <c r="P248" s="32" t="s">
        <v>786</v>
      </c>
      <c r="Q248" s="31">
        <f>1913.5</f>
        <v>1913.5</v>
      </c>
      <c r="R248" s="32" t="s">
        <v>893</v>
      </c>
      <c r="S248" s="33">
        <f>1905.84</f>
        <v>1905.84</v>
      </c>
      <c r="T248" s="30">
        <f>11079400</f>
        <v>11079400</v>
      </c>
      <c r="U248" s="30">
        <f>4133300</f>
        <v>4133300</v>
      </c>
      <c r="V248" s="30">
        <f>21126438095</f>
        <v>21126438095</v>
      </c>
      <c r="W248" s="30">
        <f>7863474335</f>
        <v>7863474335</v>
      </c>
      <c r="X248" s="34">
        <f>22</f>
        <v>22</v>
      </c>
    </row>
    <row r="249" spans="1:24" ht="13.5" customHeight="1" x14ac:dyDescent="0.15">
      <c r="A249" s="25" t="s">
        <v>1102</v>
      </c>
      <c r="B249" s="25" t="s">
        <v>719</v>
      </c>
      <c r="C249" s="25" t="s">
        <v>720</v>
      </c>
      <c r="D249" s="25" t="s">
        <v>721</v>
      </c>
      <c r="E249" s="26" t="s">
        <v>45</v>
      </c>
      <c r="F249" s="27" t="s">
        <v>45</v>
      </c>
      <c r="G249" s="28" t="s">
        <v>45</v>
      </c>
      <c r="H249" s="29"/>
      <c r="I249" s="29" t="s">
        <v>46</v>
      </c>
      <c r="J249" s="30">
        <v>10</v>
      </c>
      <c r="K249" s="31">
        <f>2155</f>
        <v>2155</v>
      </c>
      <c r="L249" s="32" t="s">
        <v>995</v>
      </c>
      <c r="M249" s="31">
        <f>2332.5</f>
        <v>2332.5</v>
      </c>
      <c r="N249" s="32" t="s">
        <v>1017</v>
      </c>
      <c r="O249" s="31">
        <f>2153</f>
        <v>2153</v>
      </c>
      <c r="P249" s="32" t="s">
        <v>995</v>
      </c>
      <c r="Q249" s="31">
        <f>2312.5</f>
        <v>2312.5</v>
      </c>
      <c r="R249" s="32" t="s">
        <v>893</v>
      </c>
      <c r="S249" s="33">
        <f>2274.48</f>
        <v>2274.48</v>
      </c>
      <c r="T249" s="30">
        <f>995380</f>
        <v>995380</v>
      </c>
      <c r="U249" s="30">
        <f>100000</f>
        <v>100000</v>
      </c>
      <c r="V249" s="30">
        <f>2238763860</f>
        <v>2238763860</v>
      </c>
      <c r="W249" s="30">
        <f>221345000</f>
        <v>221345000</v>
      </c>
      <c r="X249" s="34">
        <f>22</f>
        <v>22</v>
      </c>
    </row>
    <row r="250" spans="1:24" ht="13.5" customHeight="1" x14ac:dyDescent="0.15">
      <c r="A250" s="25" t="s">
        <v>1102</v>
      </c>
      <c r="B250" s="25" t="s">
        <v>722</v>
      </c>
      <c r="C250" s="25" t="s">
        <v>723</v>
      </c>
      <c r="D250" s="25" t="s">
        <v>724</v>
      </c>
      <c r="E250" s="26" t="s">
        <v>45</v>
      </c>
      <c r="F250" s="27" t="s">
        <v>45</v>
      </c>
      <c r="G250" s="28" t="s">
        <v>45</v>
      </c>
      <c r="H250" s="29"/>
      <c r="I250" s="29" t="s">
        <v>46</v>
      </c>
      <c r="J250" s="30">
        <v>1</v>
      </c>
      <c r="K250" s="31">
        <f>16830</f>
        <v>16830</v>
      </c>
      <c r="L250" s="32" t="s">
        <v>995</v>
      </c>
      <c r="M250" s="31">
        <f>18325</f>
        <v>18325</v>
      </c>
      <c r="N250" s="32" t="s">
        <v>893</v>
      </c>
      <c r="O250" s="31">
        <f>16815</f>
        <v>16815</v>
      </c>
      <c r="P250" s="32" t="s">
        <v>995</v>
      </c>
      <c r="Q250" s="31">
        <f>18285</f>
        <v>18285</v>
      </c>
      <c r="R250" s="32" t="s">
        <v>893</v>
      </c>
      <c r="S250" s="33">
        <f>17601.14</f>
        <v>17601.14</v>
      </c>
      <c r="T250" s="30">
        <f>986628</f>
        <v>986628</v>
      </c>
      <c r="U250" s="30">
        <f>223099</f>
        <v>223099</v>
      </c>
      <c r="V250" s="30">
        <f>17424793112</f>
        <v>17424793112</v>
      </c>
      <c r="W250" s="30">
        <f>4001956997</f>
        <v>4001956997</v>
      </c>
      <c r="X250" s="34">
        <f>22</f>
        <v>22</v>
      </c>
    </row>
    <row r="251" spans="1:24" ht="13.5" customHeight="1" x14ac:dyDescent="0.15">
      <c r="A251" s="25" t="s">
        <v>1102</v>
      </c>
      <c r="B251" s="25" t="s">
        <v>725</v>
      </c>
      <c r="C251" s="25" t="s">
        <v>726</v>
      </c>
      <c r="D251" s="25" t="s">
        <v>727</v>
      </c>
      <c r="E251" s="26" t="s">
        <v>45</v>
      </c>
      <c r="F251" s="27" t="s">
        <v>45</v>
      </c>
      <c r="G251" s="28" t="s">
        <v>45</v>
      </c>
      <c r="H251" s="29"/>
      <c r="I251" s="29" t="s">
        <v>46</v>
      </c>
      <c r="J251" s="30">
        <v>1</v>
      </c>
      <c r="K251" s="31">
        <f>14995</f>
        <v>14995</v>
      </c>
      <c r="L251" s="32" t="s">
        <v>995</v>
      </c>
      <c r="M251" s="31">
        <f>16160</f>
        <v>16160</v>
      </c>
      <c r="N251" s="32" t="s">
        <v>893</v>
      </c>
      <c r="O251" s="31">
        <f>14935</f>
        <v>14935</v>
      </c>
      <c r="P251" s="32" t="s">
        <v>995</v>
      </c>
      <c r="Q251" s="31">
        <f>16145</f>
        <v>16145</v>
      </c>
      <c r="R251" s="32" t="s">
        <v>893</v>
      </c>
      <c r="S251" s="33">
        <f>15653.64</f>
        <v>15653.64</v>
      </c>
      <c r="T251" s="30">
        <f>245111</f>
        <v>245111</v>
      </c>
      <c r="U251" s="30">
        <f>129</f>
        <v>129</v>
      </c>
      <c r="V251" s="30">
        <f>3835434223</f>
        <v>3835434223</v>
      </c>
      <c r="W251" s="30">
        <f>2018733</f>
        <v>2018733</v>
      </c>
      <c r="X251" s="34">
        <f>22</f>
        <v>22</v>
      </c>
    </row>
    <row r="252" spans="1:24" ht="13.5" customHeight="1" x14ac:dyDescent="0.15">
      <c r="A252" s="25" t="s">
        <v>1102</v>
      </c>
      <c r="B252" s="25" t="s">
        <v>728</v>
      </c>
      <c r="C252" s="25" t="s">
        <v>729</v>
      </c>
      <c r="D252" s="25" t="s">
        <v>730</v>
      </c>
      <c r="E252" s="26" t="s">
        <v>45</v>
      </c>
      <c r="F252" s="27" t="s">
        <v>45</v>
      </c>
      <c r="G252" s="28" t="s">
        <v>45</v>
      </c>
      <c r="H252" s="29"/>
      <c r="I252" s="29" t="s">
        <v>46</v>
      </c>
      <c r="J252" s="30">
        <v>1</v>
      </c>
      <c r="K252" s="31">
        <f>29495</f>
        <v>29495</v>
      </c>
      <c r="L252" s="32" t="s">
        <v>78</v>
      </c>
      <c r="M252" s="31">
        <f>30770</f>
        <v>30770</v>
      </c>
      <c r="N252" s="32" t="s">
        <v>1002</v>
      </c>
      <c r="O252" s="31">
        <f>29110</f>
        <v>29110</v>
      </c>
      <c r="P252" s="32" t="s">
        <v>1000</v>
      </c>
      <c r="Q252" s="31">
        <f>30360</f>
        <v>30360</v>
      </c>
      <c r="R252" s="32" t="s">
        <v>893</v>
      </c>
      <c r="S252" s="33">
        <f>30134.64</f>
        <v>30134.639999999999</v>
      </c>
      <c r="T252" s="30">
        <f>242</f>
        <v>242</v>
      </c>
      <c r="U252" s="30" t="str">
        <f>"－"</f>
        <v>－</v>
      </c>
      <c r="V252" s="30">
        <f>7353645</f>
        <v>7353645</v>
      </c>
      <c r="W252" s="30" t="str">
        <f>"－"</f>
        <v>－</v>
      </c>
      <c r="X252" s="34">
        <f>14</f>
        <v>14</v>
      </c>
    </row>
    <row r="253" spans="1:24" ht="13.5" customHeight="1" x14ac:dyDescent="0.15">
      <c r="A253" s="25" t="s">
        <v>1102</v>
      </c>
      <c r="B253" s="25" t="s">
        <v>731</v>
      </c>
      <c r="C253" s="25" t="s">
        <v>732</v>
      </c>
      <c r="D253" s="25" t="s">
        <v>733</v>
      </c>
      <c r="E253" s="26" t="s">
        <v>45</v>
      </c>
      <c r="F253" s="27" t="s">
        <v>45</v>
      </c>
      <c r="G253" s="28" t="s">
        <v>45</v>
      </c>
      <c r="H253" s="29"/>
      <c r="I253" s="29" t="s">
        <v>46</v>
      </c>
      <c r="J253" s="30">
        <v>1</v>
      </c>
      <c r="K253" s="31">
        <f>2547</f>
        <v>2547</v>
      </c>
      <c r="L253" s="32" t="s">
        <v>995</v>
      </c>
      <c r="M253" s="31">
        <f>2596</f>
        <v>2596</v>
      </c>
      <c r="N253" s="32" t="s">
        <v>786</v>
      </c>
      <c r="O253" s="31">
        <f>2540</f>
        <v>2540</v>
      </c>
      <c r="P253" s="32" t="s">
        <v>784</v>
      </c>
      <c r="Q253" s="31">
        <f>2568</f>
        <v>2568</v>
      </c>
      <c r="R253" s="32" t="s">
        <v>893</v>
      </c>
      <c r="S253" s="33">
        <f>2561.5</f>
        <v>2561.5</v>
      </c>
      <c r="T253" s="30">
        <f>428461</f>
        <v>428461</v>
      </c>
      <c r="U253" s="30">
        <f>326616</f>
        <v>326616</v>
      </c>
      <c r="V253" s="30">
        <f>1097249508</f>
        <v>1097249508</v>
      </c>
      <c r="W253" s="30">
        <f>835746009</f>
        <v>835746009</v>
      </c>
      <c r="X253" s="34">
        <f>22</f>
        <v>22</v>
      </c>
    </row>
    <row r="254" spans="1:24" ht="13.5" customHeight="1" x14ac:dyDescent="0.15">
      <c r="A254" s="25" t="s">
        <v>1102</v>
      </c>
      <c r="B254" s="25" t="s">
        <v>734</v>
      </c>
      <c r="C254" s="25" t="s">
        <v>735</v>
      </c>
      <c r="D254" s="25" t="s">
        <v>736</v>
      </c>
      <c r="E254" s="26" t="s">
        <v>45</v>
      </c>
      <c r="F254" s="27" t="s">
        <v>45</v>
      </c>
      <c r="G254" s="28" t="s">
        <v>45</v>
      </c>
      <c r="H254" s="29"/>
      <c r="I254" s="29" t="s">
        <v>46</v>
      </c>
      <c r="J254" s="30">
        <v>10</v>
      </c>
      <c r="K254" s="31">
        <f>2701</f>
        <v>2701</v>
      </c>
      <c r="L254" s="32" t="s">
        <v>995</v>
      </c>
      <c r="M254" s="31">
        <f>2825</f>
        <v>2825</v>
      </c>
      <c r="N254" s="32" t="s">
        <v>876</v>
      </c>
      <c r="O254" s="31">
        <f>2698.5</f>
        <v>2698.5</v>
      </c>
      <c r="P254" s="32" t="s">
        <v>995</v>
      </c>
      <c r="Q254" s="31">
        <f>2794</f>
        <v>2794</v>
      </c>
      <c r="R254" s="32" t="s">
        <v>893</v>
      </c>
      <c r="S254" s="33">
        <f>2776.14</f>
        <v>2776.14</v>
      </c>
      <c r="T254" s="30">
        <f>934650</f>
        <v>934650</v>
      </c>
      <c r="U254" s="30">
        <f>138800</f>
        <v>138800</v>
      </c>
      <c r="V254" s="30">
        <f>2589988285</f>
        <v>2589988285</v>
      </c>
      <c r="W254" s="30">
        <f>386328640</f>
        <v>386328640</v>
      </c>
      <c r="X254" s="34">
        <f>22</f>
        <v>22</v>
      </c>
    </row>
    <row r="255" spans="1:24" ht="13.5" customHeight="1" x14ac:dyDescent="0.15">
      <c r="A255" s="25" t="s">
        <v>1102</v>
      </c>
      <c r="B255" s="25" t="s">
        <v>737</v>
      </c>
      <c r="C255" s="25" t="s">
        <v>738</v>
      </c>
      <c r="D255" s="25" t="s">
        <v>739</v>
      </c>
      <c r="E255" s="26" t="s">
        <v>45</v>
      </c>
      <c r="F255" s="27" t="s">
        <v>45</v>
      </c>
      <c r="G255" s="28" t="s">
        <v>45</v>
      </c>
      <c r="H255" s="29"/>
      <c r="I255" s="29" t="s">
        <v>46</v>
      </c>
      <c r="J255" s="30">
        <v>10</v>
      </c>
      <c r="K255" s="31">
        <f>258.2</f>
        <v>258.2</v>
      </c>
      <c r="L255" s="32" t="s">
        <v>995</v>
      </c>
      <c r="M255" s="31">
        <f>272.6</f>
        <v>272.60000000000002</v>
      </c>
      <c r="N255" s="32" t="s">
        <v>876</v>
      </c>
      <c r="O255" s="31">
        <f>257.5</f>
        <v>257.5</v>
      </c>
      <c r="P255" s="32" t="s">
        <v>995</v>
      </c>
      <c r="Q255" s="31">
        <f>271.1</f>
        <v>271.10000000000002</v>
      </c>
      <c r="R255" s="32" t="s">
        <v>893</v>
      </c>
      <c r="S255" s="33">
        <f>267.11</f>
        <v>267.11</v>
      </c>
      <c r="T255" s="30">
        <f>101692790</f>
        <v>101692790</v>
      </c>
      <c r="U255" s="30">
        <f>80072790</f>
        <v>80072790</v>
      </c>
      <c r="V255" s="30">
        <f>27110570993</f>
        <v>27110570993</v>
      </c>
      <c r="W255" s="30">
        <f>21336131006</f>
        <v>21336131006</v>
      </c>
      <c r="X255" s="34">
        <f>22</f>
        <v>22</v>
      </c>
    </row>
    <row r="256" spans="1:24" ht="13.5" customHeight="1" x14ac:dyDescent="0.15">
      <c r="A256" s="25" t="s">
        <v>1102</v>
      </c>
      <c r="B256" s="25" t="s">
        <v>740</v>
      </c>
      <c r="C256" s="25" t="s">
        <v>741</v>
      </c>
      <c r="D256" s="25" t="s">
        <v>742</v>
      </c>
      <c r="E256" s="26" t="s">
        <v>45</v>
      </c>
      <c r="F256" s="27" t="s">
        <v>45</v>
      </c>
      <c r="G256" s="28" t="s">
        <v>45</v>
      </c>
      <c r="H256" s="29"/>
      <c r="I256" s="29" t="s">
        <v>46</v>
      </c>
      <c r="J256" s="30">
        <v>1</v>
      </c>
      <c r="K256" s="31">
        <f>2154</f>
        <v>2154</v>
      </c>
      <c r="L256" s="32" t="s">
        <v>995</v>
      </c>
      <c r="M256" s="31">
        <f>2291</f>
        <v>2291</v>
      </c>
      <c r="N256" s="32" t="s">
        <v>1017</v>
      </c>
      <c r="O256" s="31">
        <f>2150</f>
        <v>2150</v>
      </c>
      <c r="P256" s="32" t="s">
        <v>995</v>
      </c>
      <c r="Q256" s="31">
        <f>2286</f>
        <v>2286</v>
      </c>
      <c r="R256" s="32" t="s">
        <v>893</v>
      </c>
      <c r="S256" s="33">
        <f>2229.68</f>
        <v>2229.6799999999998</v>
      </c>
      <c r="T256" s="30">
        <f>2496730</f>
        <v>2496730</v>
      </c>
      <c r="U256" s="30">
        <f>443958</f>
        <v>443958</v>
      </c>
      <c r="V256" s="30">
        <f>5569878286</f>
        <v>5569878286</v>
      </c>
      <c r="W256" s="30">
        <f>993297215</f>
        <v>993297215</v>
      </c>
      <c r="X256" s="34">
        <f>22</f>
        <v>22</v>
      </c>
    </row>
    <row r="257" spans="1:24" ht="13.5" customHeight="1" x14ac:dyDescent="0.15">
      <c r="A257" s="25" t="s">
        <v>1102</v>
      </c>
      <c r="B257" s="25" t="s">
        <v>743</v>
      </c>
      <c r="C257" s="25" t="s">
        <v>744</v>
      </c>
      <c r="D257" s="25" t="s">
        <v>745</v>
      </c>
      <c r="E257" s="26" t="s">
        <v>45</v>
      </c>
      <c r="F257" s="27" t="s">
        <v>45</v>
      </c>
      <c r="G257" s="28" t="s">
        <v>45</v>
      </c>
      <c r="H257" s="29"/>
      <c r="I257" s="29" t="s">
        <v>46</v>
      </c>
      <c r="J257" s="30">
        <v>1</v>
      </c>
      <c r="K257" s="31">
        <f>1013</f>
        <v>1013</v>
      </c>
      <c r="L257" s="32" t="s">
        <v>995</v>
      </c>
      <c r="M257" s="31">
        <f>1030</f>
        <v>1030</v>
      </c>
      <c r="N257" s="32" t="s">
        <v>787</v>
      </c>
      <c r="O257" s="31">
        <f>963</f>
        <v>963</v>
      </c>
      <c r="P257" s="32" t="s">
        <v>893</v>
      </c>
      <c r="Q257" s="31">
        <f>976</f>
        <v>976</v>
      </c>
      <c r="R257" s="32" t="s">
        <v>893</v>
      </c>
      <c r="S257" s="33">
        <f>1001.23</f>
        <v>1001.23</v>
      </c>
      <c r="T257" s="30">
        <f>988390</f>
        <v>988390</v>
      </c>
      <c r="U257" s="30">
        <f>580000</f>
        <v>580000</v>
      </c>
      <c r="V257" s="30">
        <f>983569196</f>
        <v>983569196</v>
      </c>
      <c r="W257" s="30">
        <f>580419200</f>
        <v>580419200</v>
      </c>
      <c r="X257" s="34">
        <f>22</f>
        <v>22</v>
      </c>
    </row>
    <row r="258" spans="1:24" ht="13.5" customHeight="1" x14ac:dyDescent="0.15">
      <c r="A258" s="25" t="s">
        <v>1102</v>
      </c>
      <c r="B258" s="25" t="s">
        <v>746</v>
      </c>
      <c r="C258" s="25" t="s">
        <v>747</v>
      </c>
      <c r="D258" s="25" t="s">
        <v>748</v>
      </c>
      <c r="E258" s="26" t="s">
        <v>45</v>
      </c>
      <c r="F258" s="27" t="s">
        <v>45</v>
      </c>
      <c r="G258" s="28" t="s">
        <v>45</v>
      </c>
      <c r="H258" s="29"/>
      <c r="I258" s="29" t="s">
        <v>46</v>
      </c>
      <c r="J258" s="30">
        <v>10</v>
      </c>
      <c r="K258" s="31">
        <f>1045.5</f>
        <v>1045.5</v>
      </c>
      <c r="L258" s="32" t="s">
        <v>995</v>
      </c>
      <c r="M258" s="31">
        <f>1059</f>
        <v>1059</v>
      </c>
      <c r="N258" s="32" t="s">
        <v>787</v>
      </c>
      <c r="O258" s="31">
        <f>1035</f>
        <v>1035</v>
      </c>
      <c r="P258" s="32" t="s">
        <v>786</v>
      </c>
      <c r="Q258" s="31">
        <f>1050</f>
        <v>1050</v>
      </c>
      <c r="R258" s="32" t="s">
        <v>893</v>
      </c>
      <c r="S258" s="33">
        <f>1047.89</f>
        <v>1047.8900000000001</v>
      </c>
      <c r="T258" s="30">
        <f>83990</f>
        <v>83990</v>
      </c>
      <c r="U258" s="30" t="str">
        <f>"－"</f>
        <v>－</v>
      </c>
      <c r="V258" s="30">
        <f>88195040</f>
        <v>88195040</v>
      </c>
      <c r="W258" s="30" t="str">
        <f>"－"</f>
        <v>－</v>
      </c>
      <c r="X258" s="34">
        <f>22</f>
        <v>22</v>
      </c>
    </row>
    <row r="259" spans="1:24" ht="13.5" customHeight="1" x14ac:dyDescent="0.15">
      <c r="A259" s="25" t="s">
        <v>1102</v>
      </c>
      <c r="B259" s="25" t="s">
        <v>749</v>
      </c>
      <c r="C259" s="25" t="s">
        <v>750</v>
      </c>
      <c r="D259" s="25" t="s">
        <v>751</v>
      </c>
      <c r="E259" s="26" t="s">
        <v>45</v>
      </c>
      <c r="F259" s="27" t="s">
        <v>45</v>
      </c>
      <c r="G259" s="28" t="s">
        <v>45</v>
      </c>
      <c r="H259" s="29"/>
      <c r="I259" s="29" t="s">
        <v>46</v>
      </c>
      <c r="J259" s="30">
        <v>10</v>
      </c>
      <c r="K259" s="31">
        <f>262.5</f>
        <v>262.5</v>
      </c>
      <c r="L259" s="32" t="s">
        <v>995</v>
      </c>
      <c r="M259" s="31">
        <f>284</f>
        <v>284</v>
      </c>
      <c r="N259" s="32" t="s">
        <v>893</v>
      </c>
      <c r="O259" s="31">
        <f>262.1</f>
        <v>262.10000000000002</v>
      </c>
      <c r="P259" s="32" t="s">
        <v>995</v>
      </c>
      <c r="Q259" s="31">
        <f>283.3</f>
        <v>283.3</v>
      </c>
      <c r="R259" s="32" t="s">
        <v>893</v>
      </c>
      <c r="S259" s="33">
        <f>274.2</f>
        <v>274.2</v>
      </c>
      <c r="T259" s="30">
        <f>16380</f>
        <v>16380</v>
      </c>
      <c r="U259" s="30" t="str">
        <f>"－"</f>
        <v>－</v>
      </c>
      <c r="V259" s="30">
        <f>4482724</f>
        <v>4482724</v>
      </c>
      <c r="W259" s="30" t="str">
        <f>"－"</f>
        <v>－</v>
      </c>
      <c r="X259" s="34">
        <f>22</f>
        <v>22</v>
      </c>
    </row>
    <row r="260" spans="1:24" ht="13.5" customHeight="1" x14ac:dyDescent="0.15">
      <c r="A260" s="25" t="s">
        <v>1102</v>
      </c>
      <c r="B260" s="25" t="s">
        <v>752</v>
      </c>
      <c r="C260" s="25" t="s">
        <v>753</v>
      </c>
      <c r="D260" s="25" t="s">
        <v>754</v>
      </c>
      <c r="E260" s="26" t="s">
        <v>45</v>
      </c>
      <c r="F260" s="27" t="s">
        <v>45</v>
      </c>
      <c r="G260" s="28" t="s">
        <v>45</v>
      </c>
      <c r="H260" s="29"/>
      <c r="I260" s="29" t="s">
        <v>46</v>
      </c>
      <c r="J260" s="30">
        <v>10</v>
      </c>
      <c r="K260" s="31">
        <f>3417</f>
        <v>3417</v>
      </c>
      <c r="L260" s="32" t="s">
        <v>995</v>
      </c>
      <c r="M260" s="31">
        <f>3736</f>
        <v>3736</v>
      </c>
      <c r="N260" s="32" t="s">
        <v>893</v>
      </c>
      <c r="O260" s="31">
        <f>3411</f>
        <v>3411</v>
      </c>
      <c r="P260" s="32" t="s">
        <v>995</v>
      </c>
      <c r="Q260" s="31">
        <f>3731</f>
        <v>3731</v>
      </c>
      <c r="R260" s="32" t="s">
        <v>893</v>
      </c>
      <c r="S260" s="33">
        <f>3593.73</f>
        <v>3593.73</v>
      </c>
      <c r="T260" s="30">
        <f>2530210</f>
        <v>2530210</v>
      </c>
      <c r="U260" s="30">
        <f>8000</f>
        <v>8000</v>
      </c>
      <c r="V260" s="30">
        <f>9181890050</f>
        <v>9181890050</v>
      </c>
      <c r="W260" s="30">
        <f>29832000</f>
        <v>29832000</v>
      </c>
      <c r="X260" s="34">
        <f>22</f>
        <v>22</v>
      </c>
    </row>
    <row r="261" spans="1:24" ht="13.5" customHeight="1" x14ac:dyDescent="0.15">
      <c r="A261" s="25" t="s">
        <v>1102</v>
      </c>
      <c r="B261" s="25" t="s">
        <v>755</v>
      </c>
      <c r="C261" s="25" t="s">
        <v>756</v>
      </c>
      <c r="D261" s="25" t="s">
        <v>757</v>
      </c>
      <c r="E261" s="26" t="s">
        <v>45</v>
      </c>
      <c r="F261" s="27" t="s">
        <v>45</v>
      </c>
      <c r="G261" s="28" t="s">
        <v>45</v>
      </c>
      <c r="H261" s="29"/>
      <c r="I261" s="29" t="s">
        <v>46</v>
      </c>
      <c r="J261" s="30">
        <v>10</v>
      </c>
      <c r="K261" s="31">
        <f>2416</f>
        <v>2416</v>
      </c>
      <c r="L261" s="32" t="s">
        <v>995</v>
      </c>
      <c r="M261" s="31">
        <f>2564</f>
        <v>2564</v>
      </c>
      <c r="N261" s="32" t="s">
        <v>876</v>
      </c>
      <c r="O261" s="31">
        <f>2404</f>
        <v>2404</v>
      </c>
      <c r="P261" s="32" t="s">
        <v>995</v>
      </c>
      <c r="Q261" s="31">
        <f>2527</f>
        <v>2527</v>
      </c>
      <c r="R261" s="32" t="s">
        <v>893</v>
      </c>
      <c r="S261" s="33">
        <f>2496.36</f>
        <v>2496.36</v>
      </c>
      <c r="T261" s="30">
        <f>3185920</f>
        <v>3185920</v>
      </c>
      <c r="U261" s="30">
        <f>1642710</f>
        <v>1642710</v>
      </c>
      <c r="V261" s="30">
        <f>7965654948</f>
        <v>7965654948</v>
      </c>
      <c r="W261" s="30">
        <f>4106381688</f>
        <v>4106381688</v>
      </c>
      <c r="X261" s="34">
        <f>22</f>
        <v>22</v>
      </c>
    </row>
    <row r="262" spans="1:24" ht="13.5" customHeight="1" x14ac:dyDescent="0.15">
      <c r="A262" s="25" t="s">
        <v>1102</v>
      </c>
      <c r="B262" s="25" t="s">
        <v>758</v>
      </c>
      <c r="C262" s="25" t="s">
        <v>759</v>
      </c>
      <c r="D262" s="25" t="s">
        <v>760</v>
      </c>
      <c r="E262" s="26" t="s">
        <v>45</v>
      </c>
      <c r="F262" s="27" t="s">
        <v>45</v>
      </c>
      <c r="G262" s="28" t="s">
        <v>45</v>
      </c>
      <c r="H262" s="29"/>
      <c r="I262" s="29" t="s">
        <v>46</v>
      </c>
      <c r="J262" s="30">
        <v>10</v>
      </c>
      <c r="K262" s="31">
        <f>310.5</f>
        <v>310.5</v>
      </c>
      <c r="L262" s="32" t="s">
        <v>995</v>
      </c>
      <c r="M262" s="31">
        <f>323</f>
        <v>323</v>
      </c>
      <c r="N262" s="32" t="s">
        <v>893</v>
      </c>
      <c r="O262" s="31">
        <f>310.1</f>
        <v>310.10000000000002</v>
      </c>
      <c r="P262" s="32" t="s">
        <v>787</v>
      </c>
      <c r="Q262" s="31">
        <f>322.1</f>
        <v>322.10000000000002</v>
      </c>
      <c r="R262" s="32" t="s">
        <v>893</v>
      </c>
      <c r="S262" s="33">
        <f>315.37</f>
        <v>315.37</v>
      </c>
      <c r="T262" s="30">
        <f>21399240</f>
        <v>21399240</v>
      </c>
      <c r="U262" s="30">
        <f>17300660</f>
        <v>17300660</v>
      </c>
      <c r="V262" s="30">
        <f>6726250199</f>
        <v>6726250199</v>
      </c>
      <c r="W262" s="30">
        <f>5425095978</f>
        <v>5425095978</v>
      </c>
      <c r="X262" s="34">
        <f>22</f>
        <v>22</v>
      </c>
    </row>
    <row r="263" spans="1:24" ht="13.5" customHeight="1" x14ac:dyDescent="0.15">
      <c r="A263" s="25" t="s">
        <v>1102</v>
      </c>
      <c r="B263" s="25" t="s">
        <v>761</v>
      </c>
      <c r="C263" s="25" t="s">
        <v>762</v>
      </c>
      <c r="D263" s="25" t="s">
        <v>763</v>
      </c>
      <c r="E263" s="26" t="s">
        <v>45</v>
      </c>
      <c r="F263" s="27" t="s">
        <v>45</v>
      </c>
      <c r="G263" s="28" t="s">
        <v>45</v>
      </c>
      <c r="H263" s="29"/>
      <c r="I263" s="29" t="s">
        <v>46</v>
      </c>
      <c r="J263" s="30">
        <v>1</v>
      </c>
      <c r="K263" s="31">
        <f>1458</f>
        <v>1458</v>
      </c>
      <c r="L263" s="32" t="s">
        <v>995</v>
      </c>
      <c r="M263" s="31">
        <f>1469</f>
        <v>1469</v>
      </c>
      <c r="N263" s="32" t="s">
        <v>1001</v>
      </c>
      <c r="O263" s="31">
        <f>1432</f>
        <v>1432</v>
      </c>
      <c r="P263" s="32" t="s">
        <v>1000</v>
      </c>
      <c r="Q263" s="31">
        <f>1444</f>
        <v>1444</v>
      </c>
      <c r="R263" s="32" t="s">
        <v>893</v>
      </c>
      <c r="S263" s="33">
        <f>1452.73</f>
        <v>1452.73</v>
      </c>
      <c r="T263" s="30">
        <f>14417867</f>
        <v>14417867</v>
      </c>
      <c r="U263" s="30">
        <f>1095445</f>
        <v>1095445</v>
      </c>
      <c r="V263" s="30">
        <f>20931811685</f>
        <v>20931811685</v>
      </c>
      <c r="W263" s="30">
        <f>1591563876</f>
        <v>1591563876</v>
      </c>
      <c r="X263" s="34">
        <f>22</f>
        <v>22</v>
      </c>
    </row>
    <row r="264" spans="1:24" ht="13.5" customHeight="1" x14ac:dyDescent="0.15">
      <c r="A264" s="25" t="s">
        <v>1102</v>
      </c>
      <c r="B264" s="25" t="s">
        <v>764</v>
      </c>
      <c r="C264" s="25" t="s">
        <v>765</v>
      </c>
      <c r="D264" s="25" t="s">
        <v>766</v>
      </c>
      <c r="E264" s="26" t="s">
        <v>45</v>
      </c>
      <c r="F264" s="27" t="s">
        <v>45</v>
      </c>
      <c r="G264" s="28" t="s">
        <v>45</v>
      </c>
      <c r="H264" s="29"/>
      <c r="I264" s="29" t="s">
        <v>46</v>
      </c>
      <c r="J264" s="30">
        <v>1</v>
      </c>
      <c r="K264" s="31">
        <f>1795</f>
        <v>1795</v>
      </c>
      <c r="L264" s="32" t="s">
        <v>995</v>
      </c>
      <c r="M264" s="31">
        <f>1842</f>
        <v>1842</v>
      </c>
      <c r="N264" s="32" t="s">
        <v>997</v>
      </c>
      <c r="O264" s="31">
        <f>1790</f>
        <v>1790</v>
      </c>
      <c r="P264" s="32" t="s">
        <v>784</v>
      </c>
      <c r="Q264" s="31">
        <f>1817</f>
        <v>1817</v>
      </c>
      <c r="R264" s="32" t="s">
        <v>893</v>
      </c>
      <c r="S264" s="33">
        <f>1810.86</f>
        <v>1810.86</v>
      </c>
      <c r="T264" s="30">
        <f>34127</f>
        <v>34127</v>
      </c>
      <c r="U264" s="30">
        <f>10000</f>
        <v>10000</v>
      </c>
      <c r="V264" s="30">
        <f>61957681</f>
        <v>61957681</v>
      </c>
      <c r="W264" s="30">
        <f>18185500</f>
        <v>18185500</v>
      </c>
      <c r="X264" s="34">
        <f>22</f>
        <v>22</v>
      </c>
    </row>
    <row r="265" spans="1:24" ht="13.5" customHeight="1" x14ac:dyDescent="0.15">
      <c r="A265" s="25" t="s">
        <v>1102</v>
      </c>
      <c r="B265" s="25" t="s">
        <v>767</v>
      </c>
      <c r="C265" s="25" t="s">
        <v>768</v>
      </c>
      <c r="D265" s="25" t="s">
        <v>769</v>
      </c>
      <c r="E265" s="26" t="s">
        <v>45</v>
      </c>
      <c r="F265" s="27" t="s">
        <v>45</v>
      </c>
      <c r="G265" s="28" t="s">
        <v>45</v>
      </c>
      <c r="H265" s="29"/>
      <c r="I265" s="29" t="s">
        <v>46</v>
      </c>
      <c r="J265" s="30">
        <v>1</v>
      </c>
      <c r="K265" s="31">
        <f>2098</f>
        <v>2098</v>
      </c>
      <c r="L265" s="32" t="s">
        <v>995</v>
      </c>
      <c r="M265" s="31">
        <f>2132</f>
        <v>2132</v>
      </c>
      <c r="N265" s="32" t="s">
        <v>80</v>
      </c>
      <c r="O265" s="31">
        <f>2077</f>
        <v>2077</v>
      </c>
      <c r="P265" s="32" t="s">
        <v>893</v>
      </c>
      <c r="Q265" s="31">
        <f>2078</f>
        <v>2078</v>
      </c>
      <c r="R265" s="32" t="s">
        <v>893</v>
      </c>
      <c r="S265" s="33">
        <f>2091.5</f>
        <v>2091.5</v>
      </c>
      <c r="T265" s="30">
        <f>84531</f>
        <v>84531</v>
      </c>
      <c r="U265" s="30">
        <f>82000</f>
        <v>82000</v>
      </c>
      <c r="V265" s="30">
        <f>177286720</f>
        <v>177286720</v>
      </c>
      <c r="W265" s="30">
        <f>171995000</f>
        <v>171995000</v>
      </c>
      <c r="X265" s="34">
        <f>22</f>
        <v>22</v>
      </c>
    </row>
    <row r="266" spans="1:24" ht="13.5" customHeight="1" x14ac:dyDescent="0.15">
      <c r="A266" s="25" t="s">
        <v>1102</v>
      </c>
      <c r="B266" s="25" t="s">
        <v>770</v>
      </c>
      <c r="C266" s="25" t="s">
        <v>771</v>
      </c>
      <c r="D266" s="25" t="s">
        <v>1087</v>
      </c>
      <c r="E266" s="26" t="s">
        <v>45</v>
      </c>
      <c r="F266" s="27" t="s">
        <v>45</v>
      </c>
      <c r="G266" s="28" t="s">
        <v>45</v>
      </c>
      <c r="H266" s="29"/>
      <c r="I266" s="29" t="s">
        <v>46</v>
      </c>
      <c r="J266" s="30">
        <v>1</v>
      </c>
      <c r="K266" s="31">
        <f>3095</f>
        <v>3095</v>
      </c>
      <c r="L266" s="32" t="s">
        <v>995</v>
      </c>
      <c r="M266" s="31">
        <f>3390</f>
        <v>3390</v>
      </c>
      <c r="N266" s="32" t="s">
        <v>876</v>
      </c>
      <c r="O266" s="31">
        <f>3095</f>
        <v>3095</v>
      </c>
      <c r="P266" s="32" t="s">
        <v>995</v>
      </c>
      <c r="Q266" s="31">
        <f>3335</f>
        <v>3335</v>
      </c>
      <c r="R266" s="32" t="s">
        <v>893</v>
      </c>
      <c r="S266" s="33">
        <f>3288.18</f>
        <v>3288.18</v>
      </c>
      <c r="T266" s="30">
        <f>967700</f>
        <v>967700</v>
      </c>
      <c r="U266" s="30">
        <f>305000</f>
        <v>305000</v>
      </c>
      <c r="V266" s="30">
        <f>3214484750</f>
        <v>3214484750</v>
      </c>
      <c r="W266" s="30">
        <f>1021449000</f>
        <v>1021449000</v>
      </c>
      <c r="X266" s="34">
        <f>22</f>
        <v>22</v>
      </c>
    </row>
    <row r="267" spans="1:24" ht="13.5" customHeight="1" x14ac:dyDescent="0.15">
      <c r="A267" s="25" t="s">
        <v>1102</v>
      </c>
      <c r="B267" s="25" t="s">
        <v>773</v>
      </c>
      <c r="C267" s="25" t="s">
        <v>774</v>
      </c>
      <c r="D267" s="25" t="s">
        <v>1088</v>
      </c>
      <c r="E267" s="26" t="s">
        <v>45</v>
      </c>
      <c r="F267" s="27" t="s">
        <v>45</v>
      </c>
      <c r="G267" s="28" t="s">
        <v>45</v>
      </c>
      <c r="H267" s="29"/>
      <c r="I267" s="29" t="s">
        <v>46</v>
      </c>
      <c r="J267" s="30">
        <v>1</v>
      </c>
      <c r="K267" s="31">
        <f>2133</f>
        <v>2133</v>
      </c>
      <c r="L267" s="32" t="s">
        <v>995</v>
      </c>
      <c r="M267" s="31">
        <f>2318</f>
        <v>2318</v>
      </c>
      <c r="N267" s="32" t="s">
        <v>1017</v>
      </c>
      <c r="O267" s="31">
        <f>2133</f>
        <v>2133</v>
      </c>
      <c r="P267" s="32" t="s">
        <v>995</v>
      </c>
      <c r="Q267" s="31">
        <f>2295</f>
        <v>2295</v>
      </c>
      <c r="R267" s="32" t="s">
        <v>893</v>
      </c>
      <c r="S267" s="33">
        <f>2259.59</f>
        <v>2259.59</v>
      </c>
      <c r="T267" s="30">
        <f>373264</f>
        <v>373264</v>
      </c>
      <c r="U267" s="30">
        <f>15000</f>
        <v>15000</v>
      </c>
      <c r="V267" s="30">
        <f>843716261</f>
        <v>843716261</v>
      </c>
      <c r="W267" s="30">
        <f>33781500</f>
        <v>33781500</v>
      </c>
      <c r="X267" s="34">
        <f>22</f>
        <v>22</v>
      </c>
    </row>
    <row r="268" spans="1:24" ht="13.5" customHeight="1" x14ac:dyDescent="0.15">
      <c r="A268" s="25" t="s">
        <v>1102</v>
      </c>
      <c r="B268" s="25" t="s">
        <v>776</v>
      </c>
      <c r="C268" s="25" t="s">
        <v>777</v>
      </c>
      <c r="D268" s="25" t="s">
        <v>778</v>
      </c>
      <c r="E268" s="26" t="s">
        <v>45</v>
      </c>
      <c r="F268" s="27" t="s">
        <v>45</v>
      </c>
      <c r="G268" s="28" t="s">
        <v>45</v>
      </c>
      <c r="H268" s="29"/>
      <c r="I268" s="29" t="s">
        <v>46</v>
      </c>
      <c r="J268" s="30">
        <v>1</v>
      </c>
      <c r="K268" s="31">
        <f>1963</f>
        <v>1963</v>
      </c>
      <c r="L268" s="32" t="s">
        <v>995</v>
      </c>
      <c r="M268" s="31">
        <f>2089</f>
        <v>2089</v>
      </c>
      <c r="N268" s="32" t="s">
        <v>790</v>
      </c>
      <c r="O268" s="31">
        <f>1963</f>
        <v>1963</v>
      </c>
      <c r="P268" s="32" t="s">
        <v>995</v>
      </c>
      <c r="Q268" s="31">
        <f>2036</f>
        <v>2036</v>
      </c>
      <c r="R268" s="32" t="s">
        <v>893</v>
      </c>
      <c r="S268" s="33">
        <f>2044.09</f>
        <v>2044.09</v>
      </c>
      <c r="T268" s="30">
        <f>81056</f>
        <v>81056</v>
      </c>
      <c r="U268" s="30" t="str">
        <f>"－"</f>
        <v>－</v>
      </c>
      <c r="V268" s="30">
        <f>165825647</f>
        <v>165825647</v>
      </c>
      <c r="W268" s="30" t="str">
        <f>"－"</f>
        <v>－</v>
      </c>
      <c r="X268" s="34">
        <f>22</f>
        <v>22</v>
      </c>
    </row>
    <row r="269" spans="1:24" ht="13.5" customHeight="1" x14ac:dyDescent="0.15">
      <c r="A269" s="25" t="s">
        <v>1102</v>
      </c>
      <c r="B269" s="25" t="s">
        <v>779</v>
      </c>
      <c r="C269" s="25" t="s">
        <v>780</v>
      </c>
      <c r="D269" s="25" t="s">
        <v>781</v>
      </c>
      <c r="E269" s="26" t="s">
        <v>45</v>
      </c>
      <c r="F269" s="27" t="s">
        <v>45</v>
      </c>
      <c r="G269" s="28" t="s">
        <v>45</v>
      </c>
      <c r="H269" s="29"/>
      <c r="I269" s="29" t="s">
        <v>46</v>
      </c>
      <c r="J269" s="30">
        <v>1</v>
      </c>
      <c r="K269" s="31">
        <f>1326</f>
        <v>1326</v>
      </c>
      <c r="L269" s="32" t="s">
        <v>995</v>
      </c>
      <c r="M269" s="31">
        <f>1416</f>
        <v>1416</v>
      </c>
      <c r="N269" s="32" t="s">
        <v>1001</v>
      </c>
      <c r="O269" s="31">
        <f>1326</f>
        <v>1326</v>
      </c>
      <c r="P269" s="32" t="s">
        <v>995</v>
      </c>
      <c r="Q269" s="31">
        <f>1370</f>
        <v>1370</v>
      </c>
      <c r="R269" s="32" t="s">
        <v>893</v>
      </c>
      <c r="S269" s="33">
        <f>1378.73</f>
        <v>1378.73</v>
      </c>
      <c r="T269" s="30">
        <f>34160</f>
        <v>34160</v>
      </c>
      <c r="U269" s="30" t="str">
        <f>"－"</f>
        <v>－</v>
      </c>
      <c r="V269" s="30">
        <f>47559218</f>
        <v>47559218</v>
      </c>
      <c r="W269" s="30" t="str">
        <f>"－"</f>
        <v>－</v>
      </c>
      <c r="X269" s="34">
        <f>22</f>
        <v>22</v>
      </c>
    </row>
    <row r="270" spans="1:24" ht="13.5" customHeight="1" x14ac:dyDescent="0.15">
      <c r="A270" s="25" t="s">
        <v>1102</v>
      </c>
      <c r="B270" s="25" t="s">
        <v>797</v>
      </c>
      <c r="C270" s="25" t="s">
        <v>798</v>
      </c>
      <c r="D270" s="25" t="s">
        <v>799</v>
      </c>
      <c r="E270" s="26" t="s">
        <v>45</v>
      </c>
      <c r="F270" s="27" t="s">
        <v>45</v>
      </c>
      <c r="G270" s="28" t="s">
        <v>45</v>
      </c>
      <c r="H270" s="29"/>
      <c r="I270" s="29" t="s">
        <v>46</v>
      </c>
      <c r="J270" s="30">
        <v>1</v>
      </c>
      <c r="K270" s="31">
        <f>2080</f>
        <v>2080</v>
      </c>
      <c r="L270" s="32" t="s">
        <v>995</v>
      </c>
      <c r="M270" s="31">
        <f>2150</f>
        <v>2150</v>
      </c>
      <c r="N270" s="32" t="s">
        <v>790</v>
      </c>
      <c r="O270" s="31">
        <f>1998</f>
        <v>1998</v>
      </c>
      <c r="P270" s="32" t="s">
        <v>1000</v>
      </c>
      <c r="Q270" s="31">
        <f>2033</f>
        <v>2033</v>
      </c>
      <c r="R270" s="32" t="s">
        <v>893</v>
      </c>
      <c r="S270" s="33">
        <f>2058.82</f>
        <v>2058.8200000000002</v>
      </c>
      <c r="T270" s="30">
        <f>11079</f>
        <v>11079</v>
      </c>
      <c r="U270" s="30" t="str">
        <f>"－"</f>
        <v>－</v>
      </c>
      <c r="V270" s="30">
        <f>22804001</f>
        <v>22804001</v>
      </c>
      <c r="W270" s="30" t="str">
        <f>"－"</f>
        <v>－</v>
      </c>
      <c r="X270" s="34">
        <f>22</f>
        <v>22</v>
      </c>
    </row>
    <row r="271" spans="1:24" ht="13.5" customHeight="1" x14ac:dyDescent="0.15">
      <c r="A271" s="25" t="s">
        <v>1102</v>
      </c>
      <c r="B271" s="25" t="s">
        <v>800</v>
      </c>
      <c r="C271" s="25" t="s">
        <v>801</v>
      </c>
      <c r="D271" s="25" t="s">
        <v>802</v>
      </c>
      <c r="E271" s="26" t="s">
        <v>45</v>
      </c>
      <c r="F271" s="27" t="s">
        <v>45</v>
      </c>
      <c r="G271" s="28" t="s">
        <v>45</v>
      </c>
      <c r="H271" s="29"/>
      <c r="I271" s="29" t="s">
        <v>46</v>
      </c>
      <c r="J271" s="30">
        <v>1</v>
      </c>
      <c r="K271" s="31">
        <f>2300</f>
        <v>2300</v>
      </c>
      <c r="L271" s="32" t="s">
        <v>995</v>
      </c>
      <c r="M271" s="31">
        <f>2578</f>
        <v>2578</v>
      </c>
      <c r="N271" s="32" t="s">
        <v>790</v>
      </c>
      <c r="O271" s="31">
        <f>2300</f>
        <v>2300</v>
      </c>
      <c r="P271" s="32" t="s">
        <v>995</v>
      </c>
      <c r="Q271" s="31">
        <f>2472</f>
        <v>2472</v>
      </c>
      <c r="R271" s="32" t="s">
        <v>893</v>
      </c>
      <c r="S271" s="33">
        <f>2429.75</f>
        <v>2429.75</v>
      </c>
      <c r="T271" s="30">
        <f>1192</f>
        <v>1192</v>
      </c>
      <c r="U271" s="30" t="str">
        <f>"－"</f>
        <v>－</v>
      </c>
      <c r="V271" s="30">
        <f>2923025</f>
        <v>2923025</v>
      </c>
      <c r="W271" s="30" t="str">
        <f>"－"</f>
        <v>－</v>
      </c>
      <c r="X271" s="34">
        <f>20</f>
        <v>20</v>
      </c>
    </row>
    <row r="272" spans="1:24" ht="13.5" customHeight="1" x14ac:dyDescent="0.15">
      <c r="A272" s="25" t="s">
        <v>1102</v>
      </c>
      <c r="B272" s="25" t="s">
        <v>803</v>
      </c>
      <c r="C272" s="25" t="s">
        <v>804</v>
      </c>
      <c r="D272" s="25" t="s">
        <v>805</v>
      </c>
      <c r="E272" s="26" t="s">
        <v>45</v>
      </c>
      <c r="F272" s="27" t="s">
        <v>45</v>
      </c>
      <c r="G272" s="28" t="s">
        <v>45</v>
      </c>
      <c r="H272" s="29"/>
      <c r="I272" s="29" t="s">
        <v>46</v>
      </c>
      <c r="J272" s="30">
        <v>1</v>
      </c>
      <c r="K272" s="31">
        <f>10280</f>
        <v>10280</v>
      </c>
      <c r="L272" s="32" t="s">
        <v>995</v>
      </c>
      <c r="M272" s="31">
        <f>10760</f>
        <v>10760</v>
      </c>
      <c r="N272" s="32" t="s">
        <v>876</v>
      </c>
      <c r="O272" s="31">
        <f>10240</f>
        <v>10240</v>
      </c>
      <c r="P272" s="32" t="s">
        <v>995</v>
      </c>
      <c r="Q272" s="31">
        <f>10690</f>
        <v>10690</v>
      </c>
      <c r="R272" s="32" t="s">
        <v>893</v>
      </c>
      <c r="S272" s="33">
        <f>10555.23</f>
        <v>10555.23</v>
      </c>
      <c r="T272" s="30">
        <f>1043688</f>
        <v>1043688</v>
      </c>
      <c r="U272" s="30">
        <f>683654</f>
        <v>683654</v>
      </c>
      <c r="V272" s="30">
        <f>10933881870</f>
        <v>10933881870</v>
      </c>
      <c r="W272" s="30">
        <f>7143340290</f>
        <v>7143340290</v>
      </c>
      <c r="X272" s="34">
        <f>22</f>
        <v>22</v>
      </c>
    </row>
    <row r="273" spans="1:24" ht="13.5" customHeight="1" x14ac:dyDescent="0.15">
      <c r="A273" s="25" t="s">
        <v>1102</v>
      </c>
      <c r="B273" s="25" t="s">
        <v>806</v>
      </c>
      <c r="C273" s="25" t="s">
        <v>807</v>
      </c>
      <c r="D273" s="25" t="s">
        <v>808</v>
      </c>
      <c r="E273" s="26" t="s">
        <v>45</v>
      </c>
      <c r="F273" s="27" t="s">
        <v>45</v>
      </c>
      <c r="G273" s="28" t="s">
        <v>45</v>
      </c>
      <c r="H273" s="29"/>
      <c r="I273" s="29" t="s">
        <v>46</v>
      </c>
      <c r="J273" s="30">
        <v>1</v>
      </c>
      <c r="K273" s="31">
        <f>14300</f>
        <v>14300</v>
      </c>
      <c r="L273" s="32" t="s">
        <v>995</v>
      </c>
      <c r="M273" s="31">
        <f>15595</f>
        <v>15595</v>
      </c>
      <c r="N273" s="32" t="s">
        <v>893</v>
      </c>
      <c r="O273" s="31">
        <f>14275</f>
        <v>14275</v>
      </c>
      <c r="P273" s="32" t="s">
        <v>995</v>
      </c>
      <c r="Q273" s="31">
        <f>15560</f>
        <v>15560</v>
      </c>
      <c r="R273" s="32" t="s">
        <v>893</v>
      </c>
      <c r="S273" s="33">
        <f>15007.05</f>
        <v>15007.05</v>
      </c>
      <c r="T273" s="30">
        <f>762189</f>
        <v>762189</v>
      </c>
      <c r="U273" s="30">
        <f>200</f>
        <v>200</v>
      </c>
      <c r="V273" s="30">
        <f>11498855545</f>
        <v>11498855545</v>
      </c>
      <c r="W273" s="30">
        <f>3071000</f>
        <v>3071000</v>
      </c>
      <c r="X273" s="34">
        <f>22</f>
        <v>22</v>
      </c>
    </row>
    <row r="274" spans="1:24" ht="13.5" customHeight="1" x14ac:dyDescent="0.15">
      <c r="A274" s="25" t="s">
        <v>1102</v>
      </c>
      <c r="B274" s="25" t="s">
        <v>809</v>
      </c>
      <c r="C274" s="25" t="s">
        <v>810</v>
      </c>
      <c r="D274" s="25" t="s">
        <v>811</v>
      </c>
      <c r="E274" s="26" t="s">
        <v>45</v>
      </c>
      <c r="F274" s="27" t="s">
        <v>45</v>
      </c>
      <c r="G274" s="28" t="s">
        <v>45</v>
      </c>
      <c r="H274" s="29"/>
      <c r="I274" s="29" t="s">
        <v>46</v>
      </c>
      <c r="J274" s="30">
        <v>1</v>
      </c>
      <c r="K274" s="31">
        <f>10165</f>
        <v>10165</v>
      </c>
      <c r="L274" s="32" t="s">
        <v>995</v>
      </c>
      <c r="M274" s="31">
        <f>10745</f>
        <v>10745</v>
      </c>
      <c r="N274" s="32" t="s">
        <v>876</v>
      </c>
      <c r="O274" s="31">
        <f>10085</f>
        <v>10085</v>
      </c>
      <c r="P274" s="32" t="s">
        <v>1000</v>
      </c>
      <c r="Q274" s="31">
        <f>10595</f>
        <v>10595</v>
      </c>
      <c r="R274" s="32" t="s">
        <v>893</v>
      </c>
      <c r="S274" s="33">
        <f>10467.05</f>
        <v>10467.049999999999</v>
      </c>
      <c r="T274" s="30">
        <f>732923</f>
        <v>732923</v>
      </c>
      <c r="U274" s="30">
        <f>443377</f>
        <v>443377</v>
      </c>
      <c r="V274" s="30">
        <f>7694994992</f>
        <v>7694994992</v>
      </c>
      <c r="W274" s="30">
        <f>4661977267</f>
        <v>4661977267</v>
      </c>
      <c r="X274" s="34">
        <f>22</f>
        <v>22</v>
      </c>
    </row>
    <row r="275" spans="1:24" ht="13.5" customHeight="1" x14ac:dyDescent="0.15">
      <c r="A275" s="25" t="s">
        <v>1102</v>
      </c>
      <c r="B275" s="25" t="s">
        <v>812</v>
      </c>
      <c r="C275" s="25" t="s">
        <v>813</v>
      </c>
      <c r="D275" s="25" t="s">
        <v>814</v>
      </c>
      <c r="E275" s="26" t="s">
        <v>45</v>
      </c>
      <c r="F275" s="27" t="s">
        <v>45</v>
      </c>
      <c r="G275" s="28" t="s">
        <v>45</v>
      </c>
      <c r="H275" s="29"/>
      <c r="I275" s="29" t="s">
        <v>46</v>
      </c>
      <c r="J275" s="30">
        <v>10</v>
      </c>
      <c r="K275" s="31">
        <f>2691.5</f>
        <v>2691.5</v>
      </c>
      <c r="L275" s="32" t="s">
        <v>995</v>
      </c>
      <c r="M275" s="31">
        <f>2950</f>
        <v>2950</v>
      </c>
      <c r="N275" s="32" t="s">
        <v>893</v>
      </c>
      <c r="O275" s="31">
        <f>2687</f>
        <v>2687</v>
      </c>
      <c r="P275" s="32" t="s">
        <v>995</v>
      </c>
      <c r="Q275" s="31">
        <f>2944</f>
        <v>2944</v>
      </c>
      <c r="R275" s="32" t="s">
        <v>893</v>
      </c>
      <c r="S275" s="33">
        <f>2830.7</f>
        <v>2830.7</v>
      </c>
      <c r="T275" s="30">
        <f>669470</f>
        <v>669470</v>
      </c>
      <c r="U275" s="30">
        <f>77010</f>
        <v>77010</v>
      </c>
      <c r="V275" s="30">
        <f>1880440580</f>
        <v>1880440580</v>
      </c>
      <c r="W275" s="30">
        <f>212515550</f>
        <v>212515550</v>
      </c>
      <c r="X275" s="34">
        <f>22</f>
        <v>22</v>
      </c>
    </row>
    <row r="276" spans="1:24" ht="13.5" customHeight="1" x14ac:dyDescent="0.15">
      <c r="A276" s="25" t="s">
        <v>1102</v>
      </c>
      <c r="B276" s="25" t="s">
        <v>815</v>
      </c>
      <c r="C276" s="25" t="s">
        <v>816</v>
      </c>
      <c r="D276" s="25" t="s">
        <v>817</v>
      </c>
      <c r="E276" s="26" t="s">
        <v>45</v>
      </c>
      <c r="F276" s="27" t="s">
        <v>45</v>
      </c>
      <c r="G276" s="28" t="s">
        <v>45</v>
      </c>
      <c r="H276" s="29"/>
      <c r="I276" s="29" t="s">
        <v>46</v>
      </c>
      <c r="J276" s="30">
        <v>10</v>
      </c>
      <c r="K276" s="31">
        <f>2013.5</f>
        <v>2013.5</v>
      </c>
      <c r="L276" s="32" t="s">
        <v>995</v>
      </c>
      <c r="M276" s="31">
        <f>2121</f>
        <v>2121</v>
      </c>
      <c r="N276" s="32" t="s">
        <v>876</v>
      </c>
      <c r="O276" s="31">
        <f>2005</f>
        <v>2005</v>
      </c>
      <c r="P276" s="32" t="s">
        <v>995</v>
      </c>
      <c r="Q276" s="31">
        <f>2111</f>
        <v>2111</v>
      </c>
      <c r="R276" s="32" t="s">
        <v>893</v>
      </c>
      <c r="S276" s="33">
        <f>2078.89</f>
        <v>2078.89</v>
      </c>
      <c r="T276" s="30">
        <f>8091610</f>
        <v>8091610</v>
      </c>
      <c r="U276" s="30">
        <f>5337140</f>
        <v>5337140</v>
      </c>
      <c r="V276" s="30">
        <f>16693914084</f>
        <v>16693914084</v>
      </c>
      <c r="W276" s="30">
        <f>11101110214</f>
        <v>11101110214</v>
      </c>
      <c r="X276" s="34">
        <f>22</f>
        <v>22</v>
      </c>
    </row>
    <row r="277" spans="1:24" ht="13.5" customHeight="1" x14ac:dyDescent="0.15">
      <c r="A277" s="25" t="s">
        <v>1102</v>
      </c>
      <c r="B277" s="25" t="s">
        <v>818</v>
      </c>
      <c r="C277" s="25" t="s">
        <v>819</v>
      </c>
      <c r="D277" s="25" t="s">
        <v>820</v>
      </c>
      <c r="E277" s="26" t="s">
        <v>45</v>
      </c>
      <c r="F277" s="27" t="s">
        <v>45</v>
      </c>
      <c r="G277" s="28" t="s">
        <v>45</v>
      </c>
      <c r="H277" s="29"/>
      <c r="I277" s="29" t="s">
        <v>46</v>
      </c>
      <c r="J277" s="30">
        <v>10</v>
      </c>
      <c r="K277" s="31">
        <f>2777</f>
        <v>2777</v>
      </c>
      <c r="L277" s="32" t="s">
        <v>995</v>
      </c>
      <c r="M277" s="31">
        <f>3066</f>
        <v>3066</v>
      </c>
      <c r="N277" s="32" t="s">
        <v>893</v>
      </c>
      <c r="O277" s="31">
        <f>2777</f>
        <v>2777</v>
      </c>
      <c r="P277" s="32" t="s">
        <v>995</v>
      </c>
      <c r="Q277" s="31">
        <f>3063</f>
        <v>3063</v>
      </c>
      <c r="R277" s="32" t="s">
        <v>893</v>
      </c>
      <c r="S277" s="33">
        <f>2947.61</f>
        <v>2947.61</v>
      </c>
      <c r="T277" s="30">
        <f>28570</f>
        <v>28570</v>
      </c>
      <c r="U277" s="30">
        <f>10</f>
        <v>10</v>
      </c>
      <c r="V277" s="30">
        <f>85518115</f>
        <v>85518115</v>
      </c>
      <c r="W277" s="30">
        <f>29440</f>
        <v>29440</v>
      </c>
      <c r="X277" s="34">
        <f>22</f>
        <v>22</v>
      </c>
    </row>
    <row r="278" spans="1:24" ht="13.5" customHeight="1" x14ac:dyDescent="0.15">
      <c r="A278" s="25" t="s">
        <v>1102</v>
      </c>
      <c r="B278" s="25" t="s">
        <v>821</v>
      </c>
      <c r="C278" s="25" t="s">
        <v>822</v>
      </c>
      <c r="D278" s="25" t="s">
        <v>823</v>
      </c>
      <c r="E278" s="26" t="s">
        <v>45</v>
      </c>
      <c r="F278" s="27" t="s">
        <v>45</v>
      </c>
      <c r="G278" s="28" t="s">
        <v>45</v>
      </c>
      <c r="H278" s="29"/>
      <c r="I278" s="29" t="s">
        <v>46</v>
      </c>
      <c r="J278" s="30">
        <v>1</v>
      </c>
      <c r="K278" s="31">
        <f>2695</f>
        <v>2695</v>
      </c>
      <c r="L278" s="32" t="s">
        <v>995</v>
      </c>
      <c r="M278" s="31">
        <f>2948</f>
        <v>2948</v>
      </c>
      <c r="N278" s="32" t="s">
        <v>876</v>
      </c>
      <c r="O278" s="31">
        <f>2695</f>
        <v>2695</v>
      </c>
      <c r="P278" s="32" t="s">
        <v>995</v>
      </c>
      <c r="Q278" s="31">
        <f>2846</f>
        <v>2846</v>
      </c>
      <c r="R278" s="32" t="s">
        <v>893</v>
      </c>
      <c r="S278" s="33">
        <f>2833.5</f>
        <v>2833.5</v>
      </c>
      <c r="T278" s="30">
        <f>63644</f>
        <v>63644</v>
      </c>
      <c r="U278" s="30" t="str">
        <f>"－"</f>
        <v>－</v>
      </c>
      <c r="V278" s="30">
        <f>182100302</f>
        <v>182100302</v>
      </c>
      <c r="W278" s="30" t="str">
        <f>"－"</f>
        <v>－</v>
      </c>
      <c r="X278" s="34">
        <f>22</f>
        <v>22</v>
      </c>
    </row>
    <row r="279" spans="1:24" ht="13.5" customHeight="1" x14ac:dyDescent="0.15">
      <c r="A279" s="25" t="s">
        <v>1102</v>
      </c>
      <c r="B279" s="25" t="s">
        <v>824</v>
      </c>
      <c r="C279" s="25" t="s">
        <v>825</v>
      </c>
      <c r="D279" s="25" t="s">
        <v>826</v>
      </c>
      <c r="E279" s="26" t="s">
        <v>45</v>
      </c>
      <c r="F279" s="27" t="s">
        <v>45</v>
      </c>
      <c r="G279" s="28" t="s">
        <v>45</v>
      </c>
      <c r="H279" s="29"/>
      <c r="I279" s="29" t="s">
        <v>46</v>
      </c>
      <c r="J279" s="30">
        <v>1</v>
      </c>
      <c r="K279" s="31">
        <f>1547</f>
        <v>1547</v>
      </c>
      <c r="L279" s="32" t="s">
        <v>995</v>
      </c>
      <c r="M279" s="31">
        <f>1649</f>
        <v>1649</v>
      </c>
      <c r="N279" s="32" t="s">
        <v>1002</v>
      </c>
      <c r="O279" s="31">
        <f>1547</f>
        <v>1547</v>
      </c>
      <c r="P279" s="32" t="s">
        <v>995</v>
      </c>
      <c r="Q279" s="31">
        <f>1616</f>
        <v>1616</v>
      </c>
      <c r="R279" s="32" t="s">
        <v>893</v>
      </c>
      <c r="S279" s="33">
        <f>1613.95</f>
        <v>1613.95</v>
      </c>
      <c r="T279" s="30">
        <f>33496</f>
        <v>33496</v>
      </c>
      <c r="U279" s="30">
        <f>8</f>
        <v>8</v>
      </c>
      <c r="V279" s="30">
        <f>54433196</f>
        <v>54433196</v>
      </c>
      <c r="W279" s="30">
        <f>12967</f>
        <v>12967</v>
      </c>
      <c r="X279" s="34">
        <f>22</f>
        <v>22</v>
      </c>
    </row>
    <row r="280" spans="1:24" ht="13.5" customHeight="1" x14ac:dyDescent="0.15">
      <c r="A280" s="25" t="s">
        <v>1102</v>
      </c>
      <c r="B280" s="25" t="s">
        <v>827</v>
      </c>
      <c r="C280" s="25" t="s">
        <v>828</v>
      </c>
      <c r="D280" s="25" t="s">
        <v>829</v>
      </c>
      <c r="E280" s="26" t="s">
        <v>45</v>
      </c>
      <c r="F280" s="27" t="s">
        <v>45</v>
      </c>
      <c r="G280" s="28" t="s">
        <v>45</v>
      </c>
      <c r="H280" s="29"/>
      <c r="I280" s="29" t="s">
        <v>46</v>
      </c>
      <c r="J280" s="30">
        <v>1</v>
      </c>
      <c r="K280" s="31">
        <f>2116</f>
        <v>2116</v>
      </c>
      <c r="L280" s="32" t="s">
        <v>995</v>
      </c>
      <c r="M280" s="31">
        <f>2340</f>
        <v>2340</v>
      </c>
      <c r="N280" s="32" t="s">
        <v>876</v>
      </c>
      <c r="O280" s="31">
        <f>2110</f>
        <v>2110</v>
      </c>
      <c r="P280" s="32" t="s">
        <v>995</v>
      </c>
      <c r="Q280" s="31">
        <f>2248</f>
        <v>2248</v>
      </c>
      <c r="R280" s="32" t="s">
        <v>893</v>
      </c>
      <c r="S280" s="33">
        <f>2250.64</f>
        <v>2250.64</v>
      </c>
      <c r="T280" s="30">
        <f>138986</f>
        <v>138986</v>
      </c>
      <c r="U280" s="30" t="str">
        <f>"－"</f>
        <v>－</v>
      </c>
      <c r="V280" s="30">
        <f>312147851</f>
        <v>312147851</v>
      </c>
      <c r="W280" s="30" t="str">
        <f>"－"</f>
        <v>－</v>
      </c>
      <c r="X280" s="34">
        <f>22</f>
        <v>22</v>
      </c>
    </row>
    <row r="281" spans="1:24" ht="13.5" customHeight="1" x14ac:dyDescent="0.15">
      <c r="A281" s="25" t="s">
        <v>1102</v>
      </c>
      <c r="B281" s="25" t="s">
        <v>830</v>
      </c>
      <c r="C281" s="25" t="s">
        <v>831</v>
      </c>
      <c r="D281" s="25" t="s">
        <v>832</v>
      </c>
      <c r="E281" s="26" t="s">
        <v>45</v>
      </c>
      <c r="F281" s="27" t="s">
        <v>45</v>
      </c>
      <c r="G281" s="28" t="s">
        <v>45</v>
      </c>
      <c r="H281" s="29"/>
      <c r="I281" s="29" t="s">
        <v>46</v>
      </c>
      <c r="J281" s="30">
        <v>1</v>
      </c>
      <c r="K281" s="31">
        <f>1608</f>
        <v>1608</v>
      </c>
      <c r="L281" s="32" t="s">
        <v>995</v>
      </c>
      <c r="M281" s="31">
        <f>1735</f>
        <v>1735</v>
      </c>
      <c r="N281" s="32" t="s">
        <v>876</v>
      </c>
      <c r="O281" s="31">
        <f>1608</f>
        <v>1608</v>
      </c>
      <c r="P281" s="32" t="s">
        <v>995</v>
      </c>
      <c r="Q281" s="31">
        <f>1667</f>
        <v>1667</v>
      </c>
      <c r="R281" s="32" t="s">
        <v>893</v>
      </c>
      <c r="S281" s="33">
        <f>1682.27</f>
        <v>1682.27</v>
      </c>
      <c r="T281" s="30">
        <f>122112</f>
        <v>122112</v>
      </c>
      <c r="U281" s="30" t="str">
        <f>"－"</f>
        <v>－</v>
      </c>
      <c r="V281" s="30">
        <f>206382152</f>
        <v>206382152</v>
      </c>
      <c r="W281" s="30" t="str">
        <f>"－"</f>
        <v>－</v>
      </c>
      <c r="X281" s="34">
        <f>22</f>
        <v>22</v>
      </c>
    </row>
    <row r="282" spans="1:24" ht="13.5" customHeight="1" x14ac:dyDescent="0.15">
      <c r="A282" s="25" t="s">
        <v>1102</v>
      </c>
      <c r="B282" s="25" t="s">
        <v>833</v>
      </c>
      <c r="C282" s="25" t="s">
        <v>834</v>
      </c>
      <c r="D282" s="25" t="s">
        <v>835</v>
      </c>
      <c r="E282" s="26" t="s">
        <v>45</v>
      </c>
      <c r="F282" s="27" t="s">
        <v>45</v>
      </c>
      <c r="G282" s="28" t="s">
        <v>45</v>
      </c>
      <c r="H282" s="29"/>
      <c r="I282" s="29" t="s">
        <v>46</v>
      </c>
      <c r="J282" s="30">
        <v>1</v>
      </c>
      <c r="K282" s="31">
        <f>2831</f>
        <v>2831</v>
      </c>
      <c r="L282" s="32" t="s">
        <v>995</v>
      </c>
      <c r="M282" s="31">
        <f>3045</f>
        <v>3045</v>
      </c>
      <c r="N282" s="32" t="s">
        <v>80</v>
      </c>
      <c r="O282" s="31">
        <f>2831</f>
        <v>2831</v>
      </c>
      <c r="P282" s="32" t="s">
        <v>995</v>
      </c>
      <c r="Q282" s="31">
        <f>2920</f>
        <v>2920</v>
      </c>
      <c r="R282" s="32" t="s">
        <v>893</v>
      </c>
      <c r="S282" s="33">
        <f>2943.64</f>
        <v>2943.64</v>
      </c>
      <c r="T282" s="30">
        <f>66937</f>
        <v>66937</v>
      </c>
      <c r="U282" s="30" t="str">
        <f>"－"</f>
        <v>－</v>
      </c>
      <c r="V282" s="30">
        <f>197603556</f>
        <v>197603556</v>
      </c>
      <c r="W282" s="30" t="str">
        <f>"－"</f>
        <v>－</v>
      </c>
      <c r="X282" s="34">
        <f>22</f>
        <v>22</v>
      </c>
    </row>
    <row r="283" spans="1:24" ht="13.5" customHeight="1" x14ac:dyDescent="0.15">
      <c r="A283" s="25" t="s">
        <v>1102</v>
      </c>
      <c r="B283" s="25" t="s">
        <v>836</v>
      </c>
      <c r="C283" s="25" t="s">
        <v>837</v>
      </c>
      <c r="D283" s="25" t="s">
        <v>838</v>
      </c>
      <c r="E283" s="26" t="s">
        <v>45</v>
      </c>
      <c r="F283" s="27" t="s">
        <v>45</v>
      </c>
      <c r="G283" s="28" t="s">
        <v>45</v>
      </c>
      <c r="H283" s="29"/>
      <c r="I283" s="29" t="s">
        <v>46</v>
      </c>
      <c r="J283" s="30">
        <v>1</v>
      </c>
      <c r="K283" s="31">
        <f>2325</f>
        <v>2325</v>
      </c>
      <c r="L283" s="32" t="s">
        <v>995</v>
      </c>
      <c r="M283" s="31">
        <f>2629</f>
        <v>2629</v>
      </c>
      <c r="N283" s="32" t="s">
        <v>894</v>
      </c>
      <c r="O283" s="31">
        <f>2324</f>
        <v>2324</v>
      </c>
      <c r="P283" s="32" t="s">
        <v>995</v>
      </c>
      <c r="Q283" s="31">
        <f>2512</f>
        <v>2512</v>
      </c>
      <c r="R283" s="32" t="s">
        <v>893</v>
      </c>
      <c r="S283" s="33">
        <f>2496.14</f>
        <v>2496.14</v>
      </c>
      <c r="T283" s="30">
        <f>559437</f>
        <v>559437</v>
      </c>
      <c r="U283" s="30">
        <f>50006</f>
        <v>50006</v>
      </c>
      <c r="V283" s="30">
        <f>1405011257</f>
        <v>1405011257</v>
      </c>
      <c r="W283" s="30">
        <f>127964668</f>
        <v>127964668</v>
      </c>
      <c r="X283" s="34">
        <f>22</f>
        <v>22</v>
      </c>
    </row>
    <row r="284" spans="1:24" ht="13.5" customHeight="1" x14ac:dyDescent="0.15">
      <c r="A284" s="25" t="s">
        <v>1102</v>
      </c>
      <c r="B284" s="25" t="s">
        <v>839</v>
      </c>
      <c r="C284" s="25" t="s">
        <v>840</v>
      </c>
      <c r="D284" s="25" t="s">
        <v>841</v>
      </c>
      <c r="E284" s="26" t="s">
        <v>45</v>
      </c>
      <c r="F284" s="27" t="s">
        <v>45</v>
      </c>
      <c r="G284" s="28" t="s">
        <v>45</v>
      </c>
      <c r="H284" s="29"/>
      <c r="I284" s="29" t="s">
        <v>46</v>
      </c>
      <c r="J284" s="30">
        <v>1</v>
      </c>
      <c r="K284" s="31">
        <f>28945</f>
        <v>28945</v>
      </c>
      <c r="L284" s="32" t="s">
        <v>999</v>
      </c>
      <c r="M284" s="31">
        <f>30840</f>
        <v>30840</v>
      </c>
      <c r="N284" s="32" t="s">
        <v>1002</v>
      </c>
      <c r="O284" s="31">
        <f>28945</f>
        <v>28945</v>
      </c>
      <c r="P284" s="32" t="s">
        <v>999</v>
      </c>
      <c r="Q284" s="31">
        <f>30590</f>
        <v>30590</v>
      </c>
      <c r="R284" s="32" t="s">
        <v>1017</v>
      </c>
      <c r="S284" s="33">
        <f>30086.76</f>
        <v>30086.76</v>
      </c>
      <c r="T284" s="30">
        <f>229</f>
        <v>229</v>
      </c>
      <c r="U284" s="30" t="str">
        <f>"－"</f>
        <v>－</v>
      </c>
      <c r="V284" s="30">
        <f>6901685</f>
        <v>6901685</v>
      </c>
      <c r="W284" s="30" t="str">
        <f>"－"</f>
        <v>－</v>
      </c>
      <c r="X284" s="34">
        <f>17</f>
        <v>17</v>
      </c>
    </row>
    <row r="285" spans="1:24" ht="13.5" customHeight="1" x14ac:dyDescent="0.15">
      <c r="A285" s="25" t="s">
        <v>1102</v>
      </c>
      <c r="B285" s="25" t="s">
        <v>842</v>
      </c>
      <c r="C285" s="25" t="s">
        <v>843</v>
      </c>
      <c r="D285" s="25" t="s">
        <v>844</v>
      </c>
      <c r="E285" s="26" t="s">
        <v>45</v>
      </c>
      <c r="F285" s="27" t="s">
        <v>45</v>
      </c>
      <c r="G285" s="28" t="s">
        <v>45</v>
      </c>
      <c r="H285" s="29"/>
      <c r="I285" s="29" t="s">
        <v>46</v>
      </c>
      <c r="J285" s="30">
        <v>1</v>
      </c>
      <c r="K285" s="31">
        <f>2226</f>
        <v>2226</v>
      </c>
      <c r="L285" s="32" t="s">
        <v>999</v>
      </c>
      <c r="M285" s="31">
        <f>2378</f>
        <v>2378</v>
      </c>
      <c r="N285" s="32" t="s">
        <v>1005</v>
      </c>
      <c r="O285" s="31">
        <f>2225</f>
        <v>2225</v>
      </c>
      <c r="P285" s="32" t="s">
        <v>999</v>
      </c>
      <c r="Q285" s="31">
        <f>2340</f>
        <v>2340</v>
      </c>
      <c r="R285" s="32" t="s">
        <v>893</v>
      </c>
      <c r="S285" s="33">
        <f>2322.85</f>
        <v>2322.85</v>
      </c>
      <c r="T285" s="30">
        <f>3340</f>
        <v>3340</v>
      </c>
      <c r="U285" s="30" t="str">
        <f>"－"</f>
        <v>－</v>
      </c>
      <c r="V285" s="30">
        <f>7789976</f>
        <v>7789976</v>
      </c>
      <c r="W285" s="30" t="str">
        <f>"－"</f>
        <v>－</v>
      </c>
      <c r="X285" s="34">
        <f>20</f>
        <v>20</v>
      </c>
    </row>
    <row r="286" spans="1:24" ht="13.5" customHeight="1" x14ac:dyDescent="0.15">
      <c r="A286" s="25" t="s">
        <v>1102</v>
      </c>
      <c r="B286" s="25" t="s">
        <v>845</v>
      </c>
      <c r="C286" s="25" t="s">
        <v>846</v>
      </c>
      <c r="D286" s="25" t="s">
        <v>847</v>
      </c>
      <c r="E286" s="26" t="s">
        <v>45</v>
      </c>
      <c r="F286" s="27" t="s">
        <v>45</v>
      </c>
      <c r="G286" s="28" t="s">
        <v>45</v>
      </c>
      <c r="H286" s="29"/>
      <c r="I286" s="29" t="s">
        <v>46</v>
      </c>
      <c r="J286" s="30">
        <v>1</v>
      </c>
      <c r="K286" s="31">
        <f>2923</f>
        <v>2923</v>
      </c>
      <c r="L286" s="32" t="s">
        <v>995</v>
      </c>
      <c r="M286" s="31">
        <f>3290</f>
        <v>3290</v>
      </c>
      <c r="N286" s="32" t="s">
        <v>1002</v>
      </c>
      <c r="O286" s="31">
        <f>2919</f>
        <v>2919</v>
      </c>
      <c r="P286" s="32" t="s">
        <v>995</v>
      </c>
      <c r="Q286" s="31">
        <f>3230</f>
        <v>3230</v>
      </c>
      <c r="R286" s="32" t="s">
        <v>893</v>
      </c>
      <c r="S286" s="33">
        <f>3131.64</f>
        <v>3131.64</v>
      </c>
      <c r="T286" s="30">
        <f>2684799</f>
        <v>2684799</v>
      </c>
      <c r="U286" s="30">
        <f>48421</f>
        <v>48421</v>
      </c>
      <c r="V286" s="30">
        <f>8408399826</f>
        <v>8408399826</v>
      </c>
      <c r="W286" s="30">
        <f>148848412</f>
        <v>148848412</v>
      </c>
      <c r="X286" s="34">
        <f>22</f>
        <v>22</v>
      </c>
    </row>
    <row r="287" spans="1:24" ht="13.5" customHeight="1" x14ac:dyDescent="0.15">
      <c r="A287" s="25" t="s">
        <v>1102</v>
      </c>
      <c r="B287" s="25" t="s">
        <v>848</v>
      </c>
      <c r="C287" s="25" t="s">
        <v>849</v>
      </c>
      <c r="D287" s="25" t="s">
        <v>850</v>
      </c>
      <c r="E287" s="26" t="s">
        <v>45</v>
      </c>
      <c r="F287" s="27" t="s">
        <v>45</v>
      </c>
      <c r="G287" s="28" t="s">
        <v>45</v>
      </c>
      <c r="H287" s="29"/>
      <c r="I287" s="29" t="s">
        <v>46</v>
      </c>
      <c r="J287" s="30">
        <v>1</v>
      </c>
      <c r="K287" s="31">
        <f>1902</f>
        <v>1902</v>
      </c>
      <c r="L287" s="32" t="s">
        <v>995</v>
      </c>
      <c r="M287" s="31">
        <f>1999</f>
        <v>1999</v>
      </c>
      <c r="N287" s="32" t="s">
        <v>1002</v>
      </c>
      <c r="O287" s="31">
        <f>1899</f>
        <v>1899</v>
      </c>
      <c r="P287" s="32" t="s">
        <v>995</v>
      </c>
      <c r="Q287" s="31">
        <f>1951</f>
        <v>1951</v>
      </c>
      <c r="R287" s="32" t="s">
        <v>893</v>
      </c>
      <c r="S287" s="33">
        <f>1952.23</f>
        <v>1952.23</v>
      </c>
      <c r="T287" s="30">
        <f>24756</f>
        <v>24756</v>
      </c>
      <c r="U287" s="30" t="str">
        <f>"－"</f>
        <v>－</v>
      </c>
      <c r="V287" s="30">
        <f>48690387</f>
        <v>48690387</v>
      </c>
      <c r="W287" s="30" t="str">
        <f>"－"</f>
        <v>－</v>
      </c>
      <c r="X287" s="34">
        <f>22</f>
        <v>22</v>
      </c>
    </row>
    <row r="288" spans="1:24" ht="13.5" customHeight="1" x14ac:dyDescent="0.15">
      <c r="A288" s="25" t="s">
        <v>1102</v>
      </c>
      <c r="B288" s="25" t="s">
        <v>851</v>
      </c>
      <c r="C288" s="25" t="s">
        <v>852</v>
      </c>
      <c r="D288" s="25" t="s">
        <v>853</v>
      </c>
      <c r="E288" s="26" t="s">
        <v>45</v>
      </c>
      <c r="F288" s="27" t="s">
        <v>45</v>
      </c>
      <c r="G288" s="28" t="s">
        <v>45</v>
      </c>
      <c r="H288" s="29"/>
      <c r="I288" s="29" t="s">
        <v>46</v>
      </c>
      <c r="J288" s="30">
        <v>1</v>
      </c>
      <c r="K288" s="31">
        <f>1506</f>
        <v>1506</v>
      </c>
      <c r="L288" s="32" t="s">
        <v>995</v>
      </c>
      <c r="M288" s="31">
        <f>1696</f>
        <v>1696</v>
      </c>
      <c r="N288" s="32" t="s">
        <v>876</v>
      </c>
      <c r="O288" s="31">
        <f>1506</f>
        <v>1506</v>
      </c>
      <c r="P288" s="32" t="s">
        <v>995</v>
      </c>
      <c r="Q288" s="31">
        <f>1646</f>
        <v>1646</v>
      </c>
      <c r="R288" s="32" t="s">
        <v>893</v>
      </c>
      <c r="S288" s="33">
        <f>1619.82</f>
        <v>1619.82</v>
      </c>
      <c r="T288" s="30">
        <f>14079</f>
        <v>14079</v>
      </c>
      <c r="U288" s="30" t="str">
        <f>"－"</f>
        <v>－</v>
      </c>
      <c r="V288" s="30">
        <f>22689270</f>
        <v>22689270</v>
      </c>
      <c r="W288" s="30" t="str">
        <f>"－"</f>
        <v>－</v>
      </c>
      <c r="X288" s="34">
        <f>22</f>
        <v>22</v>
      </c>
    </row>
    <row r="289" spans="1:24" ht="13.5" customHeight="1" x14ac:dyDescent="0.15">
      <c r="A289" s="25" t="s">
        <v>1102</v>
      </c>
      <c r="B289" s="25" t="s">
        <v>854</v>
      </c>
      <c r="C289" s="25" t="s">
        <v>855</v>
      </c>
      <c r="D289" s="25" t="s">
        <v>856</v>
      </c>
      <c r="E289" s="26" t="s">
        <v>45</v>
      </c>
      <c r="F289" s="27" t="s">
        <v>45</v>
      </c>
      <c r="G289" s="28" t="s">
        <v>45</v>
      </c>
      <c r="H289" s="29"/>
      <c r="I289" s="29" t="s">
        <v>46</v>
      </c>
      <c r="J289" s="30">
        <v>10</v>
      </c>
      <c r="K289" s="31">
        <f>5322</f>
        <v>5322</v>
      </c>
      <c r="L289" s="32" t="s">
        <v>995</v>
      </c>
      <c r="M289" s="31">
        <f>5467</f>
        <v>5467</v>
      </c>
      <c r="N289" s="32" t="s">
        <v>1017</v>
      </c>
      <c r="O289" s="31">
        <f>5253</f>
        <v>5253</v>
      </c>
      <c r="P289" s="32" t="s">
        <v>1005</v>
      </c>
      <c r="Q289" s="31">
        <f>5467</f>
        <v>5467</v>
      </c>
      <c r="R289" s="32" t="s">
        <v>1017</v>
      </c>
      <c r="S289" s="33">
        <f>5341.59</f>
        <v>5341.59</v>
      </c>
      <c r="T289" s="30">
        <f>41440</f>
        <v>41440</v>
      </c>
      <c r="U289" s="30">
        <f>35700</f>
        <v>35700</v>
      </c>
      <c r="V289" s="30">
        <f>223096850</f>
        <v>223096850</v>
      </c>
      <c r="W289" s="30">
        <f>192728010</f>
        <v>192728010</v>
      </c>
      <c r="X289" s="34">
        <f>17</f>
        <v>17</v>
      </c>
    </row>
    <row r="290" spans="1:24" ht="13.5" customHeight="1" x14ac:dyDescent="0.15">
      <c r="A290" s="25" t="s">
        <v>1102</v>
      </c>
      <c r="B290" s="25" t="s">
        <v>857</v>
      </c>
      <c r="C290" s="25" t="s">
        <v>858</v>
      </c>
      <c r="D290" s="25" t="s">
        <v>859</v>
      </c>
      <c r="E290" s="26" t="s">
        <v>45</v>
      </c>
      <c r="F290" s="27" t="s">
        <v>45</v>
      </c>
      <c r="G290" s="28" t="s">
        <v>45</v>
      </c>
      <c r="H290" s="29"/>
      <c r="I290" s="29" t="s">
        <v>46</v>
      </c>
      <c r="J290" s="30">
        <v>10</v>
      </c>
      <c r="K290" s="31">
        <f>4096</f>
        <v>4096</v>
      </c>
      <c r="L290" s="32" t="s">
        <v>995</v>
      </c>
      <c r="M290" s="31">
        <f>4200</f>
        <v>4200</v>
      </c>
      <c r="N290" s="32" t="s">
        <v>784</v>
      </c>
      <c r="O290" s="31">
        <f>3999</f>
        <v>3999</v>
      </c>
      <c r="P290" s="32" t="s">
        <v>893</v>
      </c>
      <c r="Q290" s="31">
        <f>4001</f>
        <v>4001</v>
      </c>
      <c r="R290" s="32" t="s">
        <v>893</v>
      </c>
      <c r="S290" s="33">
        <f>4040.09</f>
        <v>4040.09</v>
      </c>
      <c r="T290" s="30">
        <f>272710</f>
        <v>272710</v>
      </c>
      <c r="U290" s="30">
        <f>171200</f>
        <v>171200</v>
      </c>
      <c r="V290" s="30">
        <f>1099326982</f>
        <v>1099326982</v>
      </c>
      <c r="W290" s="30">
        <f>690124352</f>
        <v>690124352</v>
      </c>
      <c r="X290" s="34">
        <f>22</f>
        <v>22</v>
      </c>
    </row>
    <row r="291" spans="1:24" ht="13.5" customHeight="1" x14ac:dyDescent="0.15">
      <c r="A291" s="25" t="s">
        <v>1102</v>
      </c>
      <c r="B291" s="25" t="s">
        <v>860</v>
      </c>
      <c r="C291" s="25" t="s">
        <v>861</v>
      </c>
      <c r="D291" s="25" t="s">
        <v>862</v>
      </c>
      <c r="E291" s="26" t="s">
        <v>45</v>
      </c>
      <c r="F291" s="27" t="s">
        <v>45</v>
      </c>
      <c r="G291" s="28" t="s">
        <v>45</v>
      </c>
      <c r="H291" s="29"/>
      <c r="I291" s="29" t="s">
        <v>46</v>
      </c>
      <c r="J291" s="30">
        <v>10</v>
      </c>
      <c r="K291" s="31">
        <f>670.5</f>
        <v>670.5</v>
      </c>
      <c r="L291" s="32" t="s">
        <v>995</v>
      </c>
      <c r="M291" s="31">
        <f>690.4</f>
        <v>690.4</v>
      </c>
      <c r="N291" s="32" t="s">
        <v>784</v>
      </c>
      <c r="O291" s="31">
        <f>670.5</f>
        <v>670.5</v>
      </c>
      <c r="P291" s="32" t="s">
        <v>995</v>
      </c>
      <c r="Q291" s="31">
        <f>672.1</f>
        <v>672.1</v>
      </c>
      <c r="R291" s="32" t="s">
        <v>893</v>
      </c>
      <c r="S291" s="33">
        <f>679.24</f>
        <v>679.24</v>
      </c>
      <c r="T291" s="30">
        <f>17980</f>
        <v>17980</v>
      </c>
      <c r="U291" s="30" t="str">
        <f>"－"</f>
        <v>－</v>
      </c>
      <c r="V291" s="30">
        <f>12224749</f>
        <v>12224749</v>
      </c>
      <c r="W291" s="30" t="str">
        <f>"－"</f>
        <v>－</v>
      </c>
      <c r="X291" s="34">
        <f>13</f>
        <v>13</v>
      </c>
    </row>
    <row r="292" spans="1:24" ht="13.5" customHeight="1" x14ac:dyDescent="0.15">
      <c r="A292" s="25" t="s">
        <v>1102</v>
      </c>
      <c r="B292" s="25" t="s">
        <v>863</v>
      </c>
      <c r="C292" s="25" t="s">
        <v>864</v>
      </c>
      <c r="D292" s="25" t="s">
        <v>865</v>
      </c>
      <c r="E292" s="26" t="s">
        <v>45</v>
      </c>
      <c r="F292" s="27" t="s">
        <v>45</v>
      </c>
      <c r="G292" s="28" t="s">
        <v>45</v>
      </c>
      <c r="H292" s="29"/>
      <c r="I292" s="29" t="s">
        <v>46</v>
      </c>
      <c r="J292" s="30">
        <v>1</v>
      </c>
      <c r="K292" s="31">
        <f>2150</f>
        <v>2150</v>
      </c>
      <c r="L292" s="32" t="s">
        <v>995</v>
      </c>
      <c r="M292" s="31">
        <f>2330</f>
        <v>2330</v>
      </c>
      <c r="N292" s="32" t="s">
        <v>790</v>
      </c>
      <c r="O292" s="31">
        <f>2150</f>
        <v>2150</v>
      </c>
      <c r="P292" s="32" t="s">
        <v>995</v>
      </c>
      <c r="Q292" s="31">
        <f>2208</f>
        <v>2208</v>
      </c>
      <c r="R292" s="32" t="s">
        <v>893</v>
      </c>
      <c r="S292" s="33">
        <f>2241.36</f>
        <v>2241.36</v>
      </c>
      <c r="T292" s="30">
        <f>6570</f>
        <v>6570</v>
      </c>
      <c r="U292" s="30" t="str">
        <f>"－"</f>
        <v>－</v>
      </c>
      <c r="V292" s="30">
        <f>14735742</f>
        <v>14735742</v>
      </c>
      <c r="W292" s="30" t="str">
        <f>"－"</f>
        <v>－</v>
      </c>
      <c r="X292" s="34">
        <f>22</f>
        <v>22</v>
      </c>
    </row>
    <row r="293" spans="1:24" ht="13.5" customHeight="1" x14ac:dyDescent="0.15">
      <c r="A293" s="25" t="s">
        <v>1102</v>
      </c>
      <c r="B293" s="25" t="s">
        <v>866</v>
      </c>
      <c r="C293" s="25" t="s">
        <v>867</v>
      </c>
      <c r="D293" s="25" t="s">
        <v>868</v>
      </c>
      <c r="E293" s="26" t="s">
        <v>45</v>
      </c>
      <c r="F293" s="27" t="s">
        <v>45</v>
      </c>
      <c r="G293" s="28" t="s">
        <v>45</v>
      </c>
      <c r="H293" s="29"/>
      <c r="I293" s="29" t="s">
        <v>46</v>
      </c>
      <c r="J293" s="30">
        <v>1</v>
      </c>
      <c r="K293" s="31">
        <f>1997</f>
        <v>1997</v>
      </c>
      <c r="L293" s="32" t="s">
        <v>995</v>
      </c>
      <c r="M293" s="31">
        <f>2155</f>
        <v>2155</v>
      </c>
      <c r="N293" s="32" t="s">
        <v>876</v>
      </c>
      <c r="O293" s="31">
        <f>1997</f>
        <v>1997</v>
      </c>
      <c r="P293" s="32" t="s">
        <v>995</v>
      </c>
      <c r="Q293" s="31">
        <f>2090</f>
        <v>2090</v>
      </c>
      <c r="R293" s="32" t="s">
        <v>893</v>
      </c>
      <c r="S293" s="33">
        <f>2088.82</f>
        <v>2088.8200000000002</v>
      </c>
      <c r="T293" s="30">
        <f>90514</f>
        <v>90514</v>
      </c>
      <c r="U293" s="30">
        <f>50000</f>
        <v>50000</v>
      </c>
      <c r="V293" s="30">
        <f>189825916</f>
        <v>189825916</v>
      </c>
      <c r="W293" s="30">
        <f>105465000</f>
        <v>105465000</v>
      </c>
      <c r="X293" s="34">
        <f>22</f>
        <v>22</v>
      </c>
    </row>
    <row r="294" spans="1:24" ht="13.5" customHeight="1" x14ac:dyDescent="0.15">
      <c r="A294" s="25" t="s">
        <v>1102</v>
      </c>
      <c r="B294" s="25" t="s">
        <v>869</v>
      </c>
      <c r="C294" s="25" t="s">
        <v>870</v>
      </c>
      <c r="D294" s="25" t="s">
        <v>871</v>
      </c>
      <c r="E294" s="26" t="s">
        <v>45</v>
      </c>
      <c r="F294" s="27" t="s">
        <v>45</v>
      </c>
      <c r="G294" s="28" t="s">
        <v>45</v>
      </c>
      <c r="H294" s="29"/>
      <c r="I294" s="29" t="s">
        <v>46</v>
      </c>
      <c r="J294" s="30">
        <v>1</v>
      </c>
      <c r="K294" s="31">
        <f>7900</f>
        <v>7900</v>
      </c>
      <c r="L294" s="32" t="s">
        <v>995</v>
      </c>
      <c r="M294" s="31">
        <f>8163</f>
        <v>8163</v>
      </c>
      <c r="N294" s="32" t="s">
        <v>1017</v>
      </c>
      <c r="O294" s="31">
        <f>7843</f>
        <v>7843</v>
      </c>
      <c r="P294" s="32" t="s">
        <v>1004</v>
      </c>
      <c r="Q294" s="31">
        <f>8098</f>
        <v>8098</v>
      </c>
      <c r="R294" s="32" t="s">
        <v>893</v>
      </c>
      <c r="S294" s="33">
        <f>7960.36</f>
        <v>7960.36</v>
      </c>
      <c r="T294" s="30">
        <f>681796</f>
        <v>681796</v>
      </c>
      <c r="U294" s="30">
        <f>678188</f>
        <v>678188</v>
      </c>
      <c r="V294" s="30">
        <f>5479911287</f>
        <v>5479911287</v>
      </c>
      <c r="W294" s="30">
        <f>5451011057</f>
        <v>5451011057</v>
      </c>
      <c r="X294" s="34">
        <f>22</f>
        <v>22</v>
      </c>
    </row>
    <row r="295" spans="1:24" ht="13.5" customHeight="1" x14ac:dyDescent="0.15">
      <c r="A295" s="25" t="s">
        <v>1102</v>
      </c>
      <c r="B295" s="25" t="s">
        <v>872</v>
      </c>
      <c r="C295" s="25" t="s">
        <v>873</v>
      </c>
      <c r="D295" s="25" t="s">
        <v>874</v>
      </c>
      <c r="E295" s="26" t="s">
        <v>45</v>
      </c>
      <c r="F295" s="27" t="s">
        <v>45</v>
      </c>
      <c r="G295" s="28" t="s">
        <v>45</v>
      </c>
      <c r="H295" s="29"/>
      <c r="I295" s="29" t="s">
        <v>46</v>
      </c>
      <c r="J295" s="30">
        <v>1</v>
      </c>
      <c r="K295" s="31">
        <f>6074</f>
        <v>6074</v>
      </c>
      <c r="L295" s="32" t="s">
        <v>995</v>
      </c>
      <c r="M295" s="31">
        <f>6183</f>
        <v>6183</v>
      </c>
      <c r="N295" s="32" t="s">
        <v>784</v>
      </c>
      <c r="O295" s="31">
        <f>5959</f>
        <v>5959</v>
      </c>
      <c r="P295" s="32" t="s">
        <v>893</v>
      </c>
      <c r="Q295" s="31">
        <f>5959</f>
        <v>5959</v>
      </c>
      <c r="R295" s="32" t="s">
        <v>893</v>
      </c>
      <c r="S295" s="33">
        <f>6016.55</f>
        <v>6016.55</v>
      </c>
      <c r="T295" s="30">
        <f>74393</f>
        <v>74393</v>
      </c>
      <c r="U295" s="30" t="str">
        <f>"－"</f>
        <v>－</v>
      </c>
      <c r="V295" s="30">
        <f>447385102</f>
        <v>447385102</v>
      </c>
      <c r="W295" s="30" t="str">
        <f>"－"</f>
        <v>－</v>
      </c>
      <c r="X295" s="34">
        <f>22</f>
        <v>22</v>
      </c>
    </row>
    <row r="296" spans="1:24" ht="13.5" customHeight="1" x14ac:dyDescent="0.15">
      <c r="A296" s="25" t="s">
        <v>1102</v>
      </c>
      <c r="B296" s="25" t="s">
        <v>878</v>
      </c>
      <c r="C296" s="25" t="s">
        <v>879</v>
      </c>
      <c r="D296" s="25" t="s">
        <v>880</v>
      </c>
      <c r="E296" s="26" t="s">
        <v>45</v>
      </c>
      <c r="F296" s="27" t="s">
        <v>45</v>
      </c>
      <c r="G296" s="28" t="s">
        <v>45</v>
      </c>
      <c r="H296" s="29"/>
      <c r="I296" s="29" t="s">
        <v>46</v>
      </c>
      <c r="J296" s="30">
        <v>1</v>
      </c>
      <c r="K296" s="31">
        <f>18570</f>
        <v>18570</v>
      </c>
      <c r="L296" s="32" t="s">
        <v>995</v>
      </c>
      <c r="M296" s="31">
        <f>20300</f>
        <v>20300</v>
      </c>
      <c r="N296" s="32" t="s">
        <v>893</v>
      </c>
      <c r="O296" s="31">
        <f>18540</f>
        <v>18540</v>
      </c>
      <c r="P296" s="32" t="s">
        <v>995</v>
      </c>
      <c r="Q296" s="31">
        <f>20270</f>
        <v>20270</v>
      </c>
      <c r="R296" s="32" t="s">
        <v>893</v>
      </c>
      <c r="S296" s="33">
        <f>19526.59</f>
        <v>19526.59</v>
      </c>
      <c r="T296" s="30">
        <f>296479</f>
        <v>296479</v>
      </c>
      <c r="U296" s="30" t="str">
        <f>"－"</f>
        <v>－</v>
      </c>
      <c r="V296" s="30">
        <f>5844647960</f>
        <v>5844647960</v>
      </c>
      <c r="W296" s="30" t="str">
        <f>"－"</f>
        <v>－</v>
      </c>
      <c r="X296" s="34">
        <f>22</f>
        <v>22</v>
      </c>
    </row>
    <row r="297" spans="1:24" ht="13.5" customHeight="1" x14ac:dyDescent="0.15">
      <c r="A297" s="25" t="s">
        <v>1102</v>
      </c>
      <c r="B297" s="25" t="s">
        <v>881</v>
      </c>
      <c r="C297" s="25" t="s">
        <v>882</v>
      </c>
      <c r="D297" s="25" t="s">
        <v>883</v>
      </c>
      <c r="E297" s="26" t="s">
        <v>45</v>
      </c>
      <c r="F297" s="27" t="s">
        <v>45</v>
      </c>
      <c r="G297" s="28" t="s">
        <v>45</v>
      </c>
      <c r="H297" s="29"/>
      <c r="I297" s="29" t="s">
        <v>46</v>
      </c>
      <c r="J297" s="30">
        <v>1</v>
      </c>
      <c r="K297" s="31">
        <f>9534</f>
        <v>9534</v>
      </c>
      <c r="L297" s="32" t="s">
        <v>995</v>
      </c>
      <c r="M297" s="31">
        <f>10130</f>
        <v>10130</v>
      </c>
      <c r="N297" s="32" t="s">
        <v>876</v>
      </c>
      <c r="O297" s="31">
        <f>9504</f>
        <v>9504</v>
      </c>
      <c r="P297" s="32" t="s">
        <v>995</v>
      </c>
      <c r="Q297" s="31">
        <f>9985</f>
        <v>9985</v>
      </c>
      <c r="R297" s="32" t="s">
        <v>893</v>
      </c>
      <c r="S297" s="33">
        <f>9860.77</f>
        <v>9860.77</v>
      </c>
      <c r="T297" s="30">
        <f>442689</f>
        <v>442689</v>
      </c>
      <c r="U297" s="30">
        <f>33001</f>
        <v>33001</v>
      </c>
      <c r="V297" s="30">
        <f>4363352332</f>
        <v>4363352332</v>
      </c>
      <c r="W297" s="30">
        <f>313898933</f>
        <v>313898933</v>
      </c>
      <c r="X297" s="34">
        <f>22</f>
        <v>22</v>
      </c>
    </row>
    <row r="298" spans="1:24" ht="13.5" customHeight="1" x14ac:dyDescent="0.15">
      <c r="A298" s="25" t="s">
        <v>1102</v>
      </c>
      <c r="B298" s="25" t="s">
        <v>884</v>
      </c>
      <c r="C298" s="25" t="s">
        <v>885</v>
      </c>
      <c r="D298" s="25" t="s">
        <v>886</v>
      </c>
      <c r="E298" s="26" t="s">
        <v>45</v>
      </c>
      <c r="F298" s="27" t="s">
        <v>45</v>
      </c>
      <c r="G298" s="28" t="s">
        <v>45</v>
      </c>
      <c r="H298" s="29"/>
      <c r="I298" s="29" t="s">
        <v>46</v>
      </c>
      <c r="J298" s="30">
        <v>1</v>
      </c>
      <c r="K298" s="31">
        <f>25430</f>
        <v>25430</v>
      </c>
      <c r="L298" s="32" t="s">
        <v>995</v>
      </c>
      <c r="M298" s="31">
        <f>25540</f>
        <v>25540</v>
      </c>
      <c r="N298" s="32" t="s">
        <v>995</v>
      </c>
      <c r="O298" s="31">
        <f>23945</f>
        <v>23945</v>
      </c>
      <c r="P298" s="32" t="s">
        <v>876</v>
      </c>
      <c r="Q298" s="31">
        <f>24270</f>
        <v>24270</v>
      </c>
      <c r="R298" s="32" t="s">
        <v>893</v>
      </c>
      <c r="S298" s="33">
        <f>24601.14</f>
        <v>24601.14</v>
      </c>
      <c r="T298" s="30">
        <f>409286</f>
        <v>409286</v>
      </c>
      <c r="U298" s="30">
        <f>66100</f>
        <v>66100</v>
      </c>
      <c r="V298" s="30">
        <f>10030345237</f>
        <v>10030345237</v>
      </c>
      <c r="W298" s="30">
        <f>1612562052</f>
        <v>1612562052</v>
      </c>
      <c r="X298" s="34">
        <f>22</f>
        <v>22</v>
      </c>
    </row>
    <row r="299" spans="1:24" ht="13.5" customHeight="1" x14ac:dyDescent="0.15">
      <c r="A299" s="25" t="s">
        <v>1102</v>
      </c>
      <c r="B299" s="25" t="s">
        <v>887</v>
      </c>
      <c r="C299" s="25" t="s">
        <v>888</v>
      </c>
      <c r="D299" s="25" t="s">
        <v>889</v>
      </c>
      <c r="E299" s="26" t="s">
        <v>45</v>
      </c>
      <c r="F299" s="27" t="s">
        <v>45</v>
      </c>
      <c r="G299" s="28" t="s">
        <v>45</v>
      </c>
      <c r="H299" s="29"/>
      <c r="I299" s="29" t="s">
        <v>46</v>
      </c>
      <c r="J299" s="30">
        <v>10</v>
      </c>
      <c r="K299" s="31">
        <f>4405</f>
        <v>4405</v>
      </c>
      <c r="L299" s="32" t="s">
        <v>999</v>
      </c>
      <c r="M299" s="31">
        <f>4405</f>
        <v>4405</v>
      </c>
      <c r="N299" s="32" t="s">
        <v>999</v>
      </c>
      <c r="O299" s="31">
        <f>4247</f>
        <v>4247</v>
      </c>
      <c r="P299" s="32" t="s">
        <v>80</v>
      </c>
      <c r="Q299" s="31">
        <f>4267</f>
        <v>4267</v>
      </c>
      <c r="R299" s="32" t="s">
        <v>893</v>
      </c>
      <c r="S299" s="33">
        <f>4299.06</f>
        <v>4299.0600000000004</v>
      </c>
      <c r="T299" s="30">
        <f>321900</f>
        <v>321900</v>
      </c>
      <c r="U299" s="30">
        <f>317900</f>
        <v>317900</v>
      </c>
      <c r="V299" s="30">
        <f>1391633295</f>
        <v>1391633295</v>
      </c>
      <c r="W299" s="30">
        <f>1374517055</f>
        <v>1374517055</v>
      </c>
      <c r="X299" s="34">
        <f>17</f>
        <v>17</v>
      </c>
    </row>
    <row r="300" spans="1:24" ht="13.5" customHeight="1" x14ac:dyDescent="0.15">
      <c r="A300" s="25" t="s">
        <v>1102</v>
      </c>
      <c r="B300" s="25" t="s">
        <v>890</v>
      </c>
      <c r="C300" s="25" t="s">
        <v>891</v>
      </c>
      <c r="D300" s="25" t="s">
        <v>892</v>
      </c>
      <c r="E300" s="26" t="s">
        <v>45</v>
      </c>
      <c r="F300" s="27" t="s">
        <v>45</v>
      </c>
      <c r="G300" s="28" t="s">
        <v>45</v>
      </c>
      <c r="H300" s="29"/>
      <c r="I300" s="29" t="s">
        <v>46</v>
      </c>
      <c r="J300" s="30">
        <v>10</v>
      </c>
      <c r="K300" s="31">
        <f>5002</f>
        <v>5002</v>
      </c>
      <c r="L300" s="32" t="s">
        <v>999</v>
      </c>
      <c r="M300" s="31">
        <f>5169</f>
        <v>5169</v>
      </c>
      <c r="N300" s="32" t="s">
        <v>876</v>
      </c>
      <c r="O300" s="31">
        <f>4945</f>
        <v>4945</v>
      </c>
      <c r="P300" s="32" t="s">
        <v>1000</v>
      </c>
      <c r="Q300" s="31">
        <f>5096</f>
        <v>5096</v>
      </c>
      <c r="R300" s="32" t="s">
        <v>893</v>
      </c>
      <c r="S300" s="33">
        <f>5063.8</f>
        <v>5063.8</v>
      </c>
      <c r="T300" s="30">
        <f>1157940</f>
        <v>1157940</v>
      </c>
      <c r="U300" s="30">
        <f>1137500</f>
        <v>1137500</v>
      </c>
      <c r="V300" s="30">
        <f>5956357460</f>
        <v>5956357460</v>
      </c>
      <c r="W300" s="30">
        <f>5854199120</f>
        <v>5854199120</v>
      </c>
      <c r="X300" s="34">
        <f>20</f>
        <v>20</v>
      </c>
    </row>
    <row r="301" spans="1:24" ht="13.5" customHeight="1" x14ac:dyDescent="0.15">
      <c r="A301" s="25" t="s">
        <v>1102</v>
      </c>
      <c r="B301" s="25" t="s">
        <v>902</v>
      </c>
      <c r="C301" s="25" t="s">
        <v>903</v>
      </c>
      <c r="D301" s="25" t="s">
        <v>904</v>
      </c>
      <c r="E301" s="26" t="s">
        <v>45</v>
      </c>
      <c r="F301" s="27" t="s">
        <v>45</v>
      </c>
      <c r="G301" s="28" t="s">
        <v>45</v>
      </c>
      <c r="H301" s="29"/>
      <c r="I301" s="29" t="s">
        <v>46</v>
      </c>
      <c r="J301" s="30">
        <v>10</v>
      </c>
      <c r="K301" s="31">
        <f>1995</f>
        <v>1995</v>
      </c>
      <c r="L301" s="32" t="s">
        <v>995</v>
      </c>
      <c r="M301" s="31">
        <f>2115.5</f>
        <v>2115.5</v>
      </c>
      <c r="N301" s="32" t="s">
        <v>876</v>
      </c>
      <c r="O301" s="31">
        <f>1985</f>
        <v>1985</v>
      </c>
      <c r="P301" s="32" t="s">
        <v>995</v>
      </c>
      <c r="Q301" s="31">
        <f>2085</f>
        <v>2085</v>
      </c>
      <c r="R301" s="32" t="s">
        <v>893</v>
      </c>
      <c r="S301" s="33">
        <f>2059.57</f>
        <v>2059.5700000000002</v>
      </c>
      <c r="T301" s="30">
        <f>1755300</f>
        <v>1755300</v>
      </c>
      <c r="U301" s="30">
        <f>250010</f>
        <v>250010</v>
      </c>
      <c r="V301" s="30">
        <f>3613651565</f>
        <v>3613651565</v>
      </c>
      <c r="W301" s="30">
        <f>518795190</f>
        <v>518795190</v>
      </c>
      <c r="X301" s="34">
        <f>22</f>
        <v>22</v>
      </c>
    </row>
    <row r="302" spans="1:24" ht="13.5" customHeight="1" x14ac:dyDescent="0.15">
      <c r="A302" s="25" t="s">
        <v>1102</v>
      </c>
      <c r="B302" s="25" t="s">
        <v>905</v>
      </c>
      <c r="C302" s="25" t="s">
        <v>906</v>
      </c>
      <c r="D302" s="25" t="s">
        <v>907</v>
      </c>
      <c r="E302" s="26" t="s">
        <v>45</v>
      </c>
      <c r="F302" s="27" t="s">
        <v>45</v>
      </c>
      <c r="G302" s="28" t="s">
        <v>45</v>
      </c>
      <c r="H302" s="29"/>
      <c r="I302" s="29" t="s">
        <v>46</v>
      </c>
      <c r="J302" s="30">
        <v>10</v>
      </c>
      <c r="K302" s="31">
        <f>1860</f>
        <v>1860</v>
      </c>
      <c r="L302" s="32" t="s">
        <v>995</v>
      </c>
      <c r="M302" s="31">
        <f>2023</f>
        <v>2023</v>
      </c>
      <c r="N302" s="32" t="s">
        <v>790</v>
      </c>
      <c r="O302" s="31">
        <f>1854</f>
        <v>1854</v>
      </c>
      <c r="P302" s="32" t="s">
        <v>995</v>
      </c>
      <c r="Q302" s="31">
        <f>1922.5</f>
        <v>1922.5</v>
      </c>
      <c r="R302" s="32" t="s">
        <v>893</v>
      </c>
      <c r="S302" s="33">
        <f>1908.84</f>
        <v>1908.84</v>
      </c>
      <c r="T302" s="30">
        <f>541500</f>
        <v>541500</v>
      </c>
      <c r="U302" s="30" t="str">
        <f t="shared" ref="U302:U307" si="9">"－"</f>
        <v>－</v>
      </c>
      <c r="V302" s="30">
        <f>1034755770</f>
        <v>1034755770</v>
      </c>
      <c r="W302" s="30" t="str">
        <f t="shared" ref="W302:W307" si="10">"－"</f>
        <v>－</v>
      </c>
      <c r="X302" s="34">
        <f>22</f>
        <v>22</v>
      </c>
    </row>
    <row r="303" spans="1:24" ht="13.5" customHeight="1" x14ac:dyDescent="0.15">
      <c r="A303" s="25" t="s">
        <v>1102</v>
      </c>
      <c r="B303" s="25" t="s">
        <v>908</v>
      </c>
      <c r="C303" s="25" t="s">
        <v>909</v>
      </c>
      <c r="D303" s="25" t="s">
        <v>910</v>
      </c>
      <c r="E303" s="26" t="s">
        <v>45</v>
      </c>
      <c r="F303" s="27" t="s">
        <v>45</v>
      </c>
      <c r="G303" s="28" t="s">
        <v>45</v>
      </c>
      <c r="H303" s="29"/>
      <c r="I303" s="29" t="s">
        <v>46</v>
      </c>
      <c r="J303" s="30">
        <v>1</v>
      </c>
      <c r="K303" s="31">
        <f>1647</f>
        <v>1647</v>
      </c>
      <c r="L303" s="32" t="s">
        <v>999</v>
      </c>
      <c r="M303" s="31">
        <f>1740</f>
        <v>1740</v>
      </c>
      <c r="N303" s="32" t="s">
        <v>1001</v>
      </c>
      <c r="O303" s="31">
        <f>1647</f>
        <v>1647</v>
      </c>
      <c r="P303" s="32" t="s">
        <v>999</v>
      </c>
      <c r="Q303" s="31">
        <f>1720</f>
        <v>1720</v>
      </c>
      <c r="R303" s="32" t="s">
        <v>893</v>
      </c>
      <c r="S303" s="33">
        <f>1710.24</f>
        <v>1710.24</v>
      </c>
      <c r="T303" s="30">
        <f>719</f>
        <v>719</v>
      </c>
      <c r="U303" s="30" t="str">
        <f t="shared" si="9"/>
        <v>－</v>
      </c>
      <c r="V303" s="30">
        <f>1234509</f>
        <v>1234509</v>
      </c>
      <c r="W303" s="30" t="str">
        <f t="shared" si="10"/>
        <v>－</v>
      </c>
      <c r="X303" s="34">
        <f>21</f>
        <v>21</v>
      </c>
    </row>
    <row r="304" spans="1:24" ht="13.5" customHeight="1" x14ac:dyDescent="0.15">
      <c r="A304" s="25" t="s">
        <v>1102</v>
      </c>
      <c r="B304" s="25" t="s">
        <v>911</v>
      </c>
      <c r="C304" s="25" t="s">
        <v>912</v>
      </c>
      <c r="D304" s="25" t="s">
        <v>913</v>
      </c>
      <c r="E304" s="26" t="s">
        <v>45</v>
      </c>
      <c r="F304" s="27" t="s">
        <v>45</v>
      </c>
      <c r="G304" s="28" t="s">
        <v>45</v>
      </c>
      <c r="H304" s="29"/>
      <c r="I304" s="29" t="s">
        <v>46</v>
      </c>
      <c r="J304" s="30">
        <v>1</v>
      </c>
      <c r="K304" s="31">
        <f>1707</f>
        <v>1707</v>
      </c>
      <c r="L304" s="32" t="s">
        <v>995</v>
      </c>
      <c r="M304" s="31">
        <f>1822</f>
        <v>1822</v>
      </c>
      <c r="N304" s="32" t="s">
        <v>790</v>
      </c>
      <c r="O304" s="31">
        <f>1707</f>
        <v>1707</v>
      </c>
      <c r="P304" s="32" t="s">
        <v>995</v>
      </c>
      <c r="Q304" s="31">
        <f>1797</f>
        <v>1797</v>
      </c>
      <c r="R304" s="32" t="s">
        <v>893</v>
      </c>
      <c r="S304" s="33">
        <f>1778.91</f>
        <v>1778.91</v>
      </c>
      <c r="T304" s="30">
        <f>16140</f>
        <v>16140</v>
      </c>
      <c r="U304" s="30" t="str">
        <f t="shared" si="9"/>
        <v>－</v>
      </c>
      <c r="V304" s="30">
        <f>28591149</f>
        <v>28591149</v>
      </c>
      <c r="W304" s="30" t="str">
        <f t="shared" si="10"/>
        <v>－</v>
      </c>
      <c r="X304" s="34">
        <f>22</f>
        <v>22</v>
      </c>
    </row>
    <row r="305" spans="1:24" ht="13.5" customHeight="1" x14ac:dyDescent="0.15">
      <c r="A305" s="25" t="s">
        <v>1102</v>
      </c>
      <c r="B305" s="25" t="s">
        <v>914</v>
      </c>
      <c r="C305" s="25" t="s">
        <v>915</v>
      </c>
      <c r="D305" s="25" t="s">
        <v>916</v>
      </c>
      <c r="E305" s="26" t="s">
        <v>45</v>
      </c>
      <c r="F305" s="27" t="s">
        <v>45</v>
      </c>
      <c r="G305" s="28" t="s">
        <v>45</v>
      </c>
      <c r="H305" s="29"/>
      <c r="I305" s="29" t="s">
        <v>46</v>
      </c>
      <c r="J305" s="30">
        <v>1</v>
      </c>
      <c r="K305" s="31">
        <f>3475</f>
        <v>3475</v>
      </c>
      <c r="L305" s="32" t="s">
        <v>995</v>
      </c>
      <c r="M305" s="31">
        <f>3800</f>
        <v>3800</v>
      </c>
      <c r="N305" s="32" t="s">
        <v>1017</v>
      </c>
      <c r="O305" s="31">
        <f>3475</f>
        <v>3475</v>
      </c>
      <c r="P305" s="32" t="s">
        <v>995</v>
      </c>
      <c r="Q305" s="31">
        <f>3770</f>
        <v>3770</v>
      </c>
      <c r="R305" s="32" t="s">
        <v>893</v>
      </c>
      <c r="S305" s="33">
        <f>3675.91</f>
        <v>3675.91</v>
      </c>
      <c r="T305" s="30">
        <f>206162</f>
        <v>206162</v>
      </c>
      <c r="U305" s="30" t="str">
        <f t="shared" si="9"/>
        <v>－</v>
      </c>
      <c r="V305" s="30">
        <f>765844890</f>
        <v>765844890</v>
      </c>
      <c r="W305" s="30" t="str">
        <f t="shared" si="10"/>
        <v>－</v>
      </c>
      <c r="X305" s="34">
        <f>22</f>
        <v>22</v>
      </c>
    </row>
    <row r="306" spans="1:24" ht="13.5" customHeight="1" x14ac:dyDescent="0.15">
      <c r="A306" s="25" t="s">
        <v>1102</v>
      </c>
      <c r="B306" s="25" t="s">
        <v>917</v>
      </c>
      <c r="C306" s="25" t="s">
        <v>918</v>
      </c>
      <c r="D306" s="25" t="s">
        <v>919</v>
      </c>
      <c r="E306" s="26" t="s">
        <v>45</v>
      </c>
      <c r="F306" s="27" t="s">
        <v>45</v>
      </c>
      <c r="G306" s="28" t="s">
        <v>45</v>
      </c>
      <c r="H306" s="29"/>
      <c r="I306" s="29" t="s">
        <v>46</v>
      </c>
      <c r="J306" s="30">
        <v>10</v>
      </c>
      <c r="K306" s="31">
        <f>2300</f>
        <v>2300</v>
      </c>
      <c r="L306" s="32" t="s">
        <v>784</v>
      </c>
      <c r="M306" s="31">
        <f>2373</f>
        <v>2373</v>
      </c>
      <c r="N306" s="32" t="s">
        <v>1002</v>
      </c>
      <c r="O306" s="31">
        <f>2300</f>
        <v>2300</v>
      </c>
      <c r="P306" s="32" t="s">
        <v>784</v>
      </c>
      <c r="Q306" s="31">
        <f>2345.5</f>
        <v>2345.5</v>
      </c>
      <c r="R306" s="32" t="s">
        <v>80</v>
      </c>
      <c r="S306" s="33">
        <f>2335</f>
        <v>2335</v>
      </c>
      <c r="T306" s="30">
        <f>90</f>
        <v>90</v>
      </c>
      <c r="U306" s="30" t="str">
        <f t="shared" si="9"/>
        <v>－</v>
      </c>
      <c r="V306" s="30">
        <f>211600</f>
        <v>211600</v>
      </c>
      <c r="W306" s="30" t="str">
        <f t="shared" si="10"/>
        <v>－</v>
      </c>
      <c r="X306" s="34">
        <f>4</f>
        <v>4</v>
      </c>
    </row>
    <row r="307" spans="1:24" ht="13.5" customHeight="1" x14ac:dyDescent="0.15">
      <c r="A307" s="25" t="s">
        <v>1102</v>
      </c>
      <c r="B307" s="25" t="s">
        <v>928</v>
      </c>
      <c r="C307" s="25" t="s">
        <v>929</v>
      </c>
      <c r="D307" s="25" t="s">
        <v>930</v>
      </c>
      <c r="E307" s="26" t="s">
        <v>45</v>
      </c>
      <c r="F307" s="27" t="s">
        <v>45</v>
      </c>
      <c r="G307" s="28" t="s">
        <v>45</v>
      </c>
      <c r="H307" s="29"/>
      <c r="I307" s="29" t="s">
        <v>46</v>
      </c>
      <c r="J307" s="30">
        <v>10</v>
      </c>
      <c r="K307" s="31">
        <f>220</f>
        <v>220</v>
      </c>
      <c r="L307" s="32" t="s">
        <v>995</v>
      </c>
      <c r="M307" s="31">
        <f>239.2</f>
        <v>239.2</v>
      </c>
      <c r="N307" s="32" t="s">
        <v>997</v>
      </c>
      <c r="O307" s="31">
        <f>217</f>
        <v>217</v>
      </c>
      <c r="P307" s="32" t="s">
        <v>997</v>
      </c>
      <c r="Q307" s="31">
        <f>231.5</f>
        <v>231.5</v>
      </c>
      <c r="R307" s="32" t="s">
        <v>893</v>
      </c>
      <c r="S307" s="33">
        <f>228.64</f>
        <v>228.64</v>
      </c>
      <c r="T307" s="30">
        <f>33120</f>
        <v>33120</v>
      </c>
      <c r="U307" s="30" t="str">
        <f t="shared" si="9"/>
        <v>－</v>
      </c>
      <c r="V307" s="30">
        <f>7581771</f>
        <v>7581771</v>
      </c>
      <c r="W307" s="30" t="str">
        <f t="shared" si="10"/>
        <v>－</v>
      </c>
      <c r="X307" s="34">
        <f>22</f>
        <v>22</v>
      </c>
    </row>
    <row r="308" spans="1:24" ht="13.5" customHeight="1" x14ac:dyDescent="0.15">
      <c r="A308" s="25" t="s">
        <v>1102</v>
      </c>
      <c r="B308" s="25" t="s">
        <v>920</v>
      </c>
      <c r="C308" s="25" t="s">
        <v>921</v>
      </c>
      <c r="D308" s="25" t="s">
        <v>922</v>
      </c>
      <c r="E308" s="26" t="s">
        <v>45</v>
      </c>
      <c r="F308" s="27" t="s">
        <v>45</v>
      </c>
      <c r="G308" s="28" t="s">
        <v>45</v>
      </c>
      <c r="H308" s="29"/>
      <c r="I308" s="29" t="s">
        <v>46</v>
      </c>
      <c r="J308" s="30">
        <v>10</v>
      </c>
      <c r="K308" s="31">
        <f>188.9</f>
        <v>188.9</v>
      </c>
      <c r="L308" s="32" t="s">
        <v>995</v>
      </c>
      <c r="M308" s="31">
        <f>190.5</f>
        <v>190.5</v>
      </c>
      <c r="N308" s="32" t="s">
        <v>78</v>
      </c>
      <c r="O308" s="31">
        <f>184.4</f>
        <v>184.4</v>
      </c>
      <c r="P308" s="32" t="s">
        <v>786</v>
      </c>
      <c r="Q308" s="31">
        <f>185.7</f>
        <v>185.7</v>
      </c>
      <c r="R308" s="32" t="s">
        <v>893</v>
      </c>
      <c r="S308" s="33">
        <f>186.95</f>
        <v>186.95</v>
      </c>
      <c r="T308" s="30">
        <f>36240</f>
        <v>36240</v>
      </c>
      <c r="U308" s="30">
        <f>24120</f>
        <v>24120</v>
      </c>
      <c r="V308" s="30">
        <f>6803752</f>
        <v>6803752</v>
      </c>
      <c r="W308" s="30">
        <f>4534560</f>
        <v>4534560</v>
      </c>
      <c r="X308" s="34">
        <f>22</f>
        <v>22</v>
      </c>
    </row>
    <row r="309" spans="1:24" ht="13.5" customHeight="1" x14ac:dyDescent="0.15">
      <c r="A309" s="25" t="s">
        <v>1102</v>
      </c>
      <c r="B309" s="25" t="s">
        <v>923</v>
      </c>
      <c r="C309" s="25" t="s">
        <v>924</v>
      </c>
      <c r="D309" s="25" t="s">
        <v>925</v>
      </c>
      <c r="E309" s="26" t="s">
        <v>45</v>
      </c>
      <c r="F309" s="27" t="s">
        <v>45</v>
      </c>
      <c r="G309" s="28" t="s">
        <v>45</v>
      </c>
      <c r="H309" s="29"/>
      <c r="I309" s="29" t="s">
        <v>46</v>
      </c>
      <c r="J309" s="30">
        <v>10</v>
      </c>
      <c r="K309" s="31">
        <f>705.5</f>
        <v>705.5</v>
      </c>
      <c r="L309" s="32" t="s">
        <v>784</v>
      </c>
      <c r="M309" s="31">
        <f>707.6</f>
        <v>707.6</v>
      </c>
      <c r="N309" s="32" t="s">
        <v>893</v>
      </c>
      <c r="O309" s="31">
        <f>693.9</f>
        <v>693.9</v>
      </c>
      <c r="P309" s="32" t="s">
        <v>876</v>
      </c>
      <c r="Q309" s="31">
        <f>707.6</f>
        <v>707.6</v>
      </c>
      <c r="R309" s="32" t="s">
        <v>893</v>
      </c>
      <c r="S309" s="33">
        <f>701.37</f>
        <v>701.37</v>
      </c>
      <c r="T309" s="30">
        <f>32160</f>
        <v>32160</v>
      </c>
      <c r="U309" s="30">
        <f>29730</f>
        <v>29730</v>
      </c>
      <c r="V309" s="30">
        <f>22524945</f>
        <v>22524945</v>
      </c>
      <c r="W309" s="30">
        <f>20829095</f>
        <v>20829095</v>
      </c>
      <c r="X309" s="34">
        <f>9</f>
        <v>9</v>
      </c>
    </row>
    <row r="310" spans="1:24" ht="13.5" customHeight="1" x14ac:dyDescent="0.15">
      <c r="A310" s="25" t="s">
        <v>1102</v>
      </c>
      <c r="B310" s="25" t="s">
        <v>931</v>
      </c>
      <c r="C310" s="25" t="s">
        <v>932</v>
      </c>
      <c r="D310" s="25" t="s">
        <v>933</v>
      </c>
      <c r="E310" s="26" t="s">
        <v>45</v>
      </c>
      <c r="F310" s="27" t="s">
        <v>45</v>
      </c>
      <c r="G310" s="28" t="s">
        <v>45</v>
      </c>
      <c r="H310" s="29"/>
      <c r="I310" s="29" t="s">
        <v>46</v>
      </c>
      <c r="J310" s="30">
        <v>1</v>
      </c>
      <c r="K310" s="31">
        <f>1179</f>
        <v>1179</v>
      </c>
      <c r="L310" s="32" t="s">
        <v>995</v>
      </c>
      <c r="M310" s="31">
        <f>1258</f>
        <v>1258</v>
      </c>
      <c r="N310" s="32" t="s">
        <v>876</v>
      </c>
      <c r="O310" s="31">
        <f>1177</f>
        <v>1177</v>
      </c>
      <c r="P310" s="32" t="s">
        <v>995</v>
      </c>
      <c r="Q310" s="31">
        <f>1219</f>
        <v>1219</v>
      </c>
      <c r="R310" s="32" t="s">
        <v>893</v>
      </c>
      <c r="S310" s="33">
        <f>1219.68</f>
        <v>1219.68</v>
      </c>
      <c r="T310" s="30">
        <f>259954</f>
        <v>259954</v>
      </c>
      <c r="U310" s="30">
        <f>2</f>
        <v>2</v>
      </c>
      <c r="V310" s="30">
        <f>315644819</f>
        <v>315644819</v>
      </c>
      <c r="W310" s="30">
        <f>2412</f>
        <v>2412</v>
      </c>
      <c r="X310" s="34">
        <f>22</f>
        <v>22</v>
      </c>
    </row>
    <row r="311" spans="1:24" ht="13.5" customHeight="1" x14ac:dyDescent="0.15">
      <c r="A311" s="25" t="s">
        <v>1102</v>
      </c>
      <c r="B311" s="25" t="s">
        <v>934</v>
      </c>
      <c r="C311" s="25" t="s">
        <v>935</v>
      </c>
      <c r="D311" s="25" t="s">
        <v>936</v>
      </c>
      <c r="E311" s="26" t="s">
        <v>45</v>
      </c>
      <c r="F311" s="27" t="s">
        <v>45</v>
      </c>
      <c r="G311" s="28" t="s">
        <v>45</v>
      </c>
      <c r="H311" s="29"/>
      <c r="I311" s="29" t="s">
        <v>46</v>
      </c>
      <c r="J311" s="30">
        <v>1</v>
      </c>
      <c r="K311" s="31">
        <f>962</f>
        <v>962</v>
      </c>
      <c r="L311" s="32" t="s">
        <v>995</v>
      </c>
      <c r="M311" s="31">
        <f>987</f>
        <v>987</v>
      </c>
      <c r="N311" s="32" t="s">
        <v>787</v>
      </c>
      <c r="O311" s="31">
        <f>943</f>
        <v>943</v>
      </c>
      <c r="P311" s="32" t="s">
        <v>786</v>
      </c>
      <c r="Q311" s="31">
        <f>956</f>
        <v>956</v>
      </c>
      <c r="R311" s="32" t="s">
        <v>893</v>
      </c>
      <c r="S311" s="33">
        <f>959.36</f>
        <v>959.36</v>
      </c>
      <c r="T311" s="30">
        <f>180452</f>
        <v>180452</v>
      </c>
      <c r="U311" s="30">
        <f>100001</f>
        <v>100001</v>
      </c>
      <c r="V311" s="30">
        <f>172487090</f>
        <v>172487090</v>
      </c>
      <c r="W311" s="30">
        <f>95915950</f>
        <v>95915950</v>
      </c>
      <c r="X311" s="34">
        <f>22</f>
        <v>22</v>
      </c>
    </row>
    <row r="312" spans="1:24" ht="13.5" customHeight="1" x14ac:dyDescent="0.15">
      <c r="A312" s="25" t="s">
        <v>1102</v>
      </c>
      <c r="B312" s="25" t="s">
        <v>937</v>
      </c>
      <c r="C312" s="25" t="s">
        <v>938</v>
      </c>
      <c r="D312" s="25" t="s">
        <v>939</v>
      </c>
      <c r="E312" s="26" t="s">
        <v>45</v>
      </c>
      <c r="F312" s="27" t="s">
        <v>45</v>
      </c>
      <c r="G312" s="28" t="s">
        <v>45</v>
      </c>
      <c r="H312" s="29"/>
      <c r="I312" s="29" t="s">
        <v>46</v>
      </c>
      <c r="J312" s="30">
        <v>10</v>
      </c>
      <c r="K312" s="31">
        <f>747.1</f>
        <v>747.1</v>
      </c>
      <c r="L312" s="32" t="s">
        <v>995</v>
      </c>
      <c r="M312" s="31">
        <f>753</f>
        <v>753</v>
      </c>
      <c r="N312" s="32" t="s">
        <v>56</v>
      </c>
      <c r="O312" s="31">
        <f>733.8</f>
        <v>733.8</v>
      </c>
      <c r="P312" s="32" t="s">
        <v>893</v>
      </c>
      <c r="Q312" s="31">
        <f>735.6</f>
        <v>735.6</v>
      </c>
      <c r="R312" s="32" t="s">
        <v>893</v>
      </c>
      <c r="S312" s="33">
        <f>741.98</f>
        <v>741.98</v>
      </c>
      <c r="T312" s="30">
        <f>3055270</f>
        <v>3055270</v>
      </c>
      <c r="U312" s="30">
        <f>2719680</f>
        <v>2719680</v>
      </c>
      <c r="V312" s="30">
        <f>2248924530</f>
        <v>2248924530</v>
      </c>
      <c r="W312" s="30">
        <f>1999780911</f>
        <v>1999780911</v>
      </c>
      <c r="X312" s="34">
        <f>22</f>
        <v>22</v>
      </c>
    </row>
    <row r="313" spans="1:24" ht="13.5" customHeight="1" x14ac:dyDescent="0.15">
      <c r="A313" s="25" t="s">
        <v>1102</v>
      </c>
      <c r="B313" s="25" t="s">
        <v>940</v>
      </c>
      <c r="C313" s="25" t="s">
        <v>941</v>
      </c>
      <c r="D313" s="25" t="s">
        <v>942</v>
      </c>
      <c r="E313" s="26" t="s">
        <v>45</v>
      </c>
      <c r="F313" s="27" t="s">
        <v>45</v>
      </c>
      <c r="G313" s="28" t="s">
        <v>45</v>
      </c>
      <c r="H313" s="29"/>
      <c r="I313" s="29" t="s">
        <v>46</v>
      </c>
      <c r="J313" s="30">
        <v>10</v>
      </c>
      <c r="K313" s="31">
        <f>725</f>
        <v>725</v>
      </c>
      <c r="L313" s="32" t="s">
        <v>995</v>
      </c>
      <c r="M313" s="31">
        <f>725</f>
        <v>725</v>
      </c>
      <c r="N313" s="32" t="s">
        <v>995</v>
      </c>
      <c r="O313" s="31">
        <f>704</f>
        <v>704</v>
      </c>
      <c r="P313" s="32" t="s">
        <v>80</v>
      </c>
      <c r="Q313" s="31">
        <f>709.5</f>
        <v>709.5</v>
      </c>
      <c r="R313" s="32" t="s">
        <v>893</v>
      </c>
      <c r="S313" s="33">
        <f>710.48</f>
        <v>710.48</v>
      </c>
      <c r="T313" s="30">
        <f>2594870</f>
        <v>2594870</v>
      </c>
      <c r="U313" s="30">
        <f>2401940</f>
        <v>2401940</v>
      </c>
      <c r="V313" s="30">
        <f>1848750673</f>
        <v>1848750673</v>
      </c>
      <c r="W313" s="30">
        <f>1711441717</f>
        <v>1711441717</v>
      </c>
      <c r="X313" s="34">
        <f>22</f>
        <v>22</v>
      </c>
    </row>
    <row r="314" spans="1:24" ht="13.5" customHeight="1" x14ac:dyDescent="0.15">
      <c r="A314" s="25" t="s">
        <v>1102</v>
      </c>
      <c r="B314" s="25" t="s">
        <v>943</v>
      </c>
      <c r="C314" s="25" t="s">
        <v>944</v>
      </c>
      <c r="D314" s="25" t="s">
        <v>945</v>
      </c>
      <c r="E314" s="26" t="s">
        <v>45</v>
      </c>
      <c r="F314" s="27" t="s">
        <v>45</v>
      </c>
      <c r="G314" s="28" t="s">
        <v>45</v>
      </c>
      <c r="H314" s="29"/>
      <c r="I314" s="29" t="s">
        <v>46</v>
      </c>
      <c r="J314" s="30">
        <v>1</v>
      </c>
      <c r="K314" s="31">
        <f>1085</f>
        <v>1085</v>
      </c>
      <c r="L314" s="32" t="s">
        <v>995</v>
      </c>
      <c r="M314" s="31">
        <f>1113</f>
        <v>1113</v>
      </c>
      <c r="N314" s="32" t="s">
        <v>1017</v>
      </c>
      <c r="O314" s="31">
        <f>1083</f>
        <v>1083</v>
      </c>
      <c r="P314" s="32" t="s">
        <v>1004</v>
      </c>
      <c r="Q314" s="31">
        <f>1112</f>
        <v>1112</v>
      </c>
      <c r="R314" s="32" t="s">
        <v>893</v>
      </c>
      <c r="S314" s="33">
        <f>1100.77</f>
        <v>1100.77</v>
      </c>
      <c r="T314" s="30">
        <f>27098</f>
        <v>27098</v>
      </c>
      <c r="U314" s="30">
        <f>14</f>
        <v>14</v>
      </c>
      <c r="V314" s="30">
        <f>29745015</f>
        <v>29745015</v>
      </c>
      <c r="W314" s="30">
        <f>14389</f>
        <v>14389</v>
      </c>
      <c r="X314" s="34">
        <f>22</f>
        <v>22</v>
      </c>
    </row>
    <row r="315" spans="1:24" ht="13.5" customHeight="1" x14ac:dyDescent="0.15">
      <c r="A315" s="25" t="s">
        <v>1102</v>
      </c>
      <c r="B315" s="25" t="s">
        <v>952</v>
      </c>
      <c r="C315" s="25" t="s">
        <v>953</v>
      </c>
      <c r="D315" s="25" t="s">
        <v>954</v>
      </c>
      <c r="E315" s="26" t="s">
        <v>45</v>
      </c>
      <c r="F315" s="27" t="s">
        <v>45</v>
      </c>
      <c r="G315" s="28" t="s">
        <v>45</v>
      </c>
      <c r="H315" s="29"/>
      <c r="I315" s="29" t="s">
        <v>46</v>
      </c>
      <c r="J315" s="30">
        <v>10</v>
      </c>
      <c r="K315" s="31">
        <f>2377.5</f>
        <v>2377.5</v>
      </c>
      <c r="L315" s="32" t="s">
        <v>995</v>
      </c>
      <c r="M315" s="31">
        <f>2417.5</f>
        <v>2417.5</v>
      </c>
      <c r="N315" s="32" t="s">
        <v>784</v>
      </c>
      <c r="O315" s="31">
        <f>2341</f>
        <v>2341</v>
      </c>
      <c r="P315" s="32" t="s">
        <v>894</v>
      </c>
      <c r="Q315" s="31">
        <f>2387</f>
        <v>2387</v>
      </c>
      <c r="R315" s="32" t="s">
        <v>893</v>
      </c>
      <c r="S315" s="33">
        <f>2377.95</f>
        <v>2377.9499999999998</v>
      </c>
      <c r="T315" s="30">
        <f>121450</f>
        <v>121450</v>
      </c>
      <c r="U315" s="30" t="str">
        <f>"－"</f>
        <v>－</v>
      </c>
      <c r="V315" s="30">
        <f>289143460</f>
        <v>289143460</v>
      </c>
      <c r="W315" s="30" t="str">
        <f>"－"</f>
        <v>－</v>
      </c>
      <c r="X315" s="34">
        <f>22</f>
        <v>22</v>
      </c>
    </row>
    <row r="316" spans="1:24" ht="13.5" customHeight="1" x14ac:dyDescent="0.15">
      <c r="A316" s="25" t="s">
        <v>1102</v>
      </c>
      <c r="B316" s="25" t="s">
        <v>955</v>
      </c>
      <c r="C316" s="25" t="s">
        <v>956</v>
      </c>
      <c r="D316" s="25" t="s">
        <v>957</v>
      </c>
      <c r="E316" s="26" t="s">
        <v>45</v>
      </c>
      <c r="F316" s="27" t="s">
        <v>45</v>
      </c>
      <c r="G316" s="28" t="s">
        <v>45</v>
      </c>
      <c r="H316" s="29"/>
      <c r="I316" s="29" t="s">
        <v>46</v>
      </c>
      <c r="J316" s="30">
        <v>10</v>
      </c>
      <c r="K316" s="31">
        <f>2415.5</f>
        <v>2415.5</v>
      </c>
      <c r="L316" s="32" t="s">
        <v>995</v>
      </c>
      <c r="M316" s="31">
        <f>2447.5</f>
        <v>2447.5</v>
      </c>
      <c r="N316" s="32" t="s">
        <v>790</v>
      </c>
      <c r="O316" s="31">
        <f>2331</f>
        <v>2331</v>
      </c>
      <c r="P316" s="32" t="s">
        <v>255</v>
      </c>
      <c r="Q316" s="31">
        <f>2356.5</f>
        <v>2356.5</v>
      </c>
      <c r="R316" s="32" t="s">
        <v>893</v>
      </c>
      <c r="S316" s="33">
        <f>2372.57</f>
        <v>2372.5700000000002</v>
      </c>
      <c r="T316" s="30">
        <f>328020</f>
        <v>328020</v>
      </c>
      <c r="U316" s="30">
        <f>83000</f>
        <v>83000</v>
      </c>
      <c r="V316" s="30">
        <f>784414266</f>
        <v>784414266</v>
      </c>
      <c r="W316" s="30">
        <f>199428001</f>
        <v>199428001</v>
      </c>
      <c r="X316" s="34">
        <f>22</f>
        <v>22</v>
      </c>
    </row>
    <row r="317" spans="1:24" ht="13.5" customHeight="1" x14ac:dyDescent="0.15">
      <c r="A317" s="25" t="s">
        <v>1102</v>
      </c>
      <c r="B317" s="25" t="s">
        <v>946</v>
      </c>
      <c r="C317" s="25" t="s">
        <v>947</v>
      </c>
      <c r="D317" s="25" t="s">
        <v>948</v>
      </c>
      <c r="E317" s="26" t="s">
        <v>45</v>
      </c>
      <c r="F317" s="27" t="s">
        <v>45</v>
      </c>
      <c r="G317" s="28" t="s">
        <v>45</v>
      </c>
      <c r="H317" s="29"/>
      <c r="I317" s="29" t="s">
        <v>46</v>
      </c>
      <c r="J317" s="30">
        <v>10</v>
      </c>
      <c r="K317" s="31">
        <f>4930</f>
        <v>4930</v>
      </c>
      <c r="L317" s="32" t="s">
        <v>1003</v>
      </c>
      <c r="M317" s="31">
        <f>5274</f>
        <v>5274</v>
      </c>
      <c r="N317" s="32" t="s">
        <v>997</v>
      </c>
      <c r="O317" s="31">
        <f>4930</f>
        <v>4930</v>
      </c>
      <c r="P317" s="32" t="s">
        <v>1003</v>
      </c>
      <c r="Q317" s="31">
        <f>5195</f>
        <v>5195</v>
      </c>
      <c r="R317" s="32" t="s">
        <v>893</v>
      </c>
      <c r="S317" s="33">
        <f>5090.33</f>
        <v>5090.33</v>
      </c>
      <c r="T317" s="30">
        <f>6260</f>
        <v>6260</v>
      </c>
      <c r="U317" s="30">
        <f>6000</f>
        <v>6000</v>
      </c>
      <c r="V317" s="30">
        <f>31536770</f>
        <v>31536770</v>
      </c>
      <c r="W317" s="30">
        <f>30212600</f>
        <v>30212600</v>
      </c>
      <c r="X317" s="34">
        <f>12</f>
        <v>12</v>
      </c>
    </row>
    <row r="318" spans="1:24" ht="13.5" customHeight="1" x14ac:dyDescent="0.15">
      <c r="A318" s="25" t="s">
        <v>1102</v>
      </c>
      <c r="B318" s="25" t="s">
        <v>949</v>
      </c>
      <c r="C318" s="25" t="s">
        <v>950</v>
      </c>
      <c r="D318" s="25" t="s">
        <v>951</v>
      </c>
      <c r="E318" s="26" t="s">
        <v>45</v>
      </c>
      <c r="F318" s="27" t="s">
        <v>45</v>
      </c>
      <c r="G318" s="28" t="s">
        <v>45</v>
      </c>
      <c r="H318" s="29"/>
      <c r="I318" s="29" t="s">
        <v>46</v>
      </c>
      <c r="J318" s="30">
        <v>10</v>
      </c>
      <c r="K318" s="31">
        <f>4414</f>
        <v>4414</v>
      </c>
      <c r="L318" s="32" t="s">
        <v>784</v>
      </c>
      <c r="M318" s="31">
        <f>4426</f>
        <v>4426</v>
      </c>
      <c r="N318" s="32" t="s">
        <v>56</v>
      </c>
      <c r="O318" s="31">
        <f>4368</f>
        <v>4368</v>
      </c>
      <c r="P318" s="32" t="s">
        <v>876</v>
      </c>
      <c r="Q318" s="31">
        <f>4424</f>
        <v>4424</v>
      </c>
      <c r="R318" s="32" t="s">
        <v>255</v>
      </c>
      <c r="S318" s="33">
        <f>4401.83</f>
        <v>4401.83</v>
      </c>
      <c r="T318" s="30">
        <f>110320</f>
        <v>110320</v>
      </c>
      <c r="U318" s="30">
        <f>110000</f>
        <v>110000</v>
      </c>
      <c r="V318" s="30">
        <f>481709560</f>
        <v>481709560</v>
      </c>
      <c r="W318" s="30">
        <f>480304000</f>
        <v>480304000</v>
      </c>
      <c r="X318" s="34">
        <f>6</f>
        <v>6</v>
      </c>
    </row>
    <row r="319" spans="1:24" ht="13.5" customHeight="1" x14ac:dyDescent="0.15">
      <c r="A319" s="25" t="s">
        <v>1102</v>
      </c>
      <c r="B319" s="25" t="s">
        <v>958</v>
      </c>
      <c r="C319" s="25" t="s">
        <v>959</v>
      </c>
      <c r="D319" s="25" t="s">
        <v>960</v>
      </c>
      <c r="E319" s="26" t="s">
        <v>45</v>
      </c>
      <c r="F319" s="27" t="s">
        <v>45</v>
      </c>
      <c r="G319" s="28" t="s">
        <v>45</v>
      </c>
      <c r="H319" s="29"/>
      <c r="I319" s="29" t="s">
        <v>46</v>
      </c>
      <c r="J319" s="30">
        <v>10</v>
      </c>
      <c r="K319" s="31">
        <f>1866</f>
        <v>1866</v>
      </c>
      <c r="L319" s="32" t="s">
        <v>56</v>
      </c>
      <c r="M319" s="31">
        <f>1968.5</f>
        <v>1968.5</v>
      </c>
      <c r="N319" s="32" t="s">
        <v>876</v>
      </c>
      <c r="O319" s="31">
        <f>1866</f>
        <v>1866</v>
      </c>
      <c r="P319" s="32" t="s">
        <v>56</v>
      </c>
      <c r="Q319" s="31">
        <f>1958.5</f>
        <v>1958.5</v>
      </c>
      <c r="R319" s="32" t="s">
        <v>1001</v>
      </c>
      <c r="S319" s="33">
        <f>1957.25</f>
        <v>1957.25</v>
      </c>
      <c r="T319" s="30">
        <f>2510</f>
        <v>2510</v>
      </c>
      <c r="U319" s="30" t="str">
        <f>"－"</f>
        <v>－</v>
      </c>
      <c r="V319" s="30">
        <f>4881280</f>
        <v>4881280</v>
      </c>
      <c r="W319" s="30" t="str">
        <f>"－"</f>
        <v>－</v>
      </c>
      <c r="X319" s="34">
        <f>6</f>
        <v>6</v>
      </c>
    </row>
    <row r="320" spans="1:24" ht="13.5" customHeight="1" x14ac:dyDescent="0.15">
      <c r="A320" s="25" t="s">
        <v>1102</v>
      </c>
      <c r="B320" s="25" t="s">
        <v>961</v>
      </c>
      <c r="C320" s="25" t="s">
        <v>962</v>
      </c>
      <c r="D320" s="25" t="s">
        <v>963</v>
      </c>
      <c r="E320" s="26" t="s">
        <v>45</v>
      </c>
      <c r="F320" s="27" t="s">
        <v>45</v>
      </c>
      <c r="G320" s="28" t="s">
        <v>45</v>
      </c>
      <c r="H320" s="29"/>
      <c r="I320" s="29" t="s">
        <v>46</v>
      </c>
      <c r="J320" s="30">
        <v>1</v>
      </c>
      <c r="K320" s="31">
        <f>1102</f>
        <v>1102</v>
      </c>
      <c r="L320" s="32" t="s">
        <v>995</v>
      </c>
      <c r="M320" s="31">
        <f>1196</f>
        <v>1196</v>
      </c>
      <c r="N320" s="32" t="s">
        <v>790</v>
      </c>
      <c r="O320" s="31">
        <f>1102</f>
        <v>1102</v>
      </c>
      <c r="P320" s="32" t="s">
        <v>995</v>
      </c>
      <c r="Q320" s="31">
        <f>1168</f>
        <v>1168</v>
      </c>
      <c r="R320" s="32" t="s">
        <v>893</v>
      </c>
      <c r="S320" s="33">
        <f>1144.91</f>
        <v>1144.9100000000001</v>
      </c>
      <c r="T320" s="30">
        <f>4332</f>
        <v>4332</v>
      </c>
      <c r="U320" s="30" t="str">
        <f>"－"</f>
        <v>－</v>
      </c>
      <c r="V320" s="30">
        <f>4980659</f>
        <v>4980659</v>
      </c>
      <c r="W320" s="30" t="str">
        <f>"－"</f>
        <v>－</v>
      </c>
      <c r="X320" s="34">
        <f>22</f>
        <v>22</v>
      </c>
    </row>
    <row r="321" spans="1:24" ht="13.5" customHeight="1" x14ac:dyDescent="0.15">
      <c r="A321" s="25" t="s">
        <v>1102</v>
      </c>
      <c r="B321" s="25" t="s">
        <v>964</v>
      </c>
      <c r="C321" s="25" t="s">
        <v>965</v>
      </c>
      <c r="D321" s="25" t="s">
        <v>966</v>
      </c>
      <c r="E321" s="26" t="s">
        <v>45</v>
      </c>
      <c r="F321" s="27" t="s">
        <v>45</v>
      </c>
      <c r="G321" s="28" t="s">
        <v>45</v>
      </c>
      <c r="H321" s="29"/>
      <c r="I321" s="29" t="s">
        <v>46</v>
      </c>
      <c r="J321" s="30">
        <v>1</v>
      </c>
      <c r="K321" s="31">
        <f>1067</f>
        <v>1067</v>
      </c>
      <c r="L321" s="32" t="s">
        <v>995</v>
      </c>
      <c r="M321" s="31">
        <f>1137</f>
        <v>1137</v>
      </c>
      <c r="N321" s="32" t="s">
        <v>78</v>
      </c>
      <c r="O321" s="31">
        <f>1063</f>
        <v>1063</v>
      </c>
      <c r="P321" s="32" t="s">
        <v>995</v>
      </c>
      <c r="Q321" s="31">
        <f>1113</f>
        <v>1113</v>
      </c>
      <c r="R321" s="32" t="s">
        <v>893</v>
      </c>
      <c r="S321" s="33">
        <f>1088.59</f>
        <v>1088.5899999999999</v>
      </c>
      <c r="T321" s="30">
        <f>797354</f>
        <v>797354</v>
      </c>
      <c r="U321" s="30">
        <f>14</f>
        <v>14</v>
      </c>
      <c r="V321" s="30">
        <f>863413410</f>
        <v>863413410</v>
      </c>
      <c r="W321" s="30">
        <f>14203</f>
        <v>14203</v>
      </c>
      <c r="X321" s="34">
        <f>22</f>
        <v>22</v>
      </c>
    </row>
    <row r="322" spans="1:24" ht="13.5" customHeight="1" x14ac:dyDescent="0.15">
      <c r="A322" s="25" t="s">
        <v>1102</v>
      </c>
      <c r="B322" s="25" t="s">
        <v>967</v>
      </c>
      <c r="C322" s="25" t="s">
        <v>968</v>
      </c>
      <c r="D322" s="25" t="s">
        <v>969</v>
      </c>
      <c r="E322" s="26" t="s">
        <v>45</v>
      </c>
      <c r="F322" s="27" t="s">
        <v>45</v>
      </c>
      <c r="G322" s="28" t="s">
        <v>45</v>
      </c>
      <c r="H322" s="29"/>
      <c r="I322" s="29" t="s">
        <v>46</v>
      </c>
      <c r="J322" s="30">
        <v>1</v>
      </c>
      <c r="K322" s="31">
        <f>898</f>
        <v>898</v>
      </c>
      <c r="L322" s="32" t="s">
        <v>995</v>
      </c>
      <c r="M322" s="31">
        <f>931</f>
        <v>931</v>
      </c>
      <c r="N322" s="32" t="s">
        <v>893</v>
      </c>
      <c r="O322" s="31">
        <f>894</f>
        <v>894</v>
      </c>
      <c r="P322" s="32" t="s">
        <v>1002</v>
      </c>
      <c r="Q322" s="31">
        <f>930</f>
        <v>930</v>
      </c>
      <c r="R322" s="32" t="s">
        <v>893</v>
      </c>
      <c r="S322" s="33">
        <f>911.68</f>
        <v>911.68</v>
      </c>
      <c r="T322" s="30">
        <f>715817</f>
        <v>715817</v>
      </c>
      <c r="U322" s="30">
        <f>6</f>
        <v>6</v>
      </c>
      <c r="V322" s="30">
        <f>651574597</f>
        <v>651574597</v>
      </c>
      <c r="W322" s="30">
        <f>5520</f>
        <v>5520</v>
      </c>
      <c r="X322" s="34">
        <f>22</f>
        <v>22</v>
      </c>
    </row>
    <row r="323" spans="1:24" ht="13.5" customHeight="1" x14ac:dyDescent="0.15">
      <c r="A323" s="25" t="s">
        <v>1102</v>
      </c>
      <c r="B323" s="25" t="s">
        <v>974</v>
      </c>
      <c r="C323" s="25" t="s">
        <v>975</v>
      </c>
      <c r="D323" s="25" t="s">
        <v>976</v>
      </c>
      <c r="E323" s="26" t="s">
        <v>45</v>
      </c>
      <c r="F323" s="27" t="s">
        <v>45</v>
      </c>
      <c r="G323" s="28" t="s">
        <v>45</v>
      </c>
      <c r="H323" s="29"/>
      <c r="I323" s="29" t="s">
        <v>46</v>
      </c>
      <c r="J323" s="30">
        <v>1</v>
      </c>
      <c r="K323" s="31">
        <f>1022</f>
        <v>1022</v>
      </c>
      <c r="L323" s="32" t="s">
        <v>995</v>
      </c>
      <c r="M323" s="31">
        <f>1194</f>
        <v>1194</v>
      </c>
      <c r="N323" s="32" t="s">
        <v>893</v>
      </c>
      <c r="O323" s="31">
        <f>1022</f>
        <v>1022</v>
      </c>
      <c r="P323" s="32" t="s">
        <v>995</v>
      </c>
      <c r="Q323" s="31">
        <f>1181</f>
        <v>1181</v>
      </c>
      <c r="R323" s="32" t="s">
        <v>893</v>
      </c>
      <c r="S323" s="33">
        <f>1130.45</f>
        <v>1130.45</v>
      </c>
      <c r="T323" s="30">
        <f>66212</f>
        <v>66212</v>
      </c>
      <c r="U323" s="30" t="str">
        <f>"－"</f>
        <v>－</v>
      </c>
      <c r="V323" s="30">
        <f>75830842</f>
        <v>75830842</v>
      </c>
      <c r="W323" s="30" t="str">
        <f>"－"</f>
        <v>－</v>
      </c>
      <c r="X323" s="34">
        <f>22</f>
        <v>22</v>
      </c>
    </row>
    <row r="324" spans="1:24" ht="13.5" customHeight="1" x14ac:dyDescent="0.15">
      <c r="A324" s="25" t="s">
        <v>1102</v>
      </c>
      <c r="B324" s="25" t="s">
        <v>977</v>
      </c>
      <c r="C324" s="25" t="s">
        <v>978</v>
      </c>
      <c r="D324" s="25" t="s">
        <v>979</v>
      </c>
      <c r="E324" s="26" t="s">
        <v>45</v>
      </c>
      <c r="F324" s="27" t="s">
        <v>45</v>
      </c>
      <c r="G324" s="28" t="s">
        <v>45</v>
      </c>
      <c r="H324" s="29"/>
      <c r="I324" s="29" t="s">
        <v>46</v>
      </c>
      <c r="J324" s="30">
        <v>1</v>
      </c>
      <c r="K324" s="31">
        <f>976</f>
        <v>976</v>
      </c>
      <c r="L324" s="32" t="s">
        <v>995</v>
      </c>
      <c r="M324" s="31">
        <f>1023</f>
        <v>1023</v>
      </c>
      <c r="N324" s="32" t="s">
        <v>893</v>
      </c>
      <c r="O324" s="31">
        <f>975</f>
        <v>975</v>
      </c>
      <c r="P324" s="32" t="s">
        <v>995</v>
      </c>
      <c r="Q324" s="31">
        <f>1022</f>
        <v>1022</v>
      </c>
      <c r="R324" s="32" t="s">
        <v>893</v>
      </c>
      <c r="S324" s="33">
        <f>995.5</f>
        <v>995.5</v>
      </c>
      <c r="T324" s="30">
        <f>273193</f>
        <v>273193</v>
      </c>
      <c r="U324" s="30">
        <f>14</f>
        <v>14</v>
      </c>
      <c r="V324" s="30">
        <f>271139393</f>
        <v>271139393</v>
      </c>
      <c r="W324" s="30">
        <f>13203</f>
        <v>13203</v>
      </c>
      <c r="X324" s="34">
        <f>22</f>
        <v>22</v>
      </c>
    </row>
    <row r="325" spans="1:24" ht="13.5" customHeight="1" x14ac:dyDescent="0.15">
      <c r="A325" s="25" t="s">
        <v>1102</v>
      </c>
      <c r="B325" s="25" t="s">
        <v>980</v>
      </c>
      <c r="C325" s="25" t="s">
        <v>981</v>
      </c>
      <c r="D325" s="25" t="s">
        <v>1089</v>
      </c>
      <c r="E325" s="26" t="s">
        <v>45</v>
      </c>
      <c r="F325" s="27" t="s">
        <v>45</v>
      </c>
      <c r="G325" s="28" t="s">
        <v>45</v>
      </c>
      <c r="H325" s="29"/>
      <c r="I325" s="29" t="s">
        <v>46</v>
      </c>
      <c r="J325" s="30">
        <v>1</v>
      </c>
      <c r="K325" s="31">
        <f>27250</f>
        <v>27250</v>
      </c>
      <c r="L325" s="32" t="s">
        <v>995</v>
      </c>
      <c r="M325" s="31">
        <f>31960</f>
        <v>31960</v>
      </c>
      <c r="N325" s="32" t="s">
        <v>876</v>
      </c>
      <c r="O325" s="31">
        <f>27040</f>
        <v>27040</v>
      </c>
      <c r="P325" s="32" t="s">
        <v>995</v>
      </c>
      <c r="Q325" s="31">
        <f>29665</f>
        <v>29665</v>
      </c>
      <c r="R325" s="32" t="s">
        <v>893</v>
      </c>
      <c r="S325" s="33">
        <f>29052.73</f>
        <v>29052.73</v>
      </c>
      <c r="T325" s="30">
        <f>355191</f>
        <v>355191</v>
      </c>
      <c r="U325" s="30">
        <f>18</f>
        <v>18</v>
      </c>
      <c r="V325" s="30">
        <f>10278377590</f>
        <v>10278377590</v>
      </c>
      <c r="W325" s="30">
        <f>531815</f>
        <v>531815</v>
      </c>
      <c r="X325" s="34">
        <f>22</f>
        <v>22</v>
      </c>
    </row>
    <row r="326" spans="1:24" ht="13.5" customHeight="1" x14ac:dyDescent="0.15">
      <c r="A326" s="25" t="s">
        <v>1102</v>
      </c>
      <c r="B326" s="25" t="s">
        <v>983</v>
      </c>
      <c r="C326" s="25" t="s">
        <v>984</v>
      </c>
      <c r="D326" s="25" t="s">
        <v>1090</v>
      </c>
      <c r="E326" s="26" t="s">
        <v>45</v>
      </c>
      <c r="F326" s="27" t="s">
        <v>45</v>
      </c>
      <c r="G326" s="28" t="s">
        <v>45</v>
      </c>
      <c r="H326" s="29"/>
      <c r="I326" s="29" t="s">
        <v>46</v>
      </c>
      <c r="J326" s="30">
        <v>1</v>
      </c>
      <c r="K326" s="31">
        <f>38380</f>
        <v>38380</v>
      </c>
      <c r="L326" s="32" t="s">
        <v>995</v>
      </c>
      <c r="M326" s="31">
        <f>38650</f>
        <v>38650</v>
      </c>
      <c r="N326" s="32" t="s">
        <v>995</v>
      </c>
      <c r="O326" s="31">
        <f>33990</f>
        <v>33990</v>
      </c>
      <c r="P326" s="32" t="s">
        <v>876</v>
      </c>
      <c r="Q326" s="31">
        <f>34850</f>
        <v>34850</v>
      </c>
      <c r="R326" s="32" t="s">
        <v>893</v>
      </c>
      <c r="S326" s="33">
        <f>35865</f>
        <v>35865</v>
      </c>
      <c r="T326" s="30">
        <f>155518</f>
        <v>155518</v>
      </c>
      <c r="U326" s="30" t="str">
        <f>"－"</f>
        <v>－</v>
      </c>
      <c r="V326" s="30">
        <f>5575277710</f>
        <v>5575277710</v>
      </c>
      <c r="W326" s="30" t="str">
        <f>"－"</f>
        <v>－</v>
      </c>
      <c r="X326" s="34">
        <f>22</f>
        <v>22</v>
      </c>
    </row>
  </sheetData>
  <mergeCells count="3">
    <mergeCell ref="N1:X3"/>
    <mergeCell ref="A2:M2"/>
    <mergeCell ref="A3:M3"/>
  </mergeCells>
  <phoneticPr fontId="3"/>
  <printOptions horizontalCentered="1"/>
  <pageMargins left="0.39370078740157483" right="0.39370078740157483" top="0.39370078740157483" bottom="0.59055118110236227" header="0.27559055118110237" footer="0.27559055118110237"/>
  <pageSetup paperSize="9" scale="34" fitToHeight="0" orientation="landscape" r:id="rId1"/>
  <headerFooter>
    <oddFooter>&amp;C&amp;P/&amp;N&amp;RCopyright (c) Tokyo Stock Exchange, Inc. All Rights Reserved.</oddFooter>
  </headerFooter>
  <customProperties>
    <customPr name="layoutContexts" r:id="rId2"/>
  </customPropertie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C3E317-8734-4A5C-92E8-8996F8C12D4C}">
  <sheetPr>
    <pageSetUpPr fitToPage="1"/>
  </sheetPr>
  <dimension ref="A1:X324"/>
  <sheetViews>
    <sheetView showGridLines="0" view="pageBreakPreview" zoomScaleNormal="70" zoomScaleSheetLayoutView="100" workbookViewId="0">
      <pane ySplit="6" topLeftCell="A7" activePane="bottomLeft" state="frozen"/>
      <selection activeCell="A2" sqref="A2:M2"/>
      <selection pane="bottomLeft" activeCell="A2" sqref="A2:M2"/>
    </sheetView>
  </sheetViews>
  <sheetFormatPr defaultRowHeight="13.5" customHeight="1" x14ac:dyDescent="0.4"/>
  <cols>
    <col min="1" max="1" width="13.125" style="3" bestFit="1" customWidth="1"/>
    <col min="2" max="2" width="10.75" style="3" bestFit="1" customWidth="1"/>
    <col min="3" max="4" width="27.625" style="3" customWidth="1"/>
    <col min="5" max="5" width="13.75" style="3" bestFit="1" customWidth="1"/>
    <col min="6" max="6" width="20.75" style="3" bestFit="1" customWidth="1"/>
    <col min="7" max="7" width="11.25" style="3" customWidth="1"/>
    <col min="8" max="8" width="8.75" style="3" bestFit="1" customWidth="1"/>
    <col min="9" max="9" width="11.75" style="3" bestFit="1" customWidth="1"/>
    <col min="10" max="10" width="12.625" style="3" bestFit="1" customWidth="1"/>
    <col min="11" max="11" width="16.25" style="3" customWidth="1"/>
    <col min="12" max="12" width="5.625" style="3" bestFit="1" customWidth="1"/>
    <col min="13" max="13" width="16.25" style="3" customWidth="1"/>
    <col min="14" max="14" width="5.625" style="3" bestFit="1" customWidth="1"/>
    <col min="15" max="15" width="16.25" style="3" customWidth="1"/>
    <col min="16" max="16" width="5.625" style="3" bestFit="1" customWidth="1"/>
    <col min="17" max="17" width="16.25" style="3" customWidth="1"/>
    <col min="18" max="18" width="5.625" style="3" bestFit="1" customWidth="1"/>
    <col min="19" max="19" width="23.875" style="3" bestFit="1" customWidth="1"/>
    <col min="20" max="20" width="16.25" style="3" customWidth="1"/>
    <col min="21" max="21" width="24.125" style="3" customWidth="1"/>
    <col min="22" max="22" width="19.875" style="3" bestFit="1" customWidth="1"/>
    <col min="23" max="23" width="25" style="3" bestFit="1" customWidth="1"/>
    <col min="24" max="24" width="13.125" style="3" bestFit="1" customWidth="1"/>
    <col min="25" max="16384" width="9" style="3"/>
  </cols>
  <sheetData>
    <row r="1" spans="1:24" ht="13.5" customHeight="1" x14ac:dyDescent="0.4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6" t="s">
        <v>0</v>
      </c>
      <c r="O1" s="36"/>
      <c r="P1" s="36"/>
      <c r="Q1" s="36"/>
      <c r="R1" s="36"/>
      <c r="S1" s="36"/>
      <c r="T1" s="36"/>
      <c r="U1" s="36"/>
      <c r="V1" s="36"/>
      <c r="W1" s="36"/>
      <c r="X1" s="37"/>
    </row>
    <row r="2" spans="1:24" ht="99" customHeight="1" x14ac:dyDescent="0.4">
      <c r="A2" s="42" t="s">
        <v>1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38"/>
      <c r="O2" s="38"/>
      <c r="P2" s="38"/>
      <c r="Q2" s="38"/>
      <c r="R2" s="38"/>
      <c r="S2" s="38"/>
      <c r="T2" s="38"/>
      <c r="U2" s="38"/>
      <c r="V2" s="38"/>
      <c r="W2" s="38"/>
      <c r="X2" s="39"/>
    </row>
    <row r="3" spans="1:24" ht="39" customHeight="1" x14ac:dyDescent="0.4">
      <c r="A3" s="44" t="s">
        <v>2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0"/>
      <c r="O3" s="40"/>
      <c r="P3" s="40"/>
      <c r="Q3" s="40"/>
      <c r="R3" s="40"/>
      <c r="S3" s="40"/>
      <c r="T3" s="40"/>
      <c r="U3" s="40"/>
      <c r="V3" s="40"/>
      <c r="W3" s="40"/>
      <c r="X3" s="41"/>
    </row>
    <row r="4" spans="1:24" s="10" customFormat="1" ht="13.5" customHeight="1" x14ac:dyDescent="0.4">
      <c r="A4" s="4" t="s">
        <v>3</v>
      </c>
      <c r="B4" s="4" t="s">
        <v>4</v>
      </c>
      <c r="C4" s="4"/>
      <c r="D4" s="4"/>
      <c r="E4" s="5"/>
      <c r="F4" s="6"/>
      <c r="G4" s="7" t="s">
        <v>5</v>
      </c>
      <c r="H4" s="4" t="s">
        <v>6</v>
      </c>
      <c r="I4" s="4" t="s">
        <v>7</v>
      </c>
      <c r="J4" s="4" t="s">
        <v>8</v>
      </c>
      <c r="K4" s="8" t="s">
        <v>9</v>
      </c>
      <c r="L4" s="7" t="s">
        <v>5</v>
      </c>
      <c r="M4" s="8" t="s">
        <v>10</v>
      </c>
      <c r="N4" s="7" t="s">
        <v>5</v>
      </c>
      <c r="O4" s="8" t="s">
        <v>11</v>
      </c>
      <c r="P4" s="7" t="s">
        <v>5</v>
      </c>
      <c r="Q4" s="8" t="s">
        <v>12</v>
      </c>
      <c r="R4" s="7" t="s">
        <v>5</v>
      </c>
      <c r="S4" s="4" t="s">
        <v>13</v>
      </c>
      <c r="T4" s="4" t="s">
        <v>14</v>
      </c>
      <c r="U4" s="9" t="s">
        <v>15</v>
      </c>
      <c r="V4" s="4" t="s">
        <v>16</v>
      </c>
      <c r="W4" s="4" t="s">
        <v>17</v>
      </c>
      <c r="X4" s="4" t="s">
        <v>18</v>
      </c>
    </row>
    <row r="5" spans="1:24" ht="13.5" customHeight="1" x14ac:dyDescent="0.4">
      <c r="A5" s="11" t="s">
        <v>19</v>
      </c>
      <c r="B5" s="11" t="s">
        <v>20</v>
      </c>
      <c r="C5" s="11" t="s">
        <v>21</v>
      </c>
      <c r="D5" s="11" t="s">
        <v>22</v>
      </c>
      <c r="E5" s="12" t="s">
        <v>23</v>
      </c>
      <c r="F5" s="13" t="s">
        <v>24</v>
      </c>
      <c r="G5" s="14" t="s">
        <v>25</v>
      </c>
      <c r="H5" s="15" t="s">
        <v>26</v>
      </c>
      <c r="I5" s="15" t="s">
        <v>27</v>
      </c>
      <c r="J5" s="15" t="s">
        <v>28</v>
      </c>
      <c r="K5" s="16" t="s">
        <v>29</v>
      </c>
      <c r="L5" s="14" t="s">
        <v>25</v>
      </c>
      <c r="M5" s="16" t="s">
        <v>30</v>
      </c>
      <c r="N5" s="14" t="s">
        <v>25</v>
      </c>
      <c r="O5" s="16" t="s">
        <v>31</v>
      </c>
      <c r="P5" s="14" t="s">
        <v>25</v>
      </c>
      <c r="Q5" s="16" t="s">
        <v>32</v>
      </c>
      <c r="R5" s="14" t="s">
        <v>25</v>
      </c>
      <c r="S5" s="17" t="s">
        <v>33</v>
      </c>
      <c r="T5" s="17" t="s">
        <v>34</v>
      </c>
      <c r="U5" s="11" t="s">
        <v>35</v>
      </c>
      <c r="V5" s="17" t="s">
        <v>36</v>
      </c>
      <c r="W5" s="17" t="s">
        <v>37</v>
      </c>
      <c r="X5" s="17" t="s">
        <v>38</v>
      </c>
    </row>
    <row r="6" spans="1:24" ht="13.5" customHeight="1" x14ac:dyDescent="0.15">
      <c r="A6" s="18"/>
      <c r="B6" s="18"/>
      <c r="C6" s="18"/>
      <c r="D6" s="18"/>
      <c r="E6" s="19"/>
      <c r="F6" s="20"/>
      <c r="G6" s="21"/>
      <c r="H6" s="22"/>
      <c r="I6" s="22"/>
      <c r="J6" s="22" t="s">
        <v>39</v>
      </c>
      <c r="K6" s="23" t="s">
        <v>40</v>
      </c>
      <c r="L6" s="24"/>
      <c r="M6" s="23" t="s">
        <v>40</v>
      </c>
      <c r="N6" s="24"/>
      <c r="O6" s="23" t="s">
        <v>40</v>
      </c>
      <c r="P6" s="24"/>
      <c r="Q6" s="23" t="s">
        <v>40</v>
      </c>
      <c r="R6" s="24"/>
      <c r="S6" s="23" t="s">
        <v>40</v>
      </c>
      <c r="T6" s="22" t="s">
        <v>41</v>
      </c>
      <c r="U6" s="22" t="s">
        <v>41</v>
      </c>
      <c r="V6" s="23" t="s">
        <v>40</v>
      </c>
      <c r="W6" s="23" t="s">
        <v>40</v>
      </c>
      <c r="X6" s="22"/>
    </row>
    <row r="7" spans="1:24" s="35" customFormat="1" ht="13.5" customHeight="1" x14ac:dyDescent="0.15">
      <c r="A7" s="25" t="s">
        <v>1091</v>
      </c>
      <c r="B7" s="25" t="s">
        <v>42</v>
      </c>
      <c r="C7" s="25" t="s">
        <v>1033</v>
      </c>
      <c r="D7" s="25" t="s">
        <v>1034</v>
      </c>
      <c r="E7" s="26" t="s">
        <v>45</v>
      </c>
      <c r="F7" s="27" t="s">
        <v>45</v>
      </c>
      <c r="G7" s="28" t="s">
        <v>45</v>
      </c>
      <c r="H7" s="29"/>
      <c r="I7" s="29" t="s">
        <v>46</v>
      </c>
      <c r="J7" s="30">
        <v>10</v>
      </c>
      <c r="K7" s="31">
        <f>2211.5</f>
        <v>2211.5</v>
      </c>
      <c r="L7" s="32" t="s">
        <v>995</v>
      </c>
      <c r="M7" s="31">
        <f>2340</f>
        <v>2340</v>
      </c>
      <c r="N7" s="32" t="s">
        <v>894</v>
      </c>
      <c r="O7" s="31">
        <f>2209</f>
        <v>2209</v>
      </c>
      <c r="P7" s="32" t="s">
        <v>995</v>
      </c>
      <c r="Q7" s="31">
        <f>2275.5</f>
        <v>2275.5</v>
      </c>
      <c r="R7" s="32" t="s">
        <v>791</v>
      </c>
      <c r="S7" s="33">
        <f>2271.53</f>
        <v>2271.5300000000002</v>
      </c>
      <c r="T7" s="30">
        <f>22227930</f>
        <v>22227930</v>
      </c>
      <c r="U7" s="30">
        <f>16945140</f>
        <v>16945140</v>
      </c>
      <c r="V7" s="30">
        <f>50977128412</f>
        <v>50977128412</v>
      </c>
      <c r="W7" s="30">
        <f>38883427267</f>
        <v>38883427267</v>
      </c>
      <c r="X7" s="34">
        <f>20</f>
        <v>20</v>
      </c>
    </row>
    <row r="8" spans="1:24" ht="13.5" customHeight="1" x14ac:dyDescent="0.15">
      <c r="A8" s="25" t="s">
        <v>1091</v>
      </c>
      <c r="B8" s="25" t="s">
        <v>47</v>
      </c>
      <c r="C8" s="25" t="s">
        <v>48</v>
      </c>
      <c r="D8" s="25" t="s">
        <v>49</v>
      </c>
      <c r="E8" s="26" t="s">
        <v>45</v>
      </c>
      <c r="F8" s="27" t="s">
        <v>45</v>
      </c>
      <c r="G8" s="28" t="s">
        <v>45</v>
      </c>
      <c r="H8" s="29"/>
      <c r="I8" s="29" t="s">
        <v>46</v>
      </c>
      <c r="J8" s="30">
        <v>10</v>
      </c>
      <c r="K8" s="31">
        <f>2187.5</f>
        <v>2187.5</v>
      </c>
      <c r="L8" s="32" t="s">
        <v>995</v>
      </c>
      <c r="M8" s="31">
        <f>2314</f>
        <v>2314</v>
      </c>
      <c r="N8" s="32" t="s">
        <v>894</v>
      </c>
      <c r="O8" s="31">
        <f>2184.5</f>
        <v>2184.5</v>
      </c>
      <c r="P8" s="32" t="s">
        <v>1000</v>
      </c>
      <c r="Q8" s="31">
        <f>2250.5</f>
        <v>2250.5</v>
      </c>
      <c r="R8" s="32" t="s">
        <v>791</v>
      </c>
      <c r="S8" s="33">
        <f>2246.75</f>
        <v>2246.75</v>
      </c>
      <c r="T8" s="30">
        <f>37697470</f>
        <v>37697470</v>
      </c>
      <c r="U8" s="30">
        <f>2499500</f>
        <v>2499500</v>
      </c>
      <c r="V8" s="30">
        <f>84830622438</f>
        <v>84830622438</v>
      </c>
      <c r="W8" s="30">
        <f>5630099268</f>
        <v>5630099268</v>
      </c>
      <c r="X8" s="34">
        <f>20</f>
        <v>20</v>
      </c>
    </row>
    <row r="9" spans="1:24" ht="13.5" customHeight="1" x14ac:dyDescent="0.15">
      <c r="A9" s="25" t="s">
        <v>1091</v>
      </c>
      <c r="B9" s="25" t="s">
        <v>50</v>
      </c>
      <c r="C9" s="25" t="s">
        <v>51</v>
      </c>
      <c r="D9" s="25" t="s">
        <v>52</v>
      </c>
      <c r="E9" s="26" t="s">
        <v>45</v>
      </c>
      <c r="F9" s="27" t="s">
        <v>45</v>
      </c>
      <c r="G9" s="28" t="s">
        <v>45</v>
      </c>
      <c r="H9" s="29"/>
      <c r="I9" s="29" t="s">
        <v>46</v>
      </c>
      <c r="J9" s="30">
        <v>100</v>
      </c>
      <c r="K9" s="31">
        <f>2161.5</f>
        <v>2161.5</v>
      </c>
      <c r="L9" s="32" t="s">
        <v>995</v>
      </c>
      <c r="M9" s="31">
        <f>2286.5</f>
        <v>2286.5</v>
      </c>
      <c r="N9" s="32" t="s">
        <v>894</v>
      </c>
      <c r="O9" s="31">
        <f>2160</f>
        <v>2160</v>
      </c>
      <c r="P9" s="32" t="s">
        <v>995</v>
      </c>
      <c r="Q9" s="31">
        <f>2223.5</f>
        <v>2223.5</v>
      </c>
      <c r="R9" s="32" t="s">
        <v>791</v>
      </c>
      <c r="S9" s="33">
        <f>2220.28</f>
        <v>2220.2800000000002</v>
      </c>
      <c r="T9" s="30">
        <f>7291900</f>
        <v>7291900</v>
      </c>
      <c r="U9" s="30">
        <f>451800</f>
        <v>451800</v>
      </c>
      <c r="V9" s="30">
        <f>16283272340</f>
        <v>16283272340</v>
      </c>
      <c r="W9" s="30">
        <f>1021340140</f>
        <v>1021340140</v>
      </c>
      <c r="X9" s="34">
        <f>20</f>
        <v>20</v>
      </c>
    </row>
    <row r="10" spans="1:24" ht="13.5" customHeight="1" x14ac:dyDescent="0.15">
      <c r="A10" s="25" t="s">
        <v>1091</v>
      </c>
      <c r="B10" s="25" t="s">
        <v>53</v>
      </c>
      <c r="C10" s="25" t="s">
        <v>54</v>
      </c>
      <c r="D10" s="25" t="s">
        <v>55</v>
      </c>
      <c r="E10" s="26" t="s">
        <v>45</v>
      </c>
      <c r="F10" s="27" t="s">
        <v>45</v>
      </c>
      <c r="G10" s="28" t="s">
        <v>45</v>
      </c>
      <c r="H10" s="29"/>
      <c r="I10" s="29" t="s">
        <v>46</v>
      </c>
      <c r="J10" s="30">
        <v>1</v>
      </c>
      <c r="K10" s="31">
        <f>40300</f>
        <v>40300</v>
      </c>
      <c r="L10" s="32" t="s">
        <v>995</v>
      </c>
      <c r="M10" s="31">
        <f>40900</f>
        <v>40900</v>
      </c>
      <c r="N10" s="32" t="s">
        <v>1004</v>
      </c>
      <c r="O10" s="31">
        <f>38100</f>
        <v>38100</v>
      </c>
      <c r="P10" s="32" t="s">
        <v>893</v>
      </c>
      <c r="Q10" s="31">
        <f>38500</f>
        <v>38500</v>
      </c>
      <c r="R10" s="32" t="s">
        <v>791</v>
      </c>
      <c r="S10" s="33">
        <f>39526.5</f>
        <v>39526.5</v>
      </c>
      <c r="T10" s="30">
        <f>4336</f>
        <v>4336</v>
      </c>
      <c r="U10" s="30" t="str">
        <f>"－"</f>
        <v>－</v>
      </c>
      <c r="V10" s="30">
        <f>171347620</f>
        <v>171347620</v>
      </c>
      <c r="W10" s="30" t="str">
        <f>"－"</f>
        <v>－</v>
      </c>
      <c r="X10" s="34">
        <f>20</f>
        <v>20</v>
      </c>
    </row>
    <row r="11" spans="1:24" ht="13.5" customHeight="1" x14ac:dyDescent="0.15">
      <c r="A11" s="25" t="s">
        <v>1091</v>
      </c>
      <c r="B11" s="25" t="s">
        <v>57</v>
      </c>
      <c r="C11" s="25" t="s">
        <v>58</v>
      </c>
      <c r="D11" s="25" t="s">
        <v>59</v>
      </c>
      <c r="E11" s="26" t="s">
        <v>45</v>
      </c>
      <c r="F11" s="27" t="s">
        <v>45</v>
      </c>
      <c r="G11" s="28" t="s">
        <v>45</v>
      </c>
      <c r="H11" s="29"/>
      <c r="I11" s="29" t="s">
        <v>46</v>
      </c>
      <c r="J11" s="30">
        <v>10</v>
      </c>
      <c r="K11" s="31">
        <f>1013.5</f>
        <v>1013.5</v>
      </c>
      <c r="L11" s="32" t="s">
        <v>995</v>
      </c>
      <c r="M11" s="31">
        <f>1095</f>
        <v>1095</v>
      </c>
      <c r="N11" s="32" t="s">
        <v>894</v>
      </c>
      <c r="O11" s="31">
        <f>1003</f>
        <v>1003</v>
      </c>
      <c r="P11" s="32" t="s">
        <v>794</v>
      </c>
      <c r="Q11" s="31">
        <f>1078.5</f>
        <v>1078.5</v>
      </c>
      <c r="R11" s="32" t="s">
        <v>791</v>
      </c>
      <c r="S11" s="33">
        <f>1059.25</f>
        <v>1059.25</v>
      </c>
      <c r="T11" s="30">
        <f>204640</f>
        <v>204640</v>
      </c>
      <c r="U11" s="30">
        <f>20</f>
        <v>20</v>
      </c>
      <c r="V11" s="30">
        <f>218167165</f>
        <v>218167165</v>
      </c>
      <c r="W11" s="30">
        <f>21660</f>
        <v>21660</v>
      </c>
      <c r="X11" s="34">
        <f>20</f>
        <v>20</v>
      </c>
    </row>
    <row r="12" spans="1:24" ht="13.5" customHeight="1" x14ac:dyDescent="0.15">
      <c r="A12" s="25" t="s">
        <v>1091</v>
      </c>
      <c r="B12" s="25" t="s">
        <v>66</v>
      </c>
      <c r="C12" s="25" t="s">
        <v>67</v>
      </c>
      <c r="D12" s="25" t="s">
        <v>68</v>
      </c>
      <c r="E12" s="26" t="s">
        <v>45</v>
      </c>
      <c r="F12" s="27" t="s">
        <v>45</v>
      </c>
      <c r="G12" s="28" t="s">
        <v>45</v>
      </c>
      <c r="H12" s="29"/>
      <c r="I12" s="29" t="s">
        <v>46</v>
      </c>
      <c r="J12" s="30">
        <v>1000</v>
      </c>
      <c r="K12" s="31">
        <f>356.5</f>
        <v>356.5</v>
      </c>
      <c r="L12" s="32" t="s">
        <v>995</v>
      </c>
      <c r="M12" s="31">
        <f>376</f>
        <v>376</v>
      </c>
      <c r="N12" s="32" t="s">
        <v>1017</v>
      </c>
      <c r="O12" s="31">
        <f>350</f>
        <v>350</v>
      </c>
      <c r="P12" s="32" t="s">
        <v>1004</v>
      </c>
      <c r="Q12" s="31">
        <f>372</f>
        <v>372</v>
      </c>
      <c r="R12" s="32" t="s">
        <v>791</v>
      </c>
      <c r="S12" s="33">
        <f>364.61</f>
        <v>364.61</v>
      </c>
      <c r="T12" s="30">
        <f>55000</f>
        <v>55000</v>
      </c>
      <c r="U12" s="30" t="str">
        <f>"－"</f>
        <v>－</v>
      </c>
      <c r="V12" s="30">
        <f>20088800</f>
        <v>20088800</v>
      </c>
      <c r="W12" s="30" t="str">
        <f>"－"</f>
        <v>－</v>
      </c>
      <c r="X12" s="34">
        <f>16</f>
        <v>16</v>
      </c>
    </row>
    <row r="13" spans="1:24" ht="13.5" customHeight="1" x14ac:dyDescent="0.15">
      <c r="A13" s="25" t="s">
        <v>1091</v>
      </c>
      <c r="B13" s="25" t="s">
        <v>69</v>
      </c>
      <c r="C13" s="25" t="s">
        <v>1035</v>
      </c>
      <c r="D13" s="25" t="s">
        <v>1036</v>
      </c>
      <c r="E13" s="26" t="s">
        <v>45</v>
      </c>
      <c r="F13" s="27" t="s">
        <v>45</v>
      </c>
      <c r="G13" s="28" t="s">
        <v>45</v>
      </c>
      <c r="H13" s="29"/>
      <c r="I13" s="29" t="s">
        <v>46</v>
      </c>
      <c r="J13" s="30">
        <v>1</v>
      </c>
      <c r="K13" s="31">
        <f>30250</f>
        <v>30250</v>
      </c>
      <c r="L13" s="32" t="s">
        <v>995</v>
      </c>
      <c r="M13" s="31">
        <f>32940</f>
        <v>32940</v>
      </c>
      <c r="N13" s="32" t="s">
        <v>1017</v>
      </c>
      <c r="O13" s="31">
        <f>30130</f>
        <v>30130</v>
      </c>
      <c r="P13" s="32" t="s">
        <v>1000</v>
      </c>
      <c r="Q13" s="31">
        <f>32170</f>
        <v>32170</v>
      </c>
      <c r="R13" s="32" t="s">
        <v>791</v>
      </c>
      <c r="S13" s="33">
        <f>31411.5</f>
        <v>31411.5</v>
      </c>
      <c r="T13" s="30">
        <f>2945415</f>
        <v>2945415</v>
      </c>
      <c r="U13" s="30">
        <f>2005233</f>
        <v>2005233</v>
      </c>
      <c r="V13" s="30">
        <f>93032679871</f>
        <v>93032679871</v>
      </c>
      <c r="W13" s="30">
        <f>63271882971</f>
        <v>63271882971</v>
      </c>
      <c r="X13" s="34">
        <f>20</f>
        <v>20</v>
      </c>
    </row>
    <row r="14" spans="1:24" ht="13.5" customHeight="1" x14ac:dyDescent="0.15">
      <c r="A14" s="25" t="s">
        <v>1091</v>
      </c>
      <c r="B14" s="25" t="s">
        <v>72</v>
      </c>
      <c r="C14" s="25" t="s">
        <v>73</v>
      </c>
      <c r="D14" s="25" t="s">
        <v>74</v>
      </c>
      <c r="E14" s="26" t="s">
        <v>45</v>
      </c>
      <c r="F14" s="27" t="s">
        <v>45</v>
      </c>
      <c r="G14" s="28" t="s">
        <v>45</v>
      </c>
      <c r="H14" s="29"/>
      <c r="I14" s="29" t="s">
        <v>46</v>
      </c>
      <c r="J14" s="30">
        <v>1</v>
      </c>
      <c r="K14" s="31">
        <f>30340</f>
        <v>30340</v>
      </c>
      <c r="L14" s="32" t="s">
        <v>995</v>
      </c>
      <c r="M14" s="31">
        <f>33030</f>
        <v>33030</v>
      </c>
      <c r="N14" s="32" t="s">
        <v>1017</v>
      </c>
      <c r="O14" s="31">
        <f>30220</f>
        <v>30220</v>
      </c>
      <c r="P14" s="32" t="s">
        <v>1000</v>
      </c>
      <c r="Q14" s="31">
        <f>32260</f>
        <v>32260</v>
      </c>
      <c r="R14" s="32" t="s">
        <v>791</v>
      </c>
      <c r="S14" s="33">
        <f>31506</f>
        <v>31506</v>
      </c>
      <c r="T14" s="30">
        <f>7231975</f>
        <v>7231975</v>
      </c>
      <c r="U14" s="30">
        <f>598523</f>
        <v>598523</v>
      </c>
      <c r="V14" s="30">
        <f>229424063573</f>
        <v>229424063573</v>
      </c>
      <c r="W14" s="30">
        <f>18931781663</f>
        <v>18931781663</v>
      </c>
      <c r="X14" s="34">
        <f>20</f>
        <v>20</v>
      </c>
    </row>
    <row r="15" spans="1:24" ht="13.5" customHeight="1" x14ac:dyDescent="0.15">
      <c r="A15" s="25" t="s">
        <v>1091</v>
      </c>
      <c r="B15" s="25" t="s">
        <v>75</v>
      </c>
      <c r="C15" s="25" t="s">
        <v>76</v>
      </c>
      <c r="D15" s="25" t="s">
        <v>77</v>
      </c>
      <c r="E15" s="26" t="s">
        <v>45</v>
      </c>
      <c r="F15" s="27" t="s">
        <v>45</v>
      </c>
      <c r="G15" s="28" t="s">
        <v>45</v>
      </c>
      <c r="H15" s="29"/>
      <c r="I15" s="29" t="s">
        <v>46</v>
      </c>
      <c r="J15" s="30">
        <v>10</v>
      </c>
      <c r="K15" s="31">
        <f>7855</f>
        <v>7855</v>
      </c>
      <c r="L15" s="32" t="s">
        <v>995</v>
      </c>
      <c r="M15" s="31">
        <f>7930</f>
        <v>7930</v>
      </c>
      <c r="N15" s="32" t="s">
        <v>999</v>
      </c>
      <c r="O15" s="31">
        <f>7500</f>
        <v>7500</v>
      </c>
      <c r="P15" s="32" t="s">
        <v>791</v>
      </c>
      <c r="Q15" s="31">
        <f>7500</f>
        <v>7500</v>
      </c>
      <c r="R15" s="32" t="s">
        <v>791</v>
      </c>
      <c r="S15" s="33">
        <f>7710.26</f>
        <v>7710.26</v>
      </c>
      <c r="T15" s="30">
        <f>7550</f>
        <v>7550</v>
      </c>
      <c r="U15" s="30" t="str">
        <f>"－"</f>
        <v>－</v>
      </c>
      <c r="V15" s="30">
        <f>58321060</f>
        <v>58321060</v>
      </c>
      <c r="W15" s="30" t="str">
        <f>"－"</f>
        <v>－</v>
      </c>
      <c r="X15" s="34">
        <f>19</f>
        <v>19</v>
      </c>
    </row>
    <row r="16" spans="1:24" ht="13.5" customHeight="1" x14ac:dyDescent="0.15">
      <c r="A16" s="25" t="s">
        <v>1091</v>
      </c>
      <c r="B16" s="25" t="s">
        <v>79</v>
      </c>
      <c r="C16" s="25" t="s">
        <v>926</v>
      </c>
      <c r="D16" s="25" t="s">
        <v>927</v>
      </c>
      <c r="E16" s="26" t="s">
        <v>45</v>
      </c>
      <c r="F16" s="27" t="s">
        <v>45</v>
      </c>
      <c r="G16" s="28" t="s">
        <v>45</v>
      </c>
      <c r="H16" s="29"/>
      <c r="I16" s="29" t="s">
        <v>46</v>
      </c>
      <c r="J16" s="30">
        <v>100</v>
      </c>
      <c r="K16" s="31" t="str">
        <f>"－"</f>
        <v>－</v>
      </c>
      <c r="L16" s="32"/>
      <c r="M16" s="31" t="str">
        <f>"－"</f>
        <v>－</v>
      </c>
      <c r="N16" s="32"/>
      <c r="O16" s="31" t="str">
        <f>"－"</f>
        <v>－</v>
      </c>
      <c r="P16" s="32"/>
      <c r="Q16" s="31" t="str">
        <f>"－"</f>
        <v>－</v>
      </c>
      <c r="R16" s="32"/>
      <c r="S16" s="33" t="str">
        <f>"－"</f>
        <v>－</v>
      </c>
      <c r="T16" s="30" t="str">
        <f>"－"</f>
        <v>－</v>
      </c>
      <c r="U16" s="30" t="str">
        <f>"－"</f>
        <v>－</v>
      </c>
      <c r="V16" s="30" t="str">
        <f>"－"</f>
        <v>－</v>
      </c>
      <c r="W16" s="30" t="str">
        <f>"－"</f>
        <v>－</v>
      </c>
      <c r="X16" s="34" t="str">
        <f>"－"</f>
        <v>－</v>
      </c>
    </row>
    <row r="17" spans="1:24" ht="13.5" customHeight="1" x14ac:dyDescent="0.15">
      <c r="A17" s="25" t="s">
        <v>1091</v>
      </c>
      <c r="B17" s="25" t="s">
        <v>81</v>
      </c>
      <c r="C17" s="25" t="s">
        <v>82</v>
      </c>
      <c r="D17" s="25" t="s">
        <v>83</v>
      </c>
      <c r="E17" s="26" t="s">
        <v>45</v>
      </c>
      <c r="F17" s="27" t="s">
        <v>45</v>
      </c>
      <c r="G17" s="28" t="s">
        <v>45</v>
      </c>
      <c r="H17" s="29"/>
      <c r="I17" s="29" t="s">
        <v>46</v>
      </c>
      <c r="J17" s="30">
        <v>100</v>
      </c>
      <c r="K17" s="31">
        <f>200</f>
        <v>200</v>
      </c>
      <c r="L17" s="32" t="s">
        <v>995</v>
      </c>
      <c r="M17" s="31">
        <f>211</f>
        <v>211</v>
      </c>
      <c r="N17" s="32" t="s">
        <v>995</v>
      </c>
      <c r="O17" s="31">
        <f>196</f>
        <v>196</v>
      </c>
      <c r="P17" s="32" t="s">
        <v>995</v>
      </c>
      <c r="Q17" s="31">
        <f>204.2</f>
        <v>204.2</v>
      </c>
      <c r="R17" s="32" t="s">
        <v>791</v>
      </c>
      <c r="S17" s="33">
        <f>204.82</f>
        <v>204.82</v>
      </c>
      <c r="T17" s="30">
        <f>496600</f>
        <v>496600</v>
      </c>
      <c r="U17" s="30" t="str">
        <f>"－"</f>
        <v>－</v>
      </c>
      <c r="V17" s="30">
        <f>101957590</f>
        <v>101957590</v>
      </c>
      <c r="W17" s="30" t="str">
        <f>"－"</f>
        <v>－</v>
      </c>
      <c r="X17" s="34">
        <f>20</f>
        <v>20</v>
      </c>
    </row>
    <row r="18" spans="1:24" ht="13.5" customHeight="1" x14ac:dyDescent="0.15">
      <c r="A18" s="25" t="s">
        <v>1091</v>
      </c>
      <c r="B18" s="25" t="s">
        <v>84</v>
      </c>
      <c r="C18" s="25" t="s">
        <v>85</v>
      </c>
      <c r="D18" s="25" t="s">
        <v>86</v>
      </c>
      <c r="E18" s="26" t="s">
        <v>45</v>
      </c>
      <c r="F18" s="27" t="s">
        <v>45</v>
      </c>
      <c r="G18" s="28" t="s">
        <v>45</v>
      </c>
      <c r="H18" s="29"/>
      <c r="I18" s="29" t="s">
        <v>46</v>
      </c>
      <c r="J18" s="30">
        <v>1</v>
      </c>
      <c r="K18" s="31">
        <f>25175</f>
        <v>25175</v>
      </c>
      <c r="L18" s="32" t="s">
        <v>995</v>
      </c>
      <c r="M18" s="31">
        <f>25610</f>
        <v>25610</v>
      </c>
      <c r="N18" s="32" t="s">
        <v>875</v>
      </c>
      <c r="O18" s="31">
        <f>25130</f>
        <v>25130</v>
      </c>
      <c r="P18" s="32" t="s">
        <v>787</v>
      </c>
      <c r="Q18" s="31">
        <f>25450</f>
        <v>25450</v>
      </c>
      <c r="R18" s="32" t="s">
        <v>791</v>
      </c>
      <c r="S18" s="33">
        <f>25341.75</f>
        <v>25341.75</v>
      </c>
      <c r="T18" s="30">
        <f>132676</f>
        <v>132676</v>
      </c>
      <c r="U18" s="30">
        <f>101</f>
        <v>101</v>
      </c>
      <c r="V18" s="30">
        <f>3360236115</f>
        <v>3360236115</v>
      </c>
      <c r="W18" s="30">
        <f>2441000</f>
        <v>2441000</v>
      </c>
      <c r="X18" s="34">
        <f>20</f>
        <v>20</v>
      </c>
    </row>
    <row r="19" spans="1:24" ht="13.5" customHeight="1" x14ac:dyDescent="0.15">
      <c r="A19" s="25" t="s">
        <v>1091</v>
      </c>
      <c r="B19" s="25" t="s">
        <v>87</v>
      </c>
      <c r="C19" s="25" t="s">
        <v>88</v>
      </c>
      <c r="D19" s="25" t="s">
        <v>89</v>
      </c>
      <c r="E19" s="26" t="s">
        <v>45</v>
      </c>
      <c r="F19" s="27" t="s">
        <v>45</v>
      </c>
      <c r="G19" s="28" t="s">
        <v>45</v>
      </c>
      <c r="H19" s="29"/>
      <c r="I19" s="29" t="s">
        <v>46</v>
      </c>
      <c r="J19" s="30">
        <v>10</v>
      </c>
      <c r="K19" s="31">
        <f>6719</f>
        <v>6719</v>
      </c>
      <c r="L19" s="32" t="s">
        <v>995</v>
      </c>
      <c r="M19" s="31">
        <f>6851</f>
        <v>6851</v>
      </c>
      <c r="N19" s="32" t="s">
        <v>875</v>
      </c>
      <c r="O19" s="31">
        <f>6713</f>
        <v>6713</v>
      </c>
      <c r="P19" s="32" t="s">
        <v>995</v>
      </c>
      <c r="Q19" s="31">
        <f>6793</f>
        <v>6793</v>
      </c>
      <c r="R19" s="32" t="s">
        <v>791</v>
      </c>
      <c r="S19" s="33">
        <f>6772.45</f>
        <v>6772.45</v>
      </c>
      <c r="T19" s="30">
        <f>251620</f>
        <v>251620</v>
      </c>
      <c r="U19" s="30">
        <f>8220</f>
        <v>8220</v>
      </c>
      <c r="V19" s="30">
        <f>1702422710</f>
        <v>1702422710</v>
      </c>
      <c r="W19" s="30">
        <f>55587290</f>
        <v>55587290</v>
      </c>
      <c r="X19" s="34">
        <f>20</f>
        <v>20</v>
      </c>
    </row>
    <row r="20" spans="1:24" ht="13.5" customHeight="1" x14ac:dyDescent="0.15">
      <c r="A20" s="25" t="s">
        <v>1091</v>
      </c>
      <c r="B20" s="25" t="s">
        <v>90</v>
      </c>
      <c r="C20" s="25" t="s">
        <v>91</v>
      </c>
      <c r="D20" s="25" t="s">
        <v>92</v>
      </c>
      <c r="E20" s="26" t="s">
        <v>45</v>
      </c>
      <c r="F20" s="27" t="s">
        <v>45</v>
      </c>
      <c r="G20" s="28" t="s">
        <v>45</v>
      </c>
      <c r="H20" s="29"/>
      <c r="I20" s="29" t="s">
        <v>46</v>
      </c>
      <c r="J20" s="30">
        <v>1</v>
      </c>
      <c r="K20" s="31">
        <f>30230</f>
        <v>30230</v>
      </c>
      <c r="L20" s="32" t="s">
        <v>995</v>
      </c>
      <c r="M20" s="31">
        <f>32920</f>
        <v>32920</v>
      </c>
      <c r="N20" s="32" t="s">
        <v>1017</v>
      </c>
      <c r="O20" s="31">
        <f>30120</f>
        <v>30120</v>
      </c>
      <c r="P20" s="32" t="s">
        <v>1000</v>
      </c>
      <c r="Q20" s="31">
        <f>32160</f>
        <v>32160</v>
      </c>
      <c r="R20" s="32" t="s">
        <v>791</v>
      </c>
      <c r="S20" s="33">
        <f>31396.5</f>
        <v>31396.5</v>
      </c>
      <c r="T20" s="30">
        <f>1004983</f>
        <v>1004983</v>
      </c>
      <c r="U20" s="30">
        <f>407850</f>
        <v>407850</v>
      </c>
      <c r="V20" s="30">
        <f>31873660589</f>
        <v>31873660589</v>
      </c>
      <c r="W20" s="30">
        <f>13022507569</f>
        <v>13022507569</v>
      </c>
      <c r="X20" s="34">
        <f>20</f>
        <v>20</v>
      </c>
    </row>
    <row r="21" spans="1:24" ht="13.5" customHeight="1" x14ac:dyDescent="0.15">
      <c r="A21" s="25" t="s">
        <v>1091</v>
      </c>
      <c r="B21" s="25" t="s">
        <v>93</v>
      </c>
      <c r="C21" s="25" t="s">
        <v>94</v>
      </c>
      <c r="D21" s="25" t="s">
        <v>95</v>
      </c>
      <c r="E21" s="26" t="s">
        <v>45</v>
      </c>
      <c r="F21" s="27" t="s">
        <v>45</v>
      </c>
      <c r="G21" s="28" t="s">
        <v>45</v>
      </c>
      <c r="H21" s="29"/>
      <c r="I21" s="29" t="s">
        <v>46</v>
      </c>
      <c r="J21" s="30">
        <v>10</v>
      </c>
      <c r="K21" s="31">
        <f>30350</f>
        <v>30350</v>
      </c>
      <c r="L21" s="32" t="s">
        <v>995</v>
      </c>
      <c r="M21" s="31">
        <f>33050</f>
        <v>33050</v>
      </c>
      <c r="N21" s="32" t="s">
        <v>1017</v>
      </c>
      <c r="O21" s="31">
        <f>30250</f>
        <v>30250</v>
      </c>
      <c r="P21" s="32" t="s">
        <v>1000</v>
      </c>
      <c r="Q21" s="31">
        <f>32300</f>
        <v>32300</v>
      </c>
      <c r="R21" s="32" t="s">
        <v>791</v>
      </c>
      <c r="S21" s="33">
        <f>31527</f>
        <v>31527</v>
      </c>
      <c r="T21" s="30">
        <f>1680980</f>
        <v>1680980</v>
      </c>
      <c r="U21" s="30">
        <f>931600</f>
        <v>931600</v>
      </c>
      <c r="V21" s="30">
        <f>53164319758</f>
        <v>53164319758</v>
      </c>
      <c r="W21" s="30">
        <f>29464601358</f>
        <v>29464601358</v>
      </c>
      <c r="X21" s="34">
        <f>20</f>
        <v>20</v>
      </c>
    </row>
    <row r="22" spans="1:24" ht="13.5" customHeight="1" x14ac:dyDescent="0.15">
      <c r="A22" s="25" t="s">
        <v>1091</v>
      </c>
      <c r="B22" s="25" t="s">
        <v>96</v>
      </c>
      <c r="C22" s="25" t="s">
        <v>97</v>
      </c>
      <c r="D22" s="25" t="s">
        <v>98</v>
      </c>
      <c r="E22" s="26" t="s">
        <v>45</v>
      </c>
      <c r="F22" s="27" t="s">
        <v>45</v>
      </c>
      <c r="G22" s="28" t="s">
        <v>45</v>
      </c>
      <c r="H22" s="29"/>
      <c r="I22" s="29" t="s">
        <v>46</v>
      </c>
      <c r="J22" s="30">
        <v>10</v>
      </c>
      <c r="K22" s="31">
        <f>2030</f>
        <v>2030</v>
      </c>
      <c r="L22" s="32" t="s">
        <v>995</v>
      </c>
      <c r="M22" s="31">
        <f>2040.5</f>
        <v>2040.5</v>
      </c>
      <c r="N22" s="32" t="s">
        <v>1000</v>
      </c>
      <c r="O22" s="31">
        <f>1966.5</f>
        <v>1966.5</v>
      </c>
      <c r="P22" s="32" t="s">
        <v>789</v>
      </c>
      <c r="Q22" s="31">
        <f>2002</f>
        <v>2002</v>
      </c>
      <c r="R22" s="32" t="s">
        <v>791</v>
      </c>
      <c r="S22" s="33">
        <f>2002.63</f>
        <v>2002.63</v>
      </c>
      <c r="T22" s="30">
        <f>9892280</f>
        <v>9892280</v>
      </c>
      <c r="U22" s="30">
        <f>2578230</f>
        <v>2578230</v>
      </c>
      <c r="V22" s="30">
        <f>19858277207</f>
        <v>19858277207</v>
      </c>
      <c r="W22" s="30">
        <f>5208885047</f>
        <v>5208885047</v>
      </c>
      <c r="X22" s="34">
        <f>20</f>
        <v>20</v>
      </c>
    </row>
    <row r="23" spans="1:24" ht="13.5" customHeight="1" x14ac:dyDescent="0.15">
      <c r="A23" s="25" t="s">
        <v>1091</v>
      </c>
      <c r="B23" s="25" t="s">
        <v>99</v>
      </c>
      <c r="C23" s="25" t="s">
        <v>100</v>
      </c>
      <c r="D23" s="25" t="s">
        <v>101</v>
      </c>
      <c r="E23" s="26" t="s">
        <v>45</v>
      </c>
      <c r="F23" s="27" t="s">
        <v>45</v>
      </c>
      <c r="G23" s="28" t="s">
        <v>45</v>
      </c>
      <c r="H23" s="29"/>
      <c r="I23" s="29" t="s">
        <v>46</v>
      </c>
      <c r="J23" s="30">
        <v>100</v>
      </c>
      <c r="K23" s="31">
        <f>1899.5</f>
        <v>1899.5</v>
      </c>
      <c r="L23" s="32" t="s">
        <v>995</v>
      </c>
      <c r="M23" s="31">
        <f>1911</f>
        <v>1911</v>
      </c>
      <c r="N23" s="32" t="s">
        <v>1004</v>
      </c>
      <c r="O23" s="31">
        <f>1856</f>
        <v>1856</v>
      </c>
      <c r="P23" s="32" t="s">
        <v>789</v>
      </c>
      <c r="Q23" s="31">
        <f>1893</f>
        <v>1893</v>
      </c>
      <c r="R23" s="32" t="s">
        <v>791</v>
      </c>
      <c r="S23" s="33">
        <f>1886.45</f>
        <v>1886.45</v>
      </c>
      <c r="T23" s="30">
        <f>1710000</f>
        <v>1710000</v>
      </c>
      <c r="U23" s="30">
        <f>710000</f>
        <v>710000</v>
      </c>
      <c r="V23" s="30">
        <f>3225797313</f>
        <v>3225797313</v>
      </c>
      <c r="W23" s="30">
        <f>1336415613</f>
        <v>1336415613</v>
      </c>
      <c r="X23" s="34">
        <f>20</f>
        <v>20</v>
      </c>
    </row>
    <row r="24" spans="1:24" ht="13.5" customHeight="1" x14ac:dyDescent="0.15">
      <c r="A24" s="25" t="s">
        <v>1091</v>
      </c>
      <c r="B24" s="25" t="s">
        <v>102</v>
      </c>
      <c r="C24" s="25" t="s">
        <v>103</v>
      </c>
      <c r="D24" s="25" t="s">
        <v>104</v>
      </c>
      <c r="E24" s="26" t="s">
        <v>45</v>
      </c>
      <c r="F24" s="27" t="s">
        <v>45</v>
      </c>
      <c r="G24" s="28" t="s">
        <v>45</v>
      </c>
      <c r="H24" s="29"/>
      <c r="I24" s="29" t="s">
        <v>46</v>
      </c>
      <c r="J24" s="30">
        <v>1</v>
      </c>
      <c r="K24" s="31">
        <f>30170</f>
        <v>30170</v>
      </c>
      <c r="L24" s="32" t="s">
        <v>995</v>
      </c>
      <c r="M24" s="31">
        <f>32850</f>
        <v>32850</v>
      </c>
      <c r="N24" s="32" t="s">
        <v>1017</v>
      </c>
      <c r="O24" s="31">
        <f>30060</f>
        <v>30060</v>
      </c>
      <c r="P24" s="32" t="s">
        <v>1000</v>
      </c>
      <c r="Q24" s="31">
        <f>32100</f>
        <v>32100</v>
      </c>
      <c r="R24" s="32" t="s">
        <v>791</v>
      </c>
      <c r="S24" s="33">
        <f>31334</f>
        <v>31334</v>
      </c>
      <c r="T24" s="30">
        <f>1418805</f>
        <v>1418805</v>
      </c>
      <c r="U24" s="30">
        <f>884943</f>
        <v>884943</v>
      </c>
      <c r="V24" s="30">
        <f>44884546176</f>
        <v>44884546176</v>
      </c>
      <c r="W24" s="30">
        <f>28172295736</f>
        <v>28172295736</v>
      </c>
      <c r="X24" s="34">
        <f>20</f>
        <v>20</v>
      </c>
    </row>
    <row r="25" spans="1:24" ht="13.5" customHeight="1" x14ac:dyDescent="0.15">
      <c r="A25" s="25" t="s">
        <v>1091</v>
      </c>
      <c r="B25" s="25" t="s">
        <v>105</v>
      </c>
      <c r="C25" s="25" t="s">
        <v>106</v>
      </c>
      <c r="D25" s="25" t="s">
        <v>107</v>
      </c>
      <c r="E25" s="26" t="s">
        <v>45</v>
      </c>
      <c r="F25" s="27" t="s">
        <v>45</v>
      </c>
      <c r="G25" s="28" t="s">
        <v>45</v>
      </c>
      <c r="H25" s="29"/>
      <c r="I25" s="29" t="s">
        <v>46</v>
      </c>
      <c r="J25" s="30">
        <v>10</v>
      </c>
      <c r="K25" s="31">
        <f>2162.5</f>
        <v>2162.5</v>
      </c>
      <c r="L25" s="32" t="s">
        <v>995</v>
      </c>
      <c r="M25" s="31">
        <f>2287.5</f>
        <v>2287.5</v>
      </c>
      <c r="N25" s="32" t="s">
        <v>894</v>
      </c>
      <c r="O25" s="31">
        <f>2160.5</f>
        <v>2160.5</v>
      </c>
      <c r="P25" s="32" t="s">
        <v>995</v>
      </c>
      <c r="Q25" s="31">
        <f>2225.5</f>
        <v>2225.5</v>
      </c>
      <c r="R25" s="32" t="s">
        <v>791</v>
      </c>
      <c r="S25" s="33">
        <f>2221.43</f>
        <v>2221.4299999999998</v>
      </c>
      <c r="T25" s="30">
        <f>4236370</f>
        <v>4236370</v>
      </c>
      <c r="U25" s="30">
        <f>1044700</f>
        <v>1044700</v>
      </c>
      <c r="V25" s="30">
        <f>9431587985</f>
        <v>9431587985</v>
      </c>
      <c r="W25" s="30">
        <f>2294623320</f>
        <v>2294623320</v>
      </c>
      <c r="X25" s="34">
        <f>20</f>
        <v>20</v>
      </c>
    </row>
    <row r="26" spans="1:24" ht="13.5" customHeight="1" x14ac:dyDescent="0.15">
      <c r="A26" s="25" t="s">
        <v>1091</v>
      </c>
      <c r="B26" s="25" t="s">
        <v>108</v>
      </c>
      <c r="C26" s="25" t="s">
        <v>109</v>
      </c>
      <c r="D26" s="25" t="s">
        <v>110</v>
      </c>
      <c r="E26" s="26" t="s">
        <v>45</v>
      </c>
      <c r="F26" s="27" t="s">
        <v>45</v>
      </c>
      <c r="G26" s="28" t="s">
        <v>45</v>
      </c>
      <c r="H26" s="29"/>
      <c r="I26" s="29" t="s">
        <v>46</v>
      </c>
      <c r="J26" s="30">
        <v>1</v>
      </c>
      <c r="K26" s="31">
        <f>14825</f>
        <v>14825</v>
      </c>
      <c r="L26" s="32" t="s">
        <v>995</v>
      </c>
      <c r="M26" s="31">
        <f>15195</f>
        <v>15195</v>
      </c>
      <c r="N26" s="32" t="s">
        <v>1017</v>
      </c>
      <c r="O26" s="31">
        <f>14825</f>
        <v>14825</v>
      </c>
      <c r="P26" s="32" t="s">
        <v>995</v>
      </c>
      <c r="Q26" s="31">
        <f>15010</f>
        <v>15010</v>
      </c>
      <c r="R26" s="32" t="s">
        <v>791</v>
      </c>
      <c r="S26" s="33">
        <f>15000</f>
        <v>15000</v>
      </c>
      <c r="T26" s="30">
        <f>566</f>
        <v>566</v>
      </c>
      <c r="U26" s="30" t="str">
        <f>"－"</f>
        <v>－</v>
      </c>
      <c r="V26" s="30">
        <f>8487345</f>
        <v>8487345</v>
      </c>
      <c r="W26" s="30" t="str">
        <f>"－"</f>
        <v>－</v>
      </c>
      <c r="X26" s="34">
        <f>16</f>
        <v>16</v>
      </c>
    </row>
    <row r="27" spans="1:24" ht="13.5" customHeight="1" x14ac:dyDescent="0.15">
      <c r="A27" s="25" t="s">
        <v>1091</v>
      </c>
      <c r="B27" s="25" t="s">
        <v>111</v>
      </c>
      <c r="C27" s="25" t="s">
        <v>112</v>
      </c>
      <c r="D27" s="25" t="s">
        <v>113</v>
      </c>
      <c r="E27" s="26" t="s">
        <v>45</v>
      </c>
      <c r="F27" s="27" t="s">
        <v>45</v>
      </c>
      <c r="G27" s="28" t="s">
        <v>45</v>
      </c>
      <c r="H27" s="29"/>
      <c r="I27" s="29" t="s">
        <v>46</v>
      </c>
      <c r="J27" s="30">
        <v>10</v>
      </c>
      <c r="K27" s="31">
        <f>763.3</f>
        <v>763.3</v>
      </c>
      <c r="L27" s="32" t="s">
        <v>995</v>
      </c>
      <c r="M27" s="31">
        <f>764.8</f>
        <v>764.8</v>
      </c>
      <c r="N27" s="32" t="s">
        <v>995</v>
      </c>
      <c r="O27" s="31">
        <f>680.8</f>
        <v>680.8</v>
      </c>
      <c r="P27" s="32" t="s">
        <v>894</v>
      </c>
      <c r="Q27" s="31">
        <f>719.9</f>
        <v>719.9</v>
      </c>
      <c r="R27" s="32" t="s">
        <v>791</v>
      </c>
      <c r="S27" s="33">
        <f>723.22</f>
        <v>723.22</v>
      </c>
      <c r="T27" s="30">
        <f>14118460</f>
        <v>14118460</v>
      </c>
      <c r="U27" s="30">
        <f>260</f>
        <v>260</v>
      </c>
      <c r="V27" s="30">
        <f>10093202798</f>
        <v>10093202798</v>
      </c>
      <c r="W27" s="30">
        <f>195412</f>
        <v>195412</v>
      </c>
      <c r="X27" s="34">
        <f>20</f>
        <v>20</v>
      </c>
    </row>
    <row r="28" spans="1:24" ht="13.5" customHeight="1" x14ac:dyDescent="0.15">
      <c r="A28" s="25" t="s">
        <v>1091</v>
      </c>
      <c r="B28" s="25" t="s">
        <v>114</v>
      </c>
      <c r="C28" s="25" t="s">
        <v>115</v>
      </c>
      <c r="D28" s="25" t="s">
        <v>116</v>
      </c>
      <c r="E28" s="26" t="s">
        <v>45</v>
      </c>
      <c r="F28" s="27" t="s">
        <v>45</v>
      </c>
      <c r="G28" s="28" t="s">
        <v>45</v>
      </c>
      <c r="H28" s="29"/>
      <c r="I28" s="29" t="s">
        <v>46</v>
      </c>
      <c r="J28" s="30">
        <v>1</v>
      </c>
      <c r="K28" s="31">
        <f>303</f>
        <v>303</v>
      </c>
      <c r="L28" s="32" t="s">
        <v>995</v>
      </c>
      <c r="M28" s="31">
        <f>305</f>
        <v>305</v>
      </c>
      <c r="N28" s="32" t="s">
        <v>1000</v>
      </c>
      <c r="O28" s="31">
        <f>253</f>
        <v>253</v>
      </c>
      <c r="P28" s="32" t="s">
        <v>1017</v>
      </c>
      <c r="Q28" s="31">
        <f>266</f>
        <v>266</v>
      </c>
      <c r="R28" s="32" t="s">
        <v>791</v>
      </c>
      <c r="S28" s="33">
        <f>280.35</f>
        <v>280.35000000000002</v>
      </c>
      <c r="T28" s="30">
        <f>1370842996</f>
        <v>1370842996</v>
      </c>
      <c r="U28" s="30">
        <f>6668951</f>
        <v>6668951</v>
      </c>
      <c r="V28" s="30">
        <f>379706589267</f>
        <v>379706589267</v>
      </c>
      <c r="W28" s="30">
        <f>1847897956</f>
        <v>1847897956</v>
      </c>
      <c r="X28" s="34">
        <f>20</f>
        <v>20</v>
      </c>
    </row>
    <row r="29" spans="1:24" ht="13.5" customHeight="1" x14ac:dyDescent="0.15">
      <c r="A29" s="25" t="s">
        <v>1091</v>
      </c>
      <c r="B29" s="25" t="s">
        <v>117</v>
      </c>
      <c r="C29" s="25" t="s">
        <v>118</v>
      </c>
      <c r="D29" s="25" t="s">
        <v>119</v>
      </c>
      <c r="E29" s="26" t="s">
        <v>45</v>
      </c>
      <c r="F29" s="27" t="s">
        <v>45</v>
      </c>
      <c r="G29" s="28" t="s">
        <v>45</v>
      </c>
      <c r="H29" s="29"/>
      <c r="I29" s="29" t="s">
        <v>46</v>
      </c>
      <c r="J29" s="30">
        <v>1</v>
      </c>
      <c r="K29" s="31">
        <f>29730</f>
        <v>29730</v>
      </c>
      <c r="L29" s="32" t="s">
        <v>995</v>
      </c>
      <c r="M29" s="31">
        <f>35010</f>
        <v>35010</v>
      </c>
      <c r="N29" s="32" t="s">
        <v>1017</v>
      </c>
      <c r="O29" s="31">
        <f>29465</f>
        <v>29465</v>
      </c>
      <c r="P29" s="32" t="s">
        <v>1000</v>
      </c>
      <c r="Q29" s="31">
        <f>33510</f>
        <v>33510</v>
      </c>
      <c r="R29" s="32" t="s">
        <v>791</v>
      </c>
      <c r="S29" s="33">
        <f>31991.5</f>
        <v>31991.5</v>
      </c>
      <c r="T29" s="30">
        <f>313160</f>
        <v>313160</v>
      </c>
      <c r="U29" s="30">
        <f>4</f>
        <v>4</v>
      </c>
      <c r="V29" s="30">
        <f>10132188290</f>
        <v>10132188290</v>
      </c>
      <c r="W29" s="30">
        <f>120280</f>
        <v>120280</v>
      </c>
      <c r="X29" s="34">
        <f>20</f>
        <v>20</v>
      </c>
    </row>
    <row r="30" spans="1:24" ht="13.5" customHeight="1" x14ac:dyDescent="0.15">
      <c r="A30" s="25" t="s">
        <v>1091</v>
      </c>
      <c r="B30" s="25" t="s">
        <v>120</v>
      </c>
      <c r="C30" s="25" t="s">
        <v>121</v>
      </c>
      <c r="D30" s="25" t="s">
        <v>122</v>
      </c>
      <c r="E30" s="26" t="s">
        <v>45</v>
      </c>
      <c r="F30" s="27" t="s">
        <v>45</v>
      </c>
      <c r="G30" s="28" t="s">
        <v>45</v>
      </c>
      <c r="H30" s="29"/>
      <c r="I30" s="29" t="s">
        <v>46</v>
      </c>
      <c r="J30" s="30">
        <v>10</v>
      </c>
      <c r="K30" s="31">
        <f>738.2</f>
        <v>738.2</v>
      </c>
      <c r="L30" s="32" t="s">
        <v>995</v>
      </c>
      <c r="M30" s="31">
        <f>743.4</f>
        <v>743.4</v>
      </c>
      <c r="N30" s="32" t="s">
        <v>1000</v>
      </c>
      <c r="O30" s="31">
        <f>621</f>
        <v>621</v>
      </c>
      <c r="P30" s="32" t="s">
        <v>1017</v>
      </c>
      <c r="Q30" s="31">
        <f>649.3</f>
        <v>649.29999999999995</v>
      </c>
      <c r="R30" s="32" t="s">
        <v>791</v>
      </c>
      <c r="S30" s="33">
        <f>684.9</f>
        <v>684.9</v>
      </c>
      <c r="T30" s="30">
        <f>350425830</f>
        <v>350425830</v>
      </c>
      <c r="U30" s="30">
        <f>287150</f>
        <v>287150</v>
      </c>
      <c r="V30" s="30">
        <f>235727783049</f>
        <v>235727783049</v>
      </c>
      <c r="W30" s="30">
        <f>201635930</f>
        <v>201635930</v>
      </c>
      <c r="X30" s="34">
        <f>20</f>
        <v>20</v>
      </c>
    </row>
    <row r="31" spans="1:24" ht="13.5" customHeight="1" x14ac:dyDescent="0.15">
      <c r="A31" s="25" t="s">
        <v>1091</v>
      </c>
      <c r="B31" s="25" t="s">
        <v>123</v>
      </c>
      <c r="C31" s="25" t="s">
        <v>124</v>
      </c>
      <c r="D31" s="25" t="s">
        <v>125</v>
      </c>
      <c r="E31" s="26" t="s">
        <v>45</v>
      </c>
      <c r="F31" s="27" t="s">
        <v>45</v>
      </c>
      <c r="G31" s="28" t="s">
        <v>45</v>
      </c>
      <c r="H31" s="29"/>
      <c r="I31" s="29" t="s">
        <v>46</v>
      </c>
      <c r="J31" s="30">
        <v>1</v>
      </c>
      <c r="K31" s="31">
        <f>19140</f>
        <v>19140</v>
      </c>
      <c r="L31" s="32" t="s">
        <v>995</v>
      </c>
      <c r="M31" s="31">
        <f>20415</f>
        <v>20415</v>
      </c>
      <c r="N31" s="32" t="s">
        <v>894</v>
      </c>
      <c r="O31" s="31">
        <f>19020</f>
        <v>19020</v>
      </c>
      <c r="P31" s="32" t="s">
        <v>787</v>
      </c>
      <c r="Q31" s="31">
        <f>19850</f>
        <v>19850</v>
      </c>
      <c r="R31" s="32" t="s">
        <v>791</v>
      </c>
      <c r="S31" s="33">
        <f>19758.75</f>
        <v>19758.75</v>
      </c>
      <c r="T31" s="30">
        <f>10799</f>
        <v>10799</v>
      </c>
      <c r="U31" s="30">
        <f>6</f>
        <v>6</v>
      </c>
      <c r="V31" s="30">
        <f>215279000</f>
        <v>215279000</v>
      </c>
      <c r="W31" s="30">
        <f>117150</f>
        <v>117150</v>
      </c>
      <c r="X31" s="34">
        <f>20</f>
        <v>20</v>
      </c>
    </row>
    <row r="32" spans="1:24" ht="13.5" customHeight="1" x14ac:dyDescent="0.15">
      <c r="A32" s="25" t="s">
        <v>1091</v>
      </c>
      <c r="B32" s="25" t="s">
        <v>126</v>
      </c>
      <c r="C32" s="25" t="s">
        <v>1037</v>
      </c>
      <c r="D32" s="25" t="s">
        <v>1038</v>
      </c>
      <c r="E32" s="26" t="s">
        <v>45</v>
      </c>
      <c r="F32" s="27" t="s">
        <v>45</v>
      </c>
      <c r="G32" s="28" t="s">
        <v>45</v>
      </c>
      <c r="H32" s="29"/>
      <c r="I32" s="29" t="s">
        <v>46</v>
      </c>
      <c r="J32" s="30">
        <v>1</v>
      </c>
      <c r="K32" s="31">
        <f>24685</f>
        <v>24685</v>
      </c>
      <c r="L32" s="32" t="s">
        <v>995</v>
      </c>
      <c r="M32" s="31">
        <f>29100</f>
        <v>29100</v>
      </c>
      <c r="N32" s="32" t="s">
        <v>1017</v>
      </c>
      <c r="O32" s="31">
        <f>24485</f>
        <v>24485</v>
      </c>
      <c r="P32" s="32" t="s">
        <v>1000</v>
      </c>
      <c r="Q32" s="31">
        <f>27865</f>
        <v>27865</v>
      </c>
      <c r="R32" s="32" t="s">
        <v>791</v>
      </c>
      <c r="S32" s="33">
        <f>26593.25</f>
        <v>26593.25</v>
      </c>
      <c r="T32" s="30">
        <f>663326</f>
        <v>663326</v>
      </c>
      <c r="U32" s="30">
        <f>7</f>
        <v>7</v>
      </c>
      <c r="V32" s="30">
        <f>17951960455</f>
        <v>17951960455</v>
      </c>
      <c r="W32" s="30">
        <f>174930</f>
        <v>174930</v>
      </c>
      <c r="X32" s="34">
        <f>20</f>
        <v>20</v>
      </c>
    </row>
    <row r="33" spans="1:24" ht="13.5" customHeight="1" x14ac:dyDescent="0.15">
      <c r="A33" s="25" t="s">
        <v>1091</v>
      </c>
      <c r="B33" s="25" t="s">
        <v>129</v>
      </c>
      <c r="C33" s="25" t="s">
        <v>1039</v>
      </c>
      <c r="D33" s="25" t="s">
        <v>1040</v>
      </c>
      <c r="E33" s="26" t="s">
        <v>45</v>
      </c>
      <c r="F33" s="27" t="s">
        <v>45</v>
      </c>
      <c r="G33" s="28" t="s">
        <v>45</v>
      </c>
      <c r="H33" s="29"/>
      <c r="I33" s="29" t="s">
        <v>46</v>
      </c>
      <c r="J33" s="30">
        <v>1</v>
      </c>
      <c r="K33" s="31">
        <f>785</f>
        <v>785</v>
      </c>
      <c r="L33" s="32" t="s">
        <v>995</v>
      </c>
      <c r="M33" s="31">
        <f>792</f>
        <v>792</v>
      </c>
      <c r="N33" s="32" t="s">
        <v>1000</v>
      </c>
      <c r="O33" s="31">
        <f>661</f>
        <v>661</v>
      </c>
      <c r="P33" s="32" t="s">
        <v>1017</v>
      </c>
      <c r="Q33" s="31">
        <f>692</f>
        <v>692</v>
      </c>
      <c r="R33" s="32" t="s">
        <v>791</v>
      </c>
      <c r="S33" s="33">
        <f>729.55</f>
        <v>729.55</v>
      </c>
      <c r="T33" s="30">
        <f>23968884</f>
        <v>23968884</v>
      </c>
      <c r="U33" s="30">
        <f>2839002</f>
        <v>2839002</v>
      </c>
      <c r="V33" s="30">
        <f>17235013343</f>
        <v>17235013343</v>
      </c>
      <c r="W33" s="30">
        <f>1976962964</f>
        <v>1976962964</v>
      </c>
      <c r="X33" s="34">
        <f>20</f>
        <v>20</v>
      </c>
    </row>
    <row r="34" spans="1:24" ht="13.5" customHeight="1" x14ac:dyDescent="0.15">
      <c r="A34" s="25" t="s">
        <v>1091</v>
      </c>
      <c r="B34" s="25" t="s">
        <v>132</v>
      </c>
      <c r="C34" s="25" t="s">
        <v>1041</v>
      </c>
      <c r="D34" s="25" t="s">
        <v>1042</v>
      </c>
      <c r="E34" s="26" t="s">
        <v>45</v>
      </c>
      <c r="F34" s="27" t="s">
        <v>45</v>
      </c>
      <c r="G34" s="28" t="s">
        <v>45</v>
      </c>
      <c r="H34" s="29"/>
      <c r="I34" s="29" t="s">
        <v>46</v>
      </c>
      <c r="J34" s="30">
        <v>1</v>
      </c>
      <c r="K34" s="31">
        <f>21660</f>
        <v>21660</v>
      </c>
      <c r="L34" s="32" t="s">
        <v>995</v>
      </c>
      <c r="M34" s="31">
        <f>24165</f>
        <v>24165</v>
      </c>
      <c r="N34" s="32" t="s">
        <v>894</v>
      </c>
      <c r="O34" s="31">
        <f>21600</f>
        <v>21600</v>
      </c>
      <c r="P34" s="32" t="s">
        <v>995</v>
      </c>
      <c r="Q34" s="31">
        <f>22835</f>
        <v>22835</v>
      </c>
      <c r="R34" s="32" t="s">
        <v>791</v>
      </c>
      <c r="S34" s="33">
        <f>22802.25</f>
        <v>22802.25</v>
      </c>
      <c r="T34" s="30">
        <f>300867</f>
        <v>300867</v>
      </c>
      <c r="U34" s="30" t="str">
        <f>"－"</f>
        <v>－</v>
      </c>
      <c r="V34" s="30">
        <f>6898282775</f>
        <v>6898282775</v>
      </c>
      <c r="W34" s="30" t="str">
        <f>"－"</f>
        <v>－</v>
      </c>
      <c r="X34" s="34">
        <f>20</f>
        <v>20</v>
      </c>
    </row>
    <row r="35" spans="1:24" ht="13.5" customHeight="1" x14ac:dyDescent="0.15">
      <c r="A35" s="25" t="s">
        <v>1091</v>
      </c>
      <c r="B35" s="25" t="s">
        <v>135</v>
      </c>
      <c r="C35" s="25" t="s">
        <v>1043</v>
      </c>
      <c r="D35" s="25" t="s">
        <v>1044</v>
      </c>
      <c r="E35" s="26" t="s">
        <v>45</v>
      </c>
      <c r="F35" s="27" t="s">
        <v>45</v>
      </c>
      <c r="G35" s="28" t="s">
        <v>45</v>
      </c>
      <c r="H35" s="29"/>
      <c r="I35" s="29" t="s">
        <v>46</v>
      </c>
      <c r="J35" s="30">
        <v>1</v>
      </c>
      <c r="K35" s="31">
        <f>1105</f>
        <v>1105</v>
      </c>
      <c r="L35" s="32" t="s">
        <v>995</v>
      </c>
      <c r="M35" s="31">
        <f>1109</f>
        <v>1109</v>
      </c>
      <c r="N35" s="32" t="s">
        <v>995</v>
      </c>
      <c r="O35" s="31">
        <f>987</f>
        <v>987</v>
      </c>
      <c r="P35" s="32" t="s">
        <v>894</v>
      </c>
      <c r="Q35" s="31">
        <f>1042</f>
        <v>1042</v>
      </c>
      <c r="R35" s="32" t="s">
        <v>791</v>
      </c>
      <c r="S35" s="33">
        <f>1049.35</f>
        <v>1049.3499999999999</v>
      </c>
      <c r="T35" s="30">
        <f>1395015</f>
        <v>1395015</v>
      </c>
      <c r="U35" s="30" t="str">
        <f>"－"</f>
        <v>－</v>
      </c>
      <c r="V35" s="30">
        <f>1444897428</f>
        <v>1444897428</v>
      </c>
      <c r="W35" s="30" t="str">
        <f>"－"</f>
        <v>－</v>
      </c>
      <c r="X35" s="34">
        <f>20</f>
        <v>20</v>
      </c>
    </row>
    <row r="36" spans="1:24" ht="13.5" customHeight="1" x14ac:dyDescent="0.15">
      <c r="A36" s="25" t="s">
        <v>1091</v>
      </c>
      <c r="B36" s="25" t="s">
        <v>138</v>
      </c>
      <c r="C36" s="25" t="s">
        <v>139</v>
      </c>
      <c r="D36" s="25" t="s">
        <v>140</v>
      </c>
      <c r="E36" s="26" t="s">
        <v>45</v>
      </c>
      <c r="F36" s="27" t="s">
        <v>45</v>
      </c>
      <c r="G36" s="28" t="s">
        <v>45</v>
      </c>
      <c r="H36" s="29"/>
      <c r="I36" s="29" t="s">
        <v>46</v>
      </c>
      <c r="J36" s="30">
        <v>1</v>
      </c>
      <c r="K36" s="31">
        <f>29310</f>
        <v>29310</v>
      </c>
      <c r="L36" s="32" t="s">
        <v>995</v>
      </c>
      <c r="M36" s="31">
        <f>31910</f>
        <v>31910</v>
      </c>
      <c r="N36" s="32" t="s">
        <v>1017</v>
      </c>
      <c r="O36" s="31">
        <f>29215</f>
        <v>29215</v>
      </c>
      <c r="P36" s="32" t="s">
        <v>1000</v>
      </c>
      <c r="Q36" s="31">
        <f>31170</f>
        <v>31170</v>
      </c>
      <c r="R36" s="32" t="s">
        <v>791</v>
      </c>
      <c r="S36" s="33">
        <f>30440.25</f>
        <v>30440.25</v>
      </c>
      <c r="T36" s="30">
        <f>303342</f>
        <v>303342</v>
      </c>
      <c r="U36" s="30">
        <f>162734</f>
        <v>162734</v>
      </c>
      <c r="V36" s="30">
        <f>9177211839</f>
        <v>9177211839</v>
      </c>
      <c r="W36" s="30">
        <f>4862750959</f>
        <v>4862750959</v>
      </c>
      <c r="X36" s="34">
        <f>20</f>
        <v>20</v>
      </c>
    </row>
    <row r="37" spans="1:24" ht="13.5" customHeight="1" x14ac:dyDescent="0.15">
      <c r="A37" s="25" t="s">
        <v>1091</v>
      </c>
      <c r="B37" s="25" t="s">
        <v>141</v>
      </c>
      <c r="C37" s="25" t="s">
        <v>142</v>
      </c>
      <c r="D37" s="25" t="s">
        <v>143</v>
      </c>
      <c r="E37" s="26" t="s">
        <v>45</v>
      </c>
      <c r="F37" s="27" t="s">
        <v>45</v>
      </c>
      <c r="G37" s="28" t="s">
        <v>45</v>
      </c>
      <c r="H37" s="29" t="s">
        <v>316</v>
      </c>
      <c r="I37" s="29" t="s">
        <v>46</v>
      </c>
      <c r="J37" s="30">
        <v>1</v>
      </c>
      <c r="K37" s="31">
        <f>6600</f>
        <v>6600</v>
      </c>
      <c r="L37" s="32" t="s">
        <v>995</v>
      </c>
      <c r="M37" s="31">
        <f>6800</f>
        <v>6800</v>
      </c>
      <c r="N37" s="32" t="s">
        <v>999</v>
      </c>
      <c r="O37" s="31">
        <f>6220</f>
        <v>6220</v>
      </c>
      <c r="P37" s="32" t="s">
        <v>789</v>
      </c>
      <c r="Q37" s="31">
        <f>6250</f>
        <v>6250</v>
      </c>
      <c r="R37" s="32" t="s">
        <v>791</v>
      </c>
      <c r="S37" s="33">
        <f>6495</f>
        <v>6495</v>
      </c>
      <c r="T37" s="30">
        <f>25646</f>
        <v>25646</v>
      </c>
      <c r="U37" s="30" t="str">
        <f t="shared" ref="U37:U46" si="0">"－"</f>
        <v>－</v>
      </c>
      <c r="V37" s="30">
        <f>167844930</f>
        <v>167844930</v>
      </c>
      <c r="W37" s="30" t="str">
        <f t="shared" ref="W37:W46" si="1">"－"</f>
        <v>－</v>
      </c>
      <c r="X37" s="34">
        <f>20</f>
        <v>20</v>
      </c>
    </row>
    <row r="38" spans="1:24" ht="13.5" customHeight="1" x14ac:dyDescent="0.15">
      <c r="A38" s="25" t="s">
        <v>1091</v>
      </c>
      <c r="B38" s="25" t="s">
        <v>144</v>
      </c>
      <c r="C38" s="25" t="s">
        <v>145</v>
      </c>
      <c r="D38" s="25" t="s">
        <v>146</v>
      </c>
      <c r="E38" s="26" t="s">
        <v>45</v>
      </c>
      <c r="F38" s="27" t="s">
        <v>45</v>
      </c>
      <c r="G38" s="28" t="s">
        <v>45</v>
      </c>
      <c r="H38" s="29" t="s">
        <v>316</v>
      </c>
      <c r="I38" s="29" t="s">
        <v>46</v>
      </c>
      <c r="J38" s="30">
        <v>1</v>
      </c>
      <c r="K38" s="31">
        <f>11500</f>
        <v>11500</v>
      </c>
      <c r="L38" s="32" t="s">
        <v>995</v>
      </c>
      <c r="M38" s="31">
        <f>11760</f>
        <v>11760</v>
      </c>
      <c r="N38" s="32" t="s">
        <v>999</v>
      </c>
      <c r="O38" s="31">
        <f>10835</f>
        <v>10835</v>
      </c>
      <c r="P38" s="32" t="s">
        <v>791</v>
      </c>
      <c r="Q38" s="31">
        <f>10880</f>
        <v>10880</v>
      </c>
      <c r="R38" s="32" t="s">
        <v>791</v>
      </c>
      <c r="S38" s="33">
        <f>11314.5</f>
        <v>11314.5</v>
      </c>
      <c r="T38" s="30">
        <f>12780</f>
        <v>12780</v>
      </c>
      <c r="U38" s="30" t="str">
        <f t="shared" si="0"/>
        <v>－</v>
      </c>
      <c r="V38" s="30">
        <f>145114005</f>
        <v>145114005</v>
      </c>
      <c r="W38" s="30" t="str">
        <f t="shared" si="1"/>
        <v>－</v>
      </c>
      <c r="X38" s="34">
        <f>20</f>
        <v>20</v>
      </c>
    </row>
    <row r="39" spans="1:24" ht="13.5" customHeight="1" x14ac:dyDescent="0.15">
      <c r="A39" s="25" t="s">
        <v>1091</v>
      </c>
      <c r="B39" s="25" t="s">
        <v>147</v>
      </c>
      <c r="C39" s="25" t="s">
        <v>148</v>
      </c>
      <c r="D39" s="25" t="s">
        <v>149</v>
      </c>
      <c r="E39" s="26" t="s">
        <v>45</v>
      </c>
      <c r="F39" s="27" t="s">
        <v>45</v>
      </c>
      <c r="G39" s="28" t="s">
        <v>45</v>
      </c>
      <c r="H39" s="29" t="s">
        <v>316</v>
      </c>
      <c r="I39" s="29" t="s">
        <v>46</v>
      </c>
      <c r="J39" s="30">
        <v>1</v>
      </c>
      <c r="K39" s="31">
        <f>22000</f>
        <v>22000</v>
      </c>
      <c r="L39" s="32" t="s">
        <v>995</v>
      </c>
      <c r="M39" s="31">
        <f>22165</f>
        <v>22165</v>
      </c>
      <c r="N39" s="32" t="s">
        <v>1001</v>
      </c>
      <c r="O39" s="31">
        <f>20645</f>
        <v>20645</v>
      </c>
      <c r="P39" s="32" t="s">
        <v>789</v>
      </c>
      <c r="Q39" s="31">
        <f>20760</f>
        <v>20760</v>
      </c>
      <c r="R39" s="32" t="s">
        <v>791</v>
      </c>
      <c r="S39" s="33">
        <f>21450</f>
        <v>21450</v>
      </c>
      <c r="T39" s="30">
        <f>1053</f>
        <v>1053</v>
      </c>
      <c r="U39" s="30" t="str">
        <f t="shared" si="0"/>
        <v>－</v>
      </c>
      <c r="V39" s="30">
        <f>23082645</f>
        <v>23082645</v>
      </c>
      <c r="W39" s="30" t="str">
        <f t="shared" si="1"/>
        <v>－</v>
      </c>
      <c r="X39" s="34">
        <f>12</f>
        <v>12</v>
      </c>
    </row>
    <row r="40" spans="1:24" ht="13.5" customHeight="1" x14ac:dyDescent="0.15">
      <c r="A40" s="25" t="s">
        <v>1091</v>
      </c>
      <c r="B40" s="25" t="s">
        <v>150</v>
      </c>
      <c r="C40" s="25" t="s">
        <v>151</v>
      </c>
      <c r="D40" s="25" t="s">
        <v>152</v>
      </c>
      <c r="E40" s="26" t="s">
        <v>45</v>
      </c>
      <c r="F40" s="27" t="s">
        <v>45</v>
      </c>
      <c r="G40" s="28" t="s">
        <v>45</v>
      </c>
      <c r="H40" s="29" t="s">
        <v>316</v>
      </c>
      <c r="I40" s="29" t="s">
        <v>46</v>
      </c>
      <c r="J40" s="30">
        <v>1</v>
      </c>
      <c r="K40" s="31">
        <f>17300</f>
        <v>17300</v>
      </c>
      <c r="L40" s="32" t="s">
        <v>995</v>
      </c>
      <c r="M40" s="31">
        <f>17415</f>
        <v>17415</v>
      </c>
      <c r="N40" s="32" t="s">
        <v>999</v>
      </c>
      <c r="O40" s="31">
        <f>16305</f>
        <v>16305</v>
      </c>
      <c r="P40" s="32" t="s">
        <v>793</v>
      </c>
      <c r="Q40" s="31">
        <f>16305</f>
        <v>16305</v>
      </c>
      <c r="R40" s="32" t="s">
        <v>791</v>
      </c>
      <c r="S40" s="33">
        <f>16829</f>
        <v>16829</v>
      </c>
      <c r="T40" s="30">
        <f>224</f>
        <v>224</v>
      </c>
      <c r="U40" s="30" t="str">
        <f t="shared" si="0"/>
        <v>－</v>
      </c>
      <c r="V40" s="30">
        <f>3768010</f>
        <v>3768010</v>
      </c>
      <c r="W40" s="30" t="str">
        <f t="shared" si="1"/>
        <v>－</v>
      </c>
      <c r="X40" s="34">
        <f>10</f>
        <v>10</v>
      </c>
    </row>
    <row r="41" spans="1:24" ht="13.5" customHeight="1" x14ac:dyDescent="0.15">
      <c r="A41" s="25" t="s">
        <v>1091</v>
      </c>
      <c r="B41" s="25" t="s">
        <v>153</v>
      </c>
      <c r="C41" s="25" t="s">
        <v>154</v>
      </c>
      <c r="D41" s="25" t="s">
        <v>155</v>
      </c>
      <c r="E41" s="26" t="s">
        <v>45</v>
      </c>
      <c r="F41" s="27" t="s">
        <v>45</v>
      </c>
      <c r="G41" s="28" t="s">
        <v>45</v>
      </c>
      <c r="H41" s="29" t="s">
        <v>316</v>
      </c>
      <c r="I41" s="29" t="s">
        <v>46</v>
      </c>
      <c r="J41" s="30">
        <v>1</v>
      </c>
      <c r="K41" s="31">
        <f>12360</f>
        <v>12360</v>
      </c>
      <c r="L41" s="32" t="s">
        <v>995</v>
      </c>
      <c r="M41" s="31">
        <f>12590</f>
        <v>12590</v>
      </c>
      <c r="N41" s="32" t="s">
        <v>999</v>
      </c>
      <c r="O41" s="31">
        <f>11600</f>
        <v>11600</v>
      </c>
      <c r="P41" s="32" t="s">
        <v>789</v>
      </c>
      <c r="Q41" s="31">
        <f>11700</f>
        <v>11700</v>
      </c>
      <c r="R41" s="32" t="s">
        <v>791</v>
      </c>
      <c r="S41" s="33">
        <f>12081.75</f>
        <v>12081.75</v>
      </c>
      <c r="T41" s="30">
        <f>8097</f>
        <v>8097</v>
      </c>
      <c r="U41" s="30" t="str">
        <f t="shared" si="0"/>
        <v>－</v>
      </c>
      <c r="V41" s="30">
        <f>98665105</f>
        <v>98665105</v>
      </c>
      <c r="W41" s="30" t="str">
        <f t="shared" si="1"/>
        <v>－</v>
      </c>
      <c r="X41" s="34">
        <f>20</f>
        <v>20</v>
      </c>
    </row>
    <row r="42" spans="1:24" ht="13.5" customHeight="1" x14ac:dyDescent="0.15">
      <c r="A42" s="25" t="s">
        <v>1091</v>
      </c>
      <c r="B42" s="25" t="s">
        <v>156</v>
      </c>
      <c r="C42" s="25" t="s">
        <v>157</v>
      </c>
      <c r="D42" s="25" t="s">
        <v>158</v>
      </c>
      <c r="E42" s="26" t="s">
        <v>45</v>
      </c>
      <c r="F42" s="27" t="s">
        <v>45</v>
      </c>
      <c r="G42" s="28" t="s">
        <v>45</v>
      </c>
      <c r="H42" s="29" t="s">
        <v>316</v>
      </c>
      <c r="I42" s="29" t="s">
        <v>46</v>
      </c>
      <c r="J42" s="30">
        <v>1</v>
      </c>
      <c r="K42" s="31">
        <f>5760</f>
        <v>5760</v>
      </c>
      <c r="L42" s="32" t="s">
        <v>995</v>
      </c>
      <c r="M42" s="31">
        <f>5900</f>
        <v>5900</v>
      </c>
      <c r="N42" s="32" t="s">
        <v>1004</v>
      </c>
      <c r="O42" s="31">
        <f>5400</f>
        <v>5400</v>
      </c>
      <c r="P42" s="32" t="s">
        <v>786</v>
      </c>
      <c r="Q42" s="31">
        <f>5420</f>
        <v>5420</v>
      </c>
      <c r="R42" s="32" t="s">
        <v>791</v>
      </c>
      <c r="S42" s="33">
        <f>5678.5</f>
        <v>5678.5</v>
      </c>
      <c r="T42" s="30">
        <f>11484</f>
        <v>11484</v>
      </c>
      <c r="U42" s="30" t="str">
        <f t="shared" si="0"/>
        <v>－</v>
      </c>
      <c r="V42" s="30">
        <f>65187180</f>
        <v>65187180</v>
      </c>
      <c r="W42" s="30" t="str">
        <f t="shared" si="1"/>
        <v>－</v>
      </c>
      <c r="X42" s="34">
        <f>20</f>
        <v>20</v>
      </c>
    </row>
    <row r="43" spans="1:24" ht="13.5" customHeight="1" x14ac:dyDescent="0.15">
      <c r="A43" s="25" t="s">
        <v>1091</v>
      </c>
      <c r="B43" s="25" t="s">
        <v>159</v>
      </c>
      <c r="C43" s="25" t="s">
        <v>160</v>
      </c>
      <c r="D43" s="25" t="s">
        <v>161</v>
      </c>
      <c r="E43" s="26" t="s">
        <v>45</v>
      </c>
      <c r="F43" s="27" t="s">
        <v>45</v>
      </c>
      <c r="G43" s="28" t="s">
        <v>45</v>
      </c>
      <c r="H43" s="29" t="s">
        <v>316</v>
      </c>
      <c r="I43" s="29" t="s">
        <v>46</v>
      </c>
      <c r="J43" s="30">
        <v>1</v>
      </c>
      <c r="K43" s="31">
        <f>3310</f>
        <v>3310</v>
      </c>
      <c r="L43" s="32" t="s">
        <v>995</v>
      </c>
      <c r="M43" s="31">
        <f>3390</f>
        <v>3390</v>
      </c>
      <c r="N43" s="32" t="s">
        <v>794</v>
      </c>
      <c r="O43" s="31">
        <f>3160</f>
        <v>3160</v>
      </c>
      <c r="P43" s="32" t="s">
        <v>791</v>
      </c>
      <c r="Q43" s="31">
        <f>3160</f>
        <v>3160</v>
      </c>
      <c r="R43" s="32" t="s">
        <v>791</v>
      </c>
      <c r="S43" s="33">
        <f>3292.5</f>
        <v>3292.5</v>
      </c>
      <c r="T43" s="30">
        <f>33969</f>
        <v>33969</v>
      </c>
      <c r="U43" s="30" t="str">
        <f t="shared" si="0"/>
        <v>－</v>
      </c>
      <c r="V43" s="30">
        <f>112835830</f>
        <v>112835830</v>
      </c>
      <c r="W43" s="30" t="str">
        <f t="shared" si="1"/>
        <v>－</v>
      </c>
      <c r="X43" s="34">
        <f>20</f>
        <v>20</v>
      </c>
    </row>
    <row r="44" spans="1:24" ht="13.5" customHeight="1" x14ac:dyDescent="0.15">
      <c r="A44" s="25" t="s">
        <v>1091</v>
      </c>
      <c r="B44" s="25" t="s">
        <v>162</v>
      </c>
      <c r="C44" s="25" t="s">
        <v>163</v>
      </c>
      <c r="D44" s="25" t="s">
        <v>164</v>
      </c>
      <c r="E44" s="26" t="s">
        <v>45</v>
      </c>
      <c r="F44" s="27" t="s">
        <v>45</v>
      </c>
      <c r="G44" s="28" t="s">
        <v>45</v>
      </c>
      <c r="H44" s="29" t="s">
        <v>316</v>
      </c>
      <c r="I44" s="29" t="s">
        <v>46</v>
      </c>
      <c r="J44" s="30">
        <v>1</v>
      </c>
      <c r="K44" s="31">
        <f>3375</f>
        <v>3375</v>
      </c>
      <c r="L44" s="32" t="s">
        <v>995</v>
      </c>
      <c r="M44" s="31">
        <f>3400</f>
        <v>3400</v>
      </c>
      <c r="N44" s="32" t="s">
        <v>995</v>
      </c>
      <c r="O44" s="31">
        <f>3175</f>
        <v>3175</v>
      </c>
      <c r="P44" s="32" t="s">
        <v>789</v>
      </c>
      <c r="Q44" s="31">
        <f>3180</f>
        <v>3180</v>
      </c>
      <c r="R44" s="32" t="s">
        <v>791</v>
      </c>
      <c r="S44" s="33">
        <f>3309.47</f>
        <v>3309.47</v>
      </c>
      <c r="T44" s="30">
        <f>11853</f>
        <v>11853</v>
      </c>
      <c r="U44" s="30" t="str">
        <f t="shared" si="0"/>
        <v>－</v>
      </c>
      <c r="V44" s="30">
        <f>39396270</f>
        <v>39396270</v>
      </c>
      <c r="W44" s="30" t="str">
        <f t="shared" si="1"/>
        <v>－</v>
      </c>
      <c r="X44" s="34">
        <f>19</f>
        <v>19</v>
      </c>
    </row>
    <row r="45" spans="1:24" ht="13.5" customHeight="1" x14ac:dyDescent="0.15">
      <c r="A45" s="25" t="s">
        <v>1091</v>
      </c>
      <c r="B45" s="25" t="s">
        <v>165</v>
      </c>
      <c r="C45" s="25" t="s">
        <v>166</v>
      </c>
      <c r="D45" s="25" t="s">
        <v>167</v>
      </c>
      <c r="E45" s="26" t="s">
        <v>45</v>
      </c>
      <c r="F45" s="27" t="s">
        <v>45</v>
      </c>
      <c r="G45" s="28" t="s">
        <v>45</v>
      </c>
      <c r="H45" s="29" t="s">
        <v>316</v>
      </c>
      <c r="I45" s="29" t="s">
        <v>46</v>
      </c>
      <c r="J45" s="30">
        <v>1</v>
      </c>
      <c r="K45" s="31">
        <f>54200</f>
        <v>54200</v>
      </c>
      <c r="L45" s="32" t="s">
        <v>995</v>
      </c>
      <c r="M45" s="31">
        <f>55690</f>
        <v>55690</v>
      </c>
      <c r="N45" s="32" t="s">
        <v>790</v>
      </c>
      <c r="O45" s="31">
        <f>52850</f>
        <v>52850</v>
      </c>
      <c r="P45" s="32" t="s">
        <v>789</v>
      </c>
      <c r="Q45" s="31">
        <f>53760</f>
        <v>53760</v>
      </c>
      <c r="R45" s="32" t="s">
        <v>791</v>
      </c>
      <c r="S45" s="33">
        <f>53907.89</f>
        <v>53907.89</v>
      </c>
      <c r="T45" s="30">
        <f>3793</f>
        <v>3793</v>
      </c>
      <c r="U45" s="30" t="str">
        <f t="shared" si="0"/>
        <v>－</v>
      </c>
      <c r="V45" s="30">
        <f>206752500</f>
        <v>206752500</v>
      </c>
      <c r="W45" s="30" t="str">
        <f t="shared" si="1"/>
        <v>－</v>
      </c>
      <c r="X45" s="34">
        <f>19</f>
        <v>19</v>
      </c>
    </row>
    <row r="46" spans="1:24" ht="13.5" customHeight="1" x14ac:dyDescent="0.15">
      <c r="A46" s="25" t="s">
        <v>1091</v>
      </c>
      <c r="B46" s="25" t="s">
        <v>168</v>
      </c>
      <c r="C46" s="25" t="s">
        <v>169</v>
      </c>
      <c r="D46" s="25" t="s">
        <v>170</v>
      </c>
      <c r="E46" s="26" t="s">
        <v>45</v>
      </c>
      <c r="F46" s="27" t="s">
        <v>45</v>
      </c>
      <c r="G46" s="28" t="s">
        <v>45</v>
      </c>
      <c r="H46" s="29" t="s">
        <v>316</v>
      </c>
      <c r="I46" s="29" t="s">
        <v>46</v>
      </c>
      <c r="J46" s="30">
        <v>1</v>
      </c>
      <c r="K46" s="31">
        <f>38790</f>
        <v>38790</v>
      </c>
      <c r="L46" s="32" t="s">
        <v>999</v>
      </c>
      <c r="M46" s="31">
        <f>39810</f>
        <v>39810</v>
      </c>
      <c r="N46" s="32" t="s">
        <v>790</v>
      </c>
      <c r="O46" s="31">
        <f>37630</f>
        <v>37630</v>
      </c>
      <c r="P46" s="32" t="s">
        <v>786</v>
      </c>
      <c r="Q46" s="31">
        <f>38280</f>
        <v>38280</v>
      </c>
      <c r="R46" s="32" t="s">
        <v>1017</v>
      </c>
      <c r="S46" s="33">
        <f>38892.73</f>
        <v>38892.730000000003</v>
      </c>
      <c r="T46" s="30">
        <f>471</f>
        <v>471</v>
      </c>
      <c r="U46" s="30" t="str">
        <f t="shared" si="0"/>
        <v>－</v>
      </c>
      <c r="V46" s="30">
        <f>18369220</f>
        <v>18369220</v>
      </c>
      <c r="W46" s="30" t="str">
        <f t="shared" si="1"/>
        <v>－</v>
      </c>
      <c r="X46" s="34">
        <f>11</f>
        <v>11</v>
      </c>
    </row>
    <row r="47" spans="1:24" ht="13.5" customHeight="1" x14ac:dyDescent="0.15">
      <c r="A47" s="25" t="s">
        <v>1091</v>
      </c>
      <c r="B47" s="25" t="s">
        <v>171</v>
      </c>
      <c r="C47" s="25" t="s">
        <v>172</v>
      </c>
      <c r="D47" s="25" t="s">
        <v>173</v>
      </c>
      <c r="E47" s="26" t="s">
        <v>45</v>
      </c>
      <c r="F47" s="27" t="s">
        <v>45</v>
      </c>
      <c r="G47" s="28" t="s">
        <v>45</v>
      </c>
      <c r="H47" s="29"/>
      <c r="I47" s="29" t="s">
        <v>46</v>
      </c>
      <c r="J47" s="30">
        <v>1</v>
      </c>
      <c r="K47" s="31">
        <f>29325</f>
        <v>29325</v>
      </c>
      <c r="L47" s="32" t="s">
        <v>995</v>
      </c>
      <c r="M47" s="31">
        <f>31910</f>
        <v>31910</v>
      </c>
      <c r="N47" s="32" t="s">
        <v>1017</v>
      </c>
      <c r="O47" s="31">
        <f>29200</f>
        <v>29200</v>
      </c>
      <c r="P47" s="32" t="s">
        <v>1000</v>
      </c>
      <c r="Q47" s="31">
        <f>31620</f>
        <v>31620</v>
      </c>
      <c r="R47" s="32" t="s">
        <v>893</v>
      </c>
      <c r="S47" s="33">
        <f>30428.06</f>
        <v>30428.06</v>
      </c>
      <c r="T47" s="30">
        <f>52405</f>
        <v>52405</v>
      </c>
      <c r="U47" s="30">
        <f>20955</f>
        <v>20955</v>
      </c>
      <c r="V47" s="30">
        <f>1595279260</f>
        <v>1595279260</v>
      </c>
      <c r="W47" s="30">
        <f>643987225</f>
        <v>643987225</v>
      </c>
      <c r="X47" s="34">
        <f>18</f>
        <v>18</v>
      </c>
    </row>
    <row r="48" spans="1:24" ht="13.5" customHeight="1" x14ac:dyDescent="0.15">
      <c r="A48" s="25" t="s">
        <v>1091</v>
      </c>
      <c r="B48" s="25" t="s">
        <v>174</v>
      </c>
      <c r="C48" s="25" t="s">
        <v>175</v>
      </c>
      <c r="D48" s="25" t="s">
        <v>176</v>
      </c>
      <c r="E48" s="26" t="s">
        <v>45</v>
      </c>
      <c r="F48" s="27" t="s">
        <v>45</v>
      </c>
      <c r="G48" s="28" t="s">
        <v>45</v>
      </c>
      <c r="H48" s="29"/>
      <c r="I48" s="29" t="s">
        <v>46</v>
      </c>
      <c r="J48" s="30">
        <v>10</v>
      </c>
      <c r="K48" s="31">
        <f>1920</f>
        <v>1920</v>
      </c>
      <c r="L48" s="32" t="s">
        <v>995</v>
      </c>
      <c r="M48" s="31">
        <f>1937</f>
        <v>1937</v>
      </c>
      <c r="N48" s="32" t="s">
        <v>1004</v>
      </c>
      <c r="O48" s="31">
        <f>1880.5</f>
        <v>1880.5</v>
      </c>
      <c r="P48" s="32" t="s">
        <v>789</v>
      </c>
      <c r="Q48" s="31">
        <f>1917.5</f>
        <v>1917.5</v>
      </c>
      <c r="R48" s="32" t="s">
        <v>791</v>
      </c>
      <c r="S48" s="33">
        <f>1911.78</f>
        <v>1911.78</v>
      </c>
      <c r="T48" s="30">
        <f>4677800</f>
        <v>4677800</v>
      </c>
      <c r="U48" s="30">
        <f>1603900</f>
        <v>1603900</v>
      </c>
      <c r="V48" s="30">
        <f>8940944483</f>
        <v>8940944483</v>
      </c>
      <c r="W48" s="30">
        <f>3070895978</f>
        <v>3070895978</v>
      </c>
      <c r="X48" s="34">
        <f>20</f>
        <v>20</v>
      </c>
    </row>
    <row r="49" spans="1:24" ht="13.5" customHeight="1" x14ac:dyDescent="0.15">
      <c r="A49" s="25" t="s">
        <v>1091</v>
      </c>
      <c r="B49" s="25" t="s">
        <v>177</v>
      </c>
      <c r="C49" s="25" t="s">
        <v>178</v>
      </c>
      <c r="D49" s="25" t="s">
        <v>179</v>
      </c>
      <c r="E49" s="26" t="s">
        <v>45</v>
      </c>
      <c r="F49" s="27" t="s">
        <v>45</v>
      </c>
      <c r="G49" s="28" t="s">
        <v>45</v>
      </c>
      <c r="H49" s="29"/>
      <c r="I49" s="29" t="s">
        <v>46</v>
      </c>
      <c r="J49" s="30">
        <v>10</v>
      </c>
      <c r="K49" s="31">
        <f>1738</f>
        <v>1738</v>
      </c>
      <c r="L49" s="32" t="s">
        <v>995</v>
      </c>
      <c r="M49" s="31">
        <f>1800</f>
        <v>1800</v>
      </c>
      <c r="N49" s="32" t="s">
        <v>894</v>
      </c>
      <c r="O49" s="31">
        <f>1733</f>
        <v>1733</v>
      </c>
      <c r="P49" s="32" t="s">
        <v>1000</v>
      </c>
      <c r="Q49" s="31">
        <f>1748.5</f>
        <v>1748.5</v>
      </c>
      <c r="R49" s="32" t="s">
        <v>791</v>
      </c>
      <c r="S49" s="33">
        <f>1762.05</f>
        <v>1762.05</v>
      </c>
      <c r="T49" s="30">
        <f>8500</f>
        <v>8500</v>
      </c>
      <c r="U49" s="30" t="str">
        <f>"－"</f>
        <v>－</v>
      </c>
      <c r="V49" s="30">
        <f>15095115</f>
        <v>15095115</v>
      </c>
      <c r="W49" s="30" t="str">
        <f>"－"</f>
        <v>－</v>
      </c>
      <c r="X49" s="34">
        <f>19</f>
        <v>19</v>
      </c>
    </row>
    <row r="50" spans="1:24" ht="13.5" customHeight="1" x14ac:dyDescent="0.15">
      <c r="A50" s="25" t="s">
        <v>1091</v>
      </c>
      <c r="B50" s="25" t="s">
        <v>180</v>
      </c>
      <c r="C50" s="25" t="s">
        <v>1045</v>
      </c>
      <c r="D50" s="25" t="s">
        <v>1046</v>
      </c>
      <c r="E50" s="26" t="s">
        <v>45</v>
      </c>
      <c r="F50" s="27" t="s">
        <v>45</v>
      </c>
      <c r="G50" s="28" t="s">
        <v>45</v>
      </c>
      <c r="H50" s="29"/>
      <c r="I50" s="29" t="s">
        <v>46</v>
      </c>
      <c r="J50" s="30">
        <v>1</v>
      </c>
      <c r="K50" s="31">
        <f>3805</f>
        <v>3805</v>
      </c>
      <c r="L50" s="32" t="s">
        <v>995</v>
      </c>
      <c r="M50" s="31">
        <f>3820</f>
        <v>3820</v>
      </c>
      <c r="N50" s="32" t="s">
        <v>1000</v>
      </c>
      <c r="O50" s="31">
        <f>3485</f>
        <v>3485</v>
      </c>
      <c r="P50" s="32" t="s">
        <v>1017</v>
      </c>
      <c r="Q50" s="31">
        <f>3575</f>
        <v>3575</v>
      </c>
      <c r="R50" s="32" t="s">
        <v>791</v>
      </c>
      <c r="S50" s="33">
        <f>3665.75</f>
        <v>3665.75</v>
      </c>
      <c r="T50" s="30">
        <f>2274895</f>
        <v>2274895</v>
      </c>
      <c r="U50" s="30">
        <f>1070600</f>
        <v>1070600</v>
      </c>
      <c r="V50" s="30">
        <f>8319016866</f>
        <v>8319016866</v>
      </c>
      <c r="W50" s="30">
        <f>3964404746</f>
        <v>3964404746</v>
      </c>
      <c r="X50" s="34">
        <f>20</f>
        <v>20</v>
      </c>
    </row>
    <row r="51" spans="1:24" ht="13.5" customHeight="1" x14ac:dyDescent="0.15">
      <c r="A51" s="25" t="s">
        <v>1091</v>
      </c>
      <c r="B51" s="25" t="s">
        <v>183</v>
      </c>
      <c r="C51" s="25" t="s">
        <v>1047</v>
      </c>
      <c r="D51" s="25" t="s">
        <v>1048</v>
      </c>
      <c r="E51" s="26" t="s">
        <v>45</v>
      </c>
      <c r="F51" s="27" t="s">
        <v>45</v>
      </c>
      <c r="G51" s="28" t="s">
        <v>45</v>
      </c>
      <c r="H51" s="29"/>
      <c r="I51" s="29" t="s">
        <v>46</v>
      </c>
      <c r="J51" s="30">
        <v>1</v>
      </c>
      <c r="K51" s="31">
        <f>4425</f>
        <v>4425</v>
      </c>
      <c r="L51" s="32" t="s">
        <v>995</v>
      </c>
      <c r="M51" s="31">
        <f>4430</f>
        <v>4430</v>
      </c>
      <c r="N51" s="32" t="s">
        <v>995</v>
      </c>
      <c r="O51" s="31">
        <f>4180</f>
        <v>4180</v>
      </c>
      <c r="P51" s="32" t="s">
        <v>894</v>
      </c>
      <c r="Q51" s="31">
        <f>4300</f>
        <v>4300</v>
      </c>
      <c r="R51" s="32" t="s">
        <v>791</v>
      </c>
      <c r="S51" s="33">
        <f>4309.5</f>
        <v>4309.5</v>
      </c>
      <c r="T51" s="30">
        <f>1603501</f>
        <v>1603501</v>
      </c>
      <c r="U51" s="30">
        <f>1481900</f>
        <v>1481900</v>
      </c>
      <c r="V51" s="30">
        <f>6884743285</f>
        <v>6884743285</v>
      </c>
      <c r="W51" s="30">
        <f>6357475970</f>
        <v>6357475970</v>
      </c>
      <c r="X51" s="34">
        <f>20</f>
        <v>20</v>
      </c>
    </row>
    <row r="52" spans="1:24" ht="13.5" customHeight="1" x14ac:dyDescent="0.15">
      <c r="A52" s="25" t="s">
        <v>1091</v>
      </c>
      <c r="B52" s="25" t="s">
        <v>186</v>
      </c>
      <c r="C52" s="25" t="s">
        <v>187</v>
      </c>
      <c r="D52" s="25" t="s">
        <v>188</v>
      </c>
      <c r="E52" s="26" t="s">
        <v>45</v>
      </c>
      <c r="F52" s="27" t="s">
        <v>45</v>
      </c>
      <c r="G52" s="28" t="s">
        <v>45</v>
      </c>
      <c r="H52" s="29"/>
      <c r="I52" s="29" t="s">
        <v>46</v>
      </c>
      <c r="J52" s="30">
        <v>1</v>
      </c>
      <c r="K52" s="31">
        <f>18815</f>
        <v>18815</v>
      </c>
      <c r="L52" s="32" t="s">
        <v>995</v>
      </c>
      <c r="M52" s="31">
        <f>22220</f>
        <v>22220</v>
      </c>
      <c r="N52" s="32" t="s">
        <v>1017</v>
      </c>
      <c r="O52" s="31">
        <f>18640</f>
        <v>18640</v>
      </c>
      <c r="P52" s="32" t="s">
        <v>1000</v>
      </c>
      <c r="Q52" s="31">
        <f>21225</f>
        <v>21225</v>
      </c>
      <c r="R52" s="32" t="s">
        <v>791</v>
      </c>
      <c r="S52" s="33">
        <f>20249.25</f>
        <v>20249.25</v>
      </c>
      <c r="T52" s="30">
        <f>9507284</f>
        <v>9507284</v>
      </c>
      <c r="U52" s="30">
        <f>8</f>
        <v>8</v>
      </c>
      <c r="V52" s="30">
        <f>194626041365</f>
        <v>194626041365</v>
      </c>
      <c r="W52" s="30">
        <f>151800</f>
        <v>151800</v>
      </c>
      <c r="X52" s="34">
        <f>20</f>
        <v>20</v>
      </c>
    </row>
    <row r="53" spans="1:24" ht="13.5" customHeight="1" x14ac:dyDescent="0.15">
      <c r="A53" s="25" t="s">
        <v>1091</v>
      </c>
      <c r="B53" s="25" t="s">
        <v>189</v>
      </c>
      <c r="C53" s="25" t="s">
        <v>190</v>
      </c>
      <c r="D53" s="25" t="s">
        <v>191</v>
      </c>
      <c r="E53" s="26" t="s">
        <v>45</v>
      </c>
      <c r="F53" s="27" t="s">
        <v>45</v>
      </c>
      <c r="G53" s="28" t="s">
        <v>45</v>
      </c>
      <c r="H53" s="29"/>
      <c r="I53" s="29" t="s">
        <v>46</v>
      </c>
      <c r="J53" s="30">
        <v>1</v>
      </c>
      <c r="K53" s="31">
        <f>1214</f>
        <v>1214</v>
      </c>
      <c r="L53" s="32" t="s">
        <v>995</v>
      </c>
      <c r="M53" s="31">
        <f>1224</f>
        <v>1224</v>
      </c>
      <c r="N53" s="32" t="s">
        <v>1000</v>
      </c>
      <c r="O53" s="31">
        <f>1019</f>
        <v>1019</v>
      </c>
      <c r="P53" s="32" t="s">
        <v>1017</v>
      </c>
      <c r="Q53" s="31">
        <f>1068</f>
        <v>1068</v>
      </c>
      <c r="R53" s="32" t="s">
        <v>791</v>
      </c>
      <c r="S53" s="33">
        <f>1127.05</f>
        <v>1127.05</v>
      </c>
      <c r="T53" s="30">
        <f>224878493</f>
        <v>224878493</v>
      </c>
      <c r="U53" s="30">
        <f>1293021</f>
        <v>1293021</v>
      </c>
      <c r="V53" s="30">
        <f>248375482412</f>
        <v>248375482412</v>
      </c>
      <c r="W53" s="30">
        <f>1369617971</f>
        <v>1369617971</v>
      </c>
      <c r="X53" s="34">
        <f>20</f>
        <v>20</v>
      </c>
    </row>
    <row r="54" spans="1:24" ht="13.5" customHeight="1" x14ac:dyDescent="0.15">
      <c r="A54" s="25" t="s">
        <v>1091</v>
      </c>
      <c r="B54" s="25" t="s">
        <v>192</v>
      </c>
      <c r="C54" s="25" t="s">
        <v>1049</v>
      </c>
      <c r="D54" s="25" t="s">
        <v>1050</v>
      </c>
      <c r="E54" s="26" t="s">
        <v>45</v>
      </c>
      <c r="F54" s="27" t="s">
        <v>45</v>
      </c>
      <c r="G54" s="28" t="s">
        <v>45</v>
      </c>
      <c r="H54" s="29"/>
      <c r="I54" s="29" t="s">
        <v>46</v>
      </c>
      <c r="J54" s="30">
        <v>1</v>
      </c>
      <c r="K54" s="31">
        <f>17155</f>
        <v>17155</v>
      </c>
      <c r="L54" s="32" t="s">
        <v>995</v>
      </c>
      <c r="M54" s="31">
        <f>19385</f>
        <v>19385</v>
      </c>
      <c r="N54" s="32" t="s">
        <v>894</v>
      </c>
      <c r="O54" s="31">
        <f>17130</f>
        <v>17130</v>
      </c>
      <c r="P54" s="32" t="s">
        <v>1000</v>
      </c>
      <c r="Q54" s="31">
        <f>18435</f>
        <v>18435</v>
      </c>
      <c r="R54" s="32" t="s">
        <v>791</v>
      </c>
      <c r="S54" s="33">
        <f>18255.26</f>
        <v>18255.259999999998</v>
      </c>
      <c r="T54" s="30">
        <f>1644</f>
        <v>1644</v>
      </c>
      <c r="U54" s="30" t="str">
        <f>"－"</f>
        <v>－</v>
      </c>
      <c r="V54" s="30">
        <f>29905855</f>
        <v>29905855</v>
      </c>
      <c r="W54" s="30" t="str">
        <f>"－"</f>
        <v>－</v>
      </c>
      <c r="X54" s="34">
        <f>19</f>
        <v>19</v>
      </c>
    </row>
    <row r="55" spans="1:24" ht="13.5" customHeight="1" x14ac:dyDescent="0.15">
      <c r="A55" s="25" t="s">
        <v>1091</v>
      </c>
      <c r="B55" s="25" t="s">
        <v>195</v>
      </c>
      <c r="C55" s="25" t="s">
        <v>1051</v>
      </c>
      <c r="D55" s="25" t="s">
        <v>1052</v>
      </c>
      <c r="E55" s="26" t="s">
        <v>45</v>
      </c>
      <c r="F55" s="27" t="s">
        <v>45</v>
      </c>
      <c r="G55" s="28" t="s">
        <v>45</v>
      </c>
      <c r="H55" s="29"/>
      <c r="I55" s="29" t="s">
        <v>46</v>
      </c>
      <c r="J55" s="30">
        <v>1</v>
      </c>
      <c r="K55" s="31">
        <f>4295</f>
        <v>4295</v>
      </c>
      <c r="L55" s="32" t="s">
        <v>995</v>
      </c>
      <c r="M55" s="31">
        <f>4300</f>
        <v>4300</v>
      </c>
      <c r="N55" s="32" t="s">
        <v>995</v>
      </c>
      <c r="O55" s="31">
        <f>4030</f>
        <v>4030</v>
      </c>
      <c r="P55" s="32" t="s">
        <v>1017</v>
      </c>
      <c r="Q55" s="31">
        <f>4125</f>
        <v>4125</v>
      </c>
      <c r="R55" s="32" t="s">
        <v>791</v>
      </c>
      <c r="S55" s="33">
        <f>4167.69</f>
        <v>4167.6899999999996</v>
      </c>
      <c r="T55" s="30">
        <f>504</f>
        <v>504</v>
      </c>
      <c r="U55" s="30" t="str">
        <f>"－"</f>
        <v>－</v>
      </c>
      <c r="V55" s="30">
        <f>2084830</f>
        <v>2084830</v>
      </c>
      <c r="W55" s="30" t="str">
        <f>"－"</f>
        <v>－</v>
      </c>
      <c r="X55" s="34">
        <f>13</f>
        <v>13</v>
      </c>
    </row>
    <row r="56" spans="1:24" ht="13.5" customHeight="1" x14ac:dyDescent="0.15">
      <c r="A56" s="25" t="s">
        <v>1091</v>
      </c>
      <c r="B56" s="25" t="s">
        <v>198</v>
      </c>
      <c r="C56" s="25" t="s">
        <v>1053</v>
      </c>
      <c r="D56" s="25" t="s">
        <v>1054</v>
      </c>
      <c r="E56" s="26" t="s">
        <v>45</v>
      </c>
      <c r="F56" s="27" t="s">
        <v>45</v>
      </c>
      <c r="G56" s="28" t="s">
        <v>45</v>
      </c>
      <c r="H56" s="29"/>
      <c r="I56" s="29" t="s">
        <v>46</v>
      </c>
      <c r="J56" s="30">
        <v>1</v>
      </c>
      <c r="K56" s="31">
        <f>1434</f>
        <v>1434</v>
      </c>
      <c r="L56" s="32" t="s">
        <v>995</v>
      </c>
      <c r="M56" s="31">
        <f>1459</f>
        <v>1459</v>
      </c>
      <c r="N56" s="32" t="s">
        <v>995</v>
      </c>
      <c r="O56" s="31">
        <f>1251</f>
        <v>1251</v>
      </c>
      <c r="P56" s="32" t="s">
        <v>894</v>
      </c>
      <c r="Q56" s="31">
        <f>1315</f>
        <v>1315</v>
      </c>
      <c r="R56" s="32" t="s">
        <v>791</v>
      </c>
      <c r="S56" s="33">
        <f>1345.95</f>
        <v>1345.95</v>
      </c>
      <c r="T56" s="30">
        <f>35289</f>
        <v>35289</v>
      </c>
      <c r="U56" s="30" t="str">
        <f>"－"</f>
        <v>－</v>
      </c>
      <c r="V56" s="30">
        <f>47363553</f>
        <v>47363553</v>
      </c>
      <c r="W56" s="30" t="str">
        <f>"－"</f>
        <v>－</v>
      </c>
      <c r="X56" s="34">
        <f>20</f>
        <v>20</v>
      </c>
    </row>
    <row r="57" spans="1:24" ht="13.5" customHeight="1" x14ac:dyDescent="0.15">
      <c r="A57" s="25" t="s">
        <v>1091</v>
      </c>
      <c r="B57" s="25" t="s">
        <v>201</v>
      </c>
      <c r="C57" s="25" t="s">
        <v>202</v>
      </c>
      <c r="D57" s="25" t="s">
        <v>203</v>
      </c>
      <c r="E57" s="26" t="s">
        <v>45</v>
      </c>
      <c r="F57" s="27" t="s">
        <v>45</v>
      </c>
      <c r="G57" s="28" t="s">
        <v>45</v>
      </c>
      <c r="H57" s="29" t="s">
        <v>877</v>
      </c>
      <c r="I57" s="29"/>
      <c r="J57" s="30">
        <v>10</v>
      </c>
      <c r="K57" s="31">
        <f>15100</f>
        <v>15100</v>
      </c>
      <c r="L57" s="32" t="s">
        <v>995</v>
      </c>
      <c r="M57" s="31">
        <f>17780</f>
        <v>17780</v>
      </c>
      <c r="N57" s="32" t="s">
        <v>1017</v>
      </c>
      <c r="O57" s="31">
        <f>15100</f>
        <v>15100</v>
      </c>
      <c r="P57" s="32" t="s">
        <v>995</v>
      </c>
      <c r="Q57" s="31">
        <f>17075</f>
        <v>17075</v>
      </c>
      <c r="R57" s="32" t="s">
        <v>791</v>
      </c>
      <c r="S57" s="33">
        <f>16435</f>
        <v>16435</v>
      </c>
      <c r="T57" s="30">
        <f>3850</f>
        <v>3850</v>
      </c>
      <c r="U57" s="30">
        <f>10</f>
        <v>10</v>
      </c>
      <c r="V57" s="30">
        <f>63635950</f>
        <v>63635950</v>
      </c>
      <c r="W57" s="30">
        <f>153000</f>
        <v>153000</v>
      </c>
      <c r="X57" s="34">
        <f>20</f>
        <v>20</v>
      </c>
    </row>
    <row r="58" spans="1:24" ht="13.5" customHeight="1" x14ac:dyDescent="0.15">
      <c r="A58" s="25" t="s">
        <v>1091</v>
      </c>
      <c r="B58" s="25" t="s">
        <v>204</v>
      </c>
      <c r="C58" s="25" t="s">
        <v>205</v>
      </c>
      <c r="D58" s="25" t="s">
        <v>206</v>
      </c>
      <c r="E58" s="26" t="s">
        <v>45</v>
      </c>
      <c r="F58" s="27" t="s">
        <v>45</v>
      </c>
      <c r="G58" s="28" t="s">
        <v>45</v>
      </c>
      <c r="H58" s="29" t="s">
        <v>877</v>
      </c>
      <c r="I58" s="29"/>
      <c r="J58" s="30">
        <v>10</v>
      </c>
      <c r="K58" s="31">
        <f>3652</f>
        <v>3652</v>
      </c>
      <c r="L58" s="32" t="s">
        <v>995</v>
      </c>
      <c r="M58" s="31">
        <f>3652</f>
        <v>3652</v>
      </c>
      <c r="N58" s="32" t="s">
        <v>995</v>
      </c>
      <c r="O58" s="31">
        <f>3280</f>
        <v>3280</v>
      </c>
      <c r="P58" s="32" t="s">
        <v>1017</v>
      </c>
      <c r="Q58" s="31">
        <f>3350</f>
        <v>3350</v>
      </c>
      <c r="R58" s="32" t="s">
        <v>791</v>
      </c>
      <c r="S58" s="33">
        <f>3463.69</f>
        <v>3463.69</v>
      </c>
      <c r="T58" s="30">
        <f>2040</f>
        <v>2040</v>
      </c>
      <c r="U58" s="30">
        <f>20</f>
        <v>20</v>
      </c>
      <c r="V58" s="30">
        <f>7077470</f>
        <v>7077470</v>
      </c>
      <c r="W58" s="30">
        <f>71000</f>
        <v>71000</v>
      </c>
      <c r="X58" s="34">
        <f>13</f>
        <v>13</v>
      </c>
    </row>
    <row r="59" spans="1:24" ht="13.5" customHeight="1" x14ac:dyDescent="0.15">
      <c r="A59" s="25" t="s">
        <v>1091</v>
      </c>
      <c r="B59" s="25" t="s">
        <v>207</v>
      </c>
      <c r="C59" s="25" t="s">
        <v>208</v>
      </c>
      <c r="D59" s="25" t="s">
        <v>209</v>
      </c>
      <c r="E59" s="26" t="s">
        <v>45</v>
      </c>
      <c r="F59" s="27" t="s">
        <v>45</v>
      </c>
      <c r="G59" s="28" t="s">
        <v>45</v>
      </c>
      <c r="H59" s="29"/>
      <c r="I59" s="29" t="s">
        <v>46</v>
      </c>
      <c r="J59" s="30">
        <v>10</v>
      </c>
      <c r="K59" s="31">
        <f>1419.5</f>
        <v>1419.5</v>
      </c>
      <c r="L59" s="32" t="s">
        <v>995</v>
      </c>
      <c r="M59" s="31">
        <f>1419.5</f>
        <v>1419.5</v>
      </c>
      <c r="N59" s="32" t="s">
        <v>995</v>
      </c>
      <c r="O59" s="31">
        <f>1235</f>
        <v>1235</v>
      </c>
      <c r="P59" s="32" t="s">
        <v>1017</v>
      </c>
      <c r="Q59" s="31">
        <f>1301</f>
        <v>1301</v>
      </c>
      <c r="R59" s="32" t="s">
        <v>791</v>
      </c>
      <c r="S59" s="33">
        <f>1324.73</f>
        <v>1324.73</v>
      </c>
      <c r="T59" s="30">
        <f>91000</f>
        <v>91000</v>
      </c>
      <c r="U59" s="30" t="str">
        <f>"－"</f>
        <v>－</v>
      </c>
      <c r="V59" s="30">
        <f>119459250</f>
        <v>119459250</v>
      </c>
      <c r="W59" s="30" t="str">
        <f>"－"</f>
        <v>－</v>
      </c>
      <c r="X59" s="34">
        <f>20</f>
        <v>20</v>
      </c>
    </row>
    <row r="60" spans="1:24" ht="13.5" customHeight="1" x14ac:dyDescent="0.15">
      <c r="A60" s="25" t="s">
        <v>1091</v>
      </c>
      <c r="B60" s="25" t="s">
        <v>210</v>
      </c>
      <c r="C60" s="25" t="s">
        <v>211</v>
      </c>
      <c r="D60" s="25" t="s">
        <v>212</v>
      </c>
      <c r="E60" s="26" t="s">
        <v>45</v>
      </c>
      <c r="F60" s="27" t="s">
        <v>45</v>
      </c>
      <c r="G60" s="28" t="s">
        <v>45</v>
      </c>
      <c r="H60" s="29"/>
      <c r="I60" s="29" t="s">
        <v>46</v>
      </c>
      <c r="J60" s="30">
        <v>1</v>
      </c>
      <c r="K60" s="31">
        <f>580</f>
        <v>580</v>
      </c>
      <c r="L60" s="32" t="s">
        <v>995</v>
      </c>
      <c r="M60" s="31">
        <f>586</f>
        <v>586</v>
      </c>
      <c r="N60" s="32" t="s">
        <v>1004</v>
      </c>
      <c r="O60" s="31">
        <f>505</f>
        <v>505</v>
      </c>
      <c r="P60" s="32" t="s">
        <v>894</v>
      </c>
      <c r="Q60" s="31">
        <f>527</f>
        <v>527</v>
      </c>
      <c r="R60" s="32" t="s">
        <v>791</v>
      </c>
      <c r="S60" s="33">
        <f>538.6</f>
        <v>538.6</v>
      </c>
      <c r="T60" s="30">
        <f>52934</f>
        <v>52934</v>
      </c>
      <c r="U60" s="30" t="str">
        <f>"－"</f>
        <v>－</v>
      </c>
      <c r="V60" s="30">
        <f>28439072</f>
        <v>28439072</v>
      </c>
      <c r="W60" s="30" t="str">
        <f>"－"</f>
        <v>－</v>
      </c>
      <c r="X60" s="34">
        <f>20</f>
        <v>20</v>
      </c>
    </row>
    <row r="61" spans="1:24" ht="13.5" customHeight="1" x14ac:dyDescent="0.15">
      <c r="A61" s="25" t="s">
        <v>1091</v>
      </c>
      <c r="B61" s="25" t="s">
        <v>213</v>
      </c>
      <c r="C61" s="25" t="s">
        <v>214</v>
      </c>
      <c r="D61" s="25" t="s">
        <v>215</v>
      </c>
      <c r="E61" s="26" t="s">
        <v>45</v>
      </c>
      <c r="F61" s="27" t="s">
        <v>45</v>
      </c>
      <c r="G61" s="28" t="s">
        <v>45</v>
      </c>
      <c r="H61" s="29"/>
      <c r="I61" s="29" t="s">
        <v>46</v>
      </c>
      <c r="J61" s="30">
        <v>10</v>
      </c>
      <c r="K61" s="31">
        <f>2120.5</f>
        <v>2120.5</v>
      </c>
      <c r="L61" s="32" t="s">
        <v>995</v>
      </c>
      <c r="M61" s="31">
        <f>2240</f>
        <v>2240</v>
      </c>
      <c r="N61" s="32" t="s">
        <v>894</v>
      </c>
      <c r="O61" s="31">
        <f>2118.5</f>
        <v>2118.5</v>
      </c>
      <c r="P61" s="32" t="s">
        <v>995</v>
      </c>
      <c r="Q61" s="31">
        <f>2178.5</f>
        <v>2178.5</v>
      </c>
      <c r="R61" s="32" t="s">
        <v>791</v>
      </c>
      <c r="S61" s="33">
        <f>2177.88</f>
        <v>2177.88</v>
      </c>
      <c r="T61" s="30">
        <f>501880</f>
        <v>501880</v>
      </c>
      <c r="U61" s="30">
        <f>95670</f>
        <v>95670</v>
      </c>
      <c r="V61" s="30">
        <f>1097518483</f>
        <v>1097518483</v>
      </c>
      <c r="W61" s="30">
        <f>203965698</f>
        <v>203965698</v>
      </c>
      <c r="X61" s="34">
        <f>20</f>
        <v>20</v>
      </c>
    </row>
    <row r="62" spans="1:24" ht="13.5" customHeight="1" x14ac:dyDescent="0.15">
      <c r="A62" s="25" t="s">
        <v>1091</v>
      </c>
      <c r="B62" s="25" t="s">
        <v>216</v>
      </c>
      <c r="C62" s="25" t="s">
        <v>217</v>
      </c>
      <c r="D62" s="25" t="s">
        <v>218</v>
      </c>
      <c r="E62" s="26" t="s">
        <v>45</v>
      </c>
      <c r="F62" s="27" t="s">
        <v>45</v>
      </c>
      <c r="G62" s="28" t="s">
        <v>45</v>
      </c>
      <c r="H62" s="29"/>
      <c r="I62" s="29" t="s">
        <v>46</v>
      </c>
      <c r="J62" s="30">
        <v>1</v>
      </c>
      <c r="K62" s="31">
        <f>18990</f>
        <v>18990</v>
      </c>
      <c r="L62" s="32" t="s">
        <v>995</v>
      </c>
      <c r="M62" s="31">
        <f>20145</f>
        <v>20145</v>
      </c>
      <c r="N62" s="32" t="s">
        <v>894</v>
      </c>
      <c r="O62" s="31">
        <f>18990</f>
        <v>18990</v>
      </c>
      <c r="P62" s="32" t="s">
        <v>995</v>
      </c>
      <c r="Q62" s="31">
        <f>19685</f>
        <v>19685</v>
      </c>
      <c r="R62" s="32" t="s">
        <v>791</v>
      </c>
      <c r="S62" s="33">
        <f>19569.25</f>
        <v>19569.25</v>
      </c>
      <c r="T62" s="30">
        <f>17496</f>
        <v>17496</v>
      </c>
      <c r="U62" s="30">
        <f>15000</f>
        <v>15000</v>
      </c>
      <c r="V62" s="30">
        <f>337276715</f>
        <v>337276715</v>
      </c>
      <c r="W62" s="30">
        <f>288465000</f>
        <v>288465000</v>
      </c>
      <c r="X62" s="34">
        <f>20</f>
        <v>20</v>
      </c>
    </row>
    <row r="63" spans="1:24" ht="13.5" customHeight="1" x14ac:dyDescent="0.15">
      <c r="A63" s="25" t="s">
        <v>1091</v>
      </c>
      <c r="B63" s="25" t="s">
        <v>219</v>
      </c>
      <c r="C63" s="25" t="s">
        <v>220</v>
      </c>
      <c r="D63" s="25" t="s">
        <v>221</v>
      </c>
      <c r="E63" s="26" t="s">
        <v>45</v>
      </c>
      <c r="F63" s="27" t="s">
        <v>45</v>
      </c>
      <c r="G63" s="28" t="s">
        <v>45</v>
      </c>
      <c r="H63" s="29"/>
      <c r="I63" s="29" t="s">
        <v>46</v>
      </c>
      <c r="J63" s="30">
        <v>1</v>
      </c>
      <c r="K63" s="31">
        <f>2137</f>
        <v>2137</v>
      </c>
      <c r="L63" s="32" t="s">
        <v>995</v>
      </c>
      <c r="M63" s="31">
        <f>2260</f>
        <v>2260</v>
      </c>
      <c r="N63" s="32" t="s">
        <v>894</v>
      </c>
      <c r="O63" s="31">
        <f>2135</f>
        <v>2135</v>
      </c>
      <c r="P63" s="32" t="s">
        <v>995</v>
      </c>
      <c r="Q63" s="31">
        <f>2200</f>
        <v>2200</v>
      </c>
      <c r="R63" s="32" t="s">
        <v>791</v>
      </c>
      <c r="S63" s="33">
        <f>2195.45</f>
        <v>2195.4499999999998</v>
      </c>
      <c r="T63" s="30">
        <f>6569250</f>
        <v>6569250</v>
      </c>
      <c r="U63" s="30">
        <f>841577</f>
        <v>841577</v>
      </c>
      <c r="V63" s="30">
        <f>14528077301</f>
        <v>14528077301</v>
      </c>
      <c r="W63" s="30">
        <f>1863359810</f>
        <v>1863359810</v>
      </c>
      <c r="X63" s="34">
        <f>20</f>
        <v>20</v>
      </c>
    </row>
    <row r="64" spans="1:24" ht="13.5" customHeight="1" x14ac:dyDescent="0.15">
      <c r="A64" s="25" t="s">
        <v>1091</v>
      </c>
      <c r="B64" s="25" t="s">
        <v>222</v>
      </c>
      <c r="C64" s="25" t="s">
        <v>223</v>
      </c>
      <c r="D64" s="25" t="s">
        <v>224</v>
      </c>
      <c r="E64" s="26" t="s">
        <v>45</v>
      </c>
      <c r="F64" s="27" t="s">
        <v>45</v>
      </c>
      <c r="G64" s="28" t="s">
        <v>45</v>
      </c>
      <c r="H64" s="29"/>
      <c r="I64" s="29" t="s">
        <v>46</v>
      </c>
      <c r="J64" s="30">
        <v>1</v>
      </c>
      <c r="K64" s="31">
        <f>1945</f>
        <v>1945</v>
      </c>
      <c r="L64" s="32" t="s">
        <v>995</v>
      </c>
      <c r="M64" s="31">
        <f>1945</f>
        <v>1945</v>
      </c>
      <c r="N64" s="32" t="s">
        <v>995</v>
      </c>
      <c r="O64" s="31">
        <f>1885</f>
        <v>1885</v>
      </c>
      <c r="P64" s="32" t="s">
        <v>789</v>
      </c>
      <c r="Q64" s="31">
        <f>1921</f>
        <v>1921</v>
      </c>
      <c r="R64" s="32" t="s">
        <v>791</v>
      </c>
      <c r="S64" s="33">
        <f>1917.9</f>
        <v>1917.9</v>
      </c>
      <c r="T64" s="30">
        <f>3179645</f>
        <v>3179645</v>
      </c>
      <c r="U64" s="30">
        <f>1116107</f>
        <v>1116107</v>
      </c>
      <c r="V64" s="30">
        <f>6110107824</f>
        <v>6110107824</v>
      </c>
      <c r="W64" s="30">
        <f>2139315410</f>
        <v>2139315410</v>
      </c>
      <c r="X64" s="34">
        <f>20</f>
        <v>20</v>
      </c>
    </row>
    <row r="65" spans="1:24" ht="13.5" customHeight="1" x14ac:dyDescent="0.15">
      <c r="A65" s="25" t="s">
        <v>1091</v>
      </c>
      <c r="B65" s="25" t="s">
        <v>225</v>
      </c>
      <c r="C65" s="25" t="s">
        <v>226</v>
      </c>
      <c r="D65" s="25" t="s">
        <v>227</v>
      </c>
      <c r="E65" s="26" t="s">
        <v>45</v>
      </c>
      <c r="F65" s="27" t="s">
        <v>45</v>
      </c>
      <c r="G65" s="28" t="s">
        <v>45</v>
      </c>
      <c r="H65" s="29"/>
      <c r="I65" s="29" t="s">
        <v>46</v>
      </c>
      <c r="J65" s="30">
        <v>1</v>
      </c>
      <c r="K65" s="31">
        <f>2039</f>
        <v>2039</v>
      </c>
      <c r="L65" s="32" t="s">
        <v>995</v>
      </c>
      <c r="M65" s="31">
        <f>2139</f>
        <v>2139</v>
      </c>
      <c r="N65" s="32" t="s">
        <v>894</v>
      </c>
      <c r="O65" s="31">
        <f>2038</f>
        <v>2038</v>
      </c>
      <c r="P65" s="32" t="s">
        <v>995</v>
      </c>
      <c r="Q65" s="31">
        <f>2083</f>
        <v>2083</v>
      </c>
      <c r="R65" s="32" t="s">
        <v>791</v>
      </c>
      <c r="S65" s="33">
        <f>2087</f>
        <v>2087</v>
      </c>
      <c r="T65" s="30">
        <f>220404</f>
        <v>220404</v>
      </c>
      <c r="U65" s="30">
        <f>188915</f>
        <v>188915</v>
      </c>
      <c r="V65" s="30">
        <f>461510887</f>
        <v>461510887</v>
      </c>
      <c r="W65" s="30">
        <f>396716339</f>
        <v>396716339</v>
      </c>
      <c r="X65" s="34">
        <f>20</f>
        <v>20</v>
      </c>
    </row>
    <row r="66" spans="1:24" ht="13.5" customHeight="1" x14ac:dyDescent="0.15">
      <c r="A66" s="25" t="s">
        <v>1091</v>
      </c>
      <c r="B66" s="25" t="s">
        <v>228</v>
      </c>
      <c r="C66" s="25" t="s">
        <v>229</v>
      </c>
      <c r="D66" s="25" t="s">
        <v>230</v>
      </c>
      <c r="E66" s="26" t="s">
        <v>45</v>
      </c>
      <c r="F66" s="27" t="s">
        <v>45</v>
      </c>
      <c r="G66" s="28" t="s">
        <v>45</v>
      </c>
      <c r="H66" s="29"/>
      <c r="I66" s="29" t="s">
        <v>46</v>
      </c>
      <c r="J66" s="30">
        <v>1</v>
      </c>
      <c r="K66" s="31">
        <f>2606</f>
        <v>2606</v>
      </c>
      <c r="L66" s="32" t="s">
        <v>995</v>
      </c>
      <c r="M66" s="31">
        <f>2745</f>
        <v>2745</v>
      </c>
      <c r="N66" s="32" t="s">
        <v>894</v>
      </c>
      <c r="O66" s="31">
        <f>2589</f>
        <v>2589</v>
      </c>
      <c r="P66" s="32" t="s">
        <v>999</v>
      </c>
      <c r="Q66" s="31">
        <f>2701</f>
        <v>2701</v>
      </c>
      <c r="R66" s="32" t="s">
        <v>791</v>
      </c>
      <c r="S66" s="33">
        <f>2667.25</f>
        <v>2667.25</v>
      </c>
      <c r="T66" s="30">
        <f>433523</f>
        <v>433523</v>
      </c>
      <c r="U66" s="30">
        <f>68700</f>
        <v>68700</v>
      </c>
      <c r="V66" s="30">
        <f>1156620569</f>
        <v>1156620569</v>
      </c>
      <c r="W66" s="30">
        <f>185527450</f>
        <v>185527450</v>
      </c>
      <c r="X66" s="34">
        <f>20</f>
        <v>20</v>
      </c>
    </row>
    <row r="67" spans="1:24" ht="13.5" customHeight="1" x14ac:dyDescent="0.15">
      <c r="A67" s="25" t="s">
        <v>1091</v>
      </c>
      <c r="B67" s="25" t="s">
        <v>231</v>
      </c>
      <c r="C67" s="25" t="s">
        <v>1055</v>
      </c>
      <c r="D67" s="25" t="s">
        <v>1056</v>
      </c>
      <c r="E67" s="26" t="s">
        <v>45</v>
      </c>
      <c r="F67" s="27" t="s">
        <v>45</v>
      </c>
      <c r="G67" s="28" t="s">
        <v>45</v>
      </c>
      <c r="H67" s="29"/>
      <c r="I67" s="29" t="s">
        <v>46</v>
      </c>
      <c r="J67" s="30">
        <v>1</v>
      </c>
      <c r="K67" s="31">
        <f>25840</f>
        <v>25840</v>
      </c>
      <c r="L67" s="32" t="s">
        <v>999</v>
      </c>
      <c r="M67" s="31">
        <f>27415</f>
        <v>27415</v>
      </c>
      <c r="N67" s="32" t="s">
        <v>894</v>
      </c>
      <c r="O67" s="31">
        <f>25600</f>
        <v>25600</v>
      </c>
      <c r="P67" s="32" t="s">
        <v>1004</v>
      </c>
      <c r="Q67" s="31">
        <f>27090</f>
        <v>27090</v>
      </c>
      <c r="R67" s="32" t="s">
        <v>1017</v>
      </c>
      <c r="S67" s="33">
        <f>26425.77</f>
        <v>26425.77</v>
      </c>
      <c r="T67" s="30">
        <f>229</f>
        <v>229</v>
      </c>
      <c r="U67" s="30" t="str">
        <f>"－"</f>
        <v>－</v>
      </c>
      <c r="V67" s="30">
        <f>6129710</f>
        <v>6129710</v>
      </c>
      <c r="W67" s="30" t="str">
        <f>"－"</f>
        <v>－</v>
      </c>
      <c r="X67" s="34">
        <f>13</f>
        <v>13</v>
      </c>
    </row>
    <row r="68" spans="1:24" ht="13.5" customHeight="1" x14ac:dyDescent="0.15">
      <c r="A68" s="25" t="s">
        <v>1091</v>
      </c>
      <c r="B68" s="25" t="s">
        <v>234</v>
      </c>
      <c r="C68" s="25" t="s">
        <v>235</v>
      </c>
      <c r="D68" s="25" t="s">
        <v>236</v>
      </c>
      <c r="E68" s="26" t="s">
        <v>45</v>
      </c>
      <c r="F68" s="27" t="s">
        <v>45</v>
      </c>
      <c r="G68" s="28" t="s">
        <v>45</v>
      </c>
      <c r="H68" s="29"/>
      <c r="I68" s="29" t="s">
        <v>46</v>
      </c>
      <c r="J68" s="30">
        <v>1</v>
      </c>
      <c r="K68" s="31">
        <f>20700</f>
        <v>20700</v>
      </c>
      <c r="L68" s="32" t="s">
        <v>995</v>
      </c>
      <c r="M68" s="31">
        <f>21750</f>
        <v>21750</v>
      </c>
      <c r="N68" s="32" t="s">
        <v>790</v>
      </c>
      <c r="O68" s="31">
        <f>20700</f>
        <v>20700</v>
      </c>
      <c r="P68" s="32" t="s">
        <v>995</v>
      </c>
      <c r="Q68" s="31">
        <f>21750</f>
        <v>21750</v>
      </c>
      <c r="R68" s="32" t="s">
        <v>790</v>
      </c>
      <c r="S68" s="33">
        <f>21120</f>
        <v>21120</v>
      </c>
      <c r="T68" s="30">
        <f>36</f>
        <v>36</v>
      </c>
      <c r="U68" s="30" t="str">
        <f>"－"</f>
        <v>－</v>
      </c>
      <c r="V68" s="30">
        <f>768015</f>
        <v>768015</v>
      </c>
      <c r="W68" s="30" t="str">
        <f>"－"</f>
        <v>－</v>
      </c>
      <c r="X68" s="34">
        <f>8</f>
        <v>8</v>
      </c>
    </row>
    <row r="69" spans="1:24" ht="13.5" customHeight="1" x14ac:dyDescent="0.15">
      <c r="A69" s="25" t="s">
        <v>1091</v>
      </c>
      <c r="B69" s="25" t="s">
        <v>237</v>
      </c>
      <c r="C69" s="25" t="s">
        <v>238</v>
      </c>
      <c r="D69" s="25" t="s">
        <v>239</v>
      </c>
      <c r="E69" s="26" t="s">
        <v>45</v>
      </c>
      <c r="F69" s="27" t="s">
        <v>45</v>
      </c>
      <c r="G69" s="28" t="s">
        <v>45</v>
      </c>
      <c r="H69" s="29"/>
      <c r="I69" s="29" t="s">
        <v>46</v>
      </c>
      <c r="J69" s="30">
        <v>1</v>
      </c>
      <c r="K69" s="31">
        <f>2182</f>
        <v>2182</v>
      </c>
      <c r="L69" s="32" t="s">
        <v>995</v>
      </c>
      <c r="M69" s="31">
        <f>2310</f>
        <v>2310</v>
      </c>
      <c r="N69" s="32" t="s">
        <v>1001</v>
      </c>
      <c r="O69" s="31">
        <f>2176</f>
        <v>2176</v>
      </c>
      <c r="P69" s="32" t="s">
        <v>787</v>
      </c>
      <c r="Q69" s="31">
        <f>2230</f>
        <v>2230</v>
      </c>
      <c r="R69" s="32" t="s">
        <v>791</v>
      </c>
      <c r="S69" s="33">
        <f>2237.55</f>
        <v>2237.5500000000002</v>
      </c>
      <c r="T69" s="30">
        <f>5511</f>
        <v>5511</v>
      </c>
      <c r="U69" s="30" t="str">
        <f>"－"</f>
        <v>－</v>
      </c>
      <c r="V69" s="30">
        <f>12179719</f>
        <v>12179719</v>
      </c>
      <c r="W69" s="30" t="str">
        <f>"－"</f>
        <v>－</v>
      </c>
      <c r="X69" s="34">
        <f>20</f>
        <v>20</v>
      </c>
    </row>
    <row r="70" spans="1:24" ht="13.5" customHeight="1" x14ac:dyDescent="0.15">
      <c r="A70" s="25" t="s">
        <v>1091</v>
      </c>
      <c r="B70" s="25" t="s">
        <v>240</v>
      </c>
      <c r="C70" s="25" t="s">
        <v>241</v>
      </c>
      <c r="D70" s="25" t="s">
        <v>242</v>
      </c>
      <c r="E70" s="26" t="s">
        <v>45</v>
      </c>
      <c r="F70" s="27" t="s">
        <v>45</v>
      </c>
      <c r="G70" s="28" t="s">
        <v>45</v>
      </c>
      <c r="H70" s="29"/>
      <c r="I70" s="29" t="s">
        <v>46</v>
      </c>
      <c r="J70" s="30">
        <v>1</v>
      </c>
      <c r="K70" s="31">
        <f>1940</f>
        <v>1940</v>
      </c>
      <c r="L70" s="32" t="s">
        <v>995</v>
      </c>
      <c r="M70" s="31">
        <f>1943</f>
        <v>1943</v>
      </c>
      <c r="N70" s="32" t="s">
        <v>787</v>
      </c>
      <c r="O70" s="31">
        <f>1867</f>
        <v>1867</v>
      </c>
      <c r="P70" s="32" t="s">
        <v>1017</v>
      </c>
      <c r="Q70" s="31">
        <f>1892</f>
        <v>1892</v>
      </c>
      <c r="R70" s="32" t="s">
        <v>791</v>
      </c>
      <c r="S70" s="33">
        <f>1906.75</f>
        <v>1906.75</v>
      </c>
      <c r="T70" s="30">
        <f>6079619</f>
        <v>6079619</v>
      </c>
      <c r="U70" s="30">
        <f>4079014</f>
        <v>4079014</v>
      </c>
      <c r="V70" s="30">
        <f>11554583830</f>
        <v>11554583830</v>
      </c>
      <c r="W70" s="30">
        <f>7752515232</f>
        <v>7752515232</v>
      </c>
      <c r="X70" s="34">
        <f>20</f>
        <v>20</v>
      </c>
    </row>
    <row r="71" spans="1:24" ht="13.5" customHeight="1" x14ac:dyDescent="0.15">
      <c r="A71" s="25" t="s">
        <v>1091</v>
      </c>
      <c r="B71" s="25" t="s">
        <v>243</v>
      </c>
      <c r="C71" s="25" t="s">
        <v>244</v>
      </c>
      <c r="D71" s="25" t="s">
        <v>245</v>
      </c>
      <c r="E71" s="26" t="s">
        <v>45</v>
      </c>
      <c r="F71" s="27" t="s">
        <v>45</v>
      </c>
      <c r="G71" s="28" t="s">
        <v>45</v>
      </c>
      <c r="H71" s="29"/>
      <c r="I71" s="29" t="s">
        <v>46</v>
      </c>
      <c r="J71" s="30">
        <v>1</v>
      </c>
      <c r="K71" s="31">
        <f>2159</f>
        <v>2159</v>
      </c>
      <c r="L71" s="32" t="s">
        <v>995</v>
      </c>
      <c r="M71" s="31">
        <f>2296</f>
        <v>2296</v>
      </c>
      <c r="N71" s="32" t="s">
        <v>894</v>
      </c>
      <c r="O71" s="31">
        <f>2131</f>
        <v>2131</v>
      </c>
      <c r="P71" s="32" t="s">
        <v>876</v>
      </c>
      <c r="Q71" s="31">
        <f>2215</f>
        <v>2215</v>
      </c>
      <c r="R71" s="32" t="s">
        <v>791</v>
      </c>
      <c r="S71" s="33">
        <f>2210.6</f>
        <v>2210.6</v>
      </c>
      <c r="T71" s="30">
        <f>2401</f>
        <v>2401</v>
      </c>
      <c r="U71" s="30" t="str">
        <f>"－"</f>
        <v>－</v>
      </c>
      <c r="V71" s="30">
        <f>5301560</f>
        <v>5301560</v>
      </c>
      <c r="W71" s="30" t="str">
        <f>"－"</f>
        <v>－</v>
      </c>
      <c r="X71" s="34">
        <f>20</f>
        <v>20</v>
      </c>
    </row>
    <row r="72" spans="1:24" ht="13.5" customHeight="1" x14ac:dyDescent="0.15">
      <c r="A72" s="25" t="s">
        <v>1091</v>
      </c>
      <c r="B72" s="25" t="s">
        <v>246</v>
      </c>
      <c r="C72" s="25" t="s">
        <v>247</v>
      </c>
      <c r="D72" s="25" t="s">
        <v>248</v>
      </c>
      <c r="E72" s="26" t="s">
        <v>45</v>
      </c>
      <c r="F72" s="27" t="s">
        <v>45</v>
      </c>
      <c r="G72" s="28" t="s">
        <v>45</v>
      </c>
      <c r="H72" s="29"/>
      <c r="I72" s="29" t="s">
        <v>46</v>
      </c>
      <c r="J72" s="30">
        <v>10</v>
      </c>
      <c r="K72" s="31">
        <f>2163</f>
        <v>2163</v>
      </c>
      <c r="L72" s="32" t="s">
        <v>995</v>
      </c>
      <c r="M72" s="31">
        <f>2292</f>
        <v>2292</v>
      </c>
      <c r="N72" s="32" t="s">
        <v>788</v>
      </c>
      <c r="O72" s="31">
        <f>2104.5</f>
        <v>2104.5</v>
      </c>
      <c r="P72" s="32" t="s">
        <v>1004</v>
      </c>
      <c r="Q72" s="31">
        <f>2197</f>
        <v>2197</v>
      </c>
      <c r="R72" s="32" t="s">
        <v>791</v>
      </c>
      <c r="S72" s="33">
        <f>2206.53</f>
        <v>2206.5300000000002</v>
      </c>
      <c r="T72" s="30">
        <f>194510</f>
        <v>194510</v>
      </c>
      <c r="U72" s="30" t="str">
        <f>"－"</f>
        <v>－</v>
      </c>
      <c r="V72" s="30">
        <f>435405175</f>
        <v>435405175</v>
      </c>
      <c r="W72" s="30" t="str">
        <f>"－"</f>
        <v>－</v>
      </c>
      <c r="X72" s="34">
        <f>20</f>
        <v>20</v>
      </c>
    </row>
    <row r="73" spans="1:24" ht="13.5" customHeight="1" x14ac:dyDescent="0.15">
      <c r="A73" s="25" t="s">
        <v>1091</v>
      </c>
      <c r="B73" s="25" t="s">
        <v>249</v>
      </c>
      <c r="C73" s="25" t="s">
        <v>250</v>
      </c>
      <c r="D73" s="25" t="s">
        <v>251</v>
      </c>
      <c r="E73" s="26" t="s">
        <v>45</v>
      </c>
      <c r="F73" s="27" t="s">
        <v>45</v>
      </c>
      <c r="G73" s="28" t="s">
        <v>45</v>
      </c>
      <c r="H73" s="29"/>
      <c r="I73" s="29" t="s">
        <v>46</v>
      </c>
      <c r="J73" s="30">
        <v>1</v>
      </c>
      <c r="K73" s="31">
        <f>32470</f>
        <v>32470</v>
      </c>
      <c r="L73" s="32" t="s">
        <v>1000</v>
      </c>
      <c r="M73" s="31">
        <f>34620</f>
        <v>34620</v>
      </c>
      <c r="N73" s="32" t="s">
        <v>791</v>
      </c>
      <c r="O73" s="31">
        <f>31770</f>
        <v>31770</v>
      </c>
      <c r="P73" s="32" t="s">
        <v>1000</v>
      </c>
      <c r="Q73" s="31">
        <f>33650</f>
        <v>33650</v>
      </c>
      <c r="R73" s="32" t="s">
        <v>791</v>
      </c>
      <c r="S73" s="33">
        <f>33298</f>
        <v>33298</v>
      </c>
      <c r="T73" s="30">
        <f>49</f>
        <v>49</v>
      </c>
      <c r="U73" s="30" t="str">
        <f>"－"</f>
        <v>－</v>
      </c>
      <c r="V73" s="30">
        <f>1663880</f>
        <v>1663880</v>
      </c>
      <c r="W73" s="30" t="str">
        <f>"－"</f>
        <v>－</v>
      </c>
      <c r="X73" s="34">
        <f>5</f>
        <v>5</v>
      </c>
    </row>
    <row r="74" spans="1:24" ht="13.5" customHeight="1" x14ac:dyDescent="0.15">
      <c r="A74" s="25" t="s">
        <v>1091</v>
      </c>
      <c r="B74" s="25" t="s">
        <v>252</v>
      </c>
      <c r="C74" s="25" t="s">
        <v>253</v>
      </c>
      <c r="D74" s="25" t="s">
        <v>254</v>
      </c>
      <c r="E74" s="26" t="s">
        <v>45</v>
      </c>
      <c r="F74" s="27" t="s">
        <v>45</v>
      </c>
      <c r="G74" s="28" t="s">
        <v>45</v>
      </c>
      <c r="H74" s="29"/>
      <c r="I74" s="29" t="s">
        <v>46</v>
      </c>
      <c r="J74" s="30">
        <v>1</v>
      </c>
      <c r="K74" s="31">
        <f>22375</f>
        <v>22375</v>
      </c>
      <c r="L74" s="32" t="s">
        <v>995</v>
      </c>
      <c r="M74" s="31">
        <f>22740</f>
        <v>22740</v>
      </c>
      <c r="N74" s="32" t="s">
        <v>1017</v>
      </c>
      <c r="O74" s="31">
        <f>22190</f>
        <v>22190</v>
      </c>
      <c r="P74" s="32" t="s">
        <v>794</v>
      </c>
      <c r="Q74" s="31">
        <f>22675</f>
        <v>22675</v>
      </c>
      <c r="R74" s="32" t="s">
        <v>791</v>
      </c>
      <c r="S74" s="33">
        <f>22487.5</f>
        <v>22487.5</v>
      </c>
      <c r="T74" s="30">
        <f>749217</f>
        <v>749217</v>
      </c>
      <c r="U74" s="30">
        <f>251803</f>
        <v>251803</v>
      </c>
      <c r="V74" s="30">
        <f>16862838813</f>
        <v>16862838813</v>
      </c>
      <c r="W74" s="30">
        <f>5679428863</f>
        <v>5679428863</v>
      </c>
      <c r="X74" s="34">
        <f>20</f>
        <v>20</v>
      </c>
    </row>
    <row r="75" spans="1:24" ht="13.5" customHeight="1" x14ac:dyDescent="0.15">
      <c r="A75" s="25" t="s">
        <v>1091</v>
      </c>
      <c r="B75" s="25" t="s">
        <v>256</v>
      </c>
      <c r="C75" s="25" t="s">
        <v>257</v>
      </c>
      <c r="D75" s="25" t="s">
        <v>258</v>
      </c>
      <c r="E75" s="26" t="s">
        <v>45</v>
      </c>
      <c r="F75" s="27" t="s">
        <v>45</v>
      </c>
      <c r="G75" s="28" t="s">
        <v>45</v>
      </c>
      <c r="H75" s="29"/>
      <c r="I75" s="29" t="s">
        <v>46</v>
      </c>
      <c r="J75" s="30">
        <v>1</v>
      </c>
      <c r="K75" s="31">
        <f>14845</f>
        <v>14845</v>
      </c>
      <c r="L75" s="32" t="s">
        <v>995</v>
      </c>
      <c r="M75" s="31">
        <f>14985</f>
        <v>14985</v>
      </c>
      <c r="N75" s="32" t="s">
        <v>787</v>
      </c>
      <c r="O75" s="31">
        <f>14405</f>
        <v>14405</v>
      </c>
      <c r="P75" s="32" t="s">
        <v>1017</v>
      </c>
      <c r="Q75" s="31">
        <f>14590</f>
        <v>14590</v>
      </c>
      <c r="R75" s="32" t="s">
        <v>791</v>
      </c>
      <c r="S75" s="33">
        <f>14713.75</f>
        <v>14713.75</v>
      </c>
      <c r="T75" s="30">
        <f>848657</f>
        <v>848657</v>
      </c>
      <c r="U75" s="30">
        <f>723952</f>
        <v>723952</v>
      </c>
      <c r="V75" s="30">
        <f>12453639642</f>
        <v>12453639642</v>
      </c>
      <c r="W75" s="30">
        <f>10635523317</f>
        <v>10635523317</v>
      </c>
      <c r="X75" s="34">
        <f>20</f>
        <v>20</v>
      </c>
    </row>
    <row r="76" spans="1:24" ht="13.5" customHeight="1" x14ac:dyDescent="0.15">
      <c r="A76" s="25" t="s">
        <v>1091</v>
      </c>
      <c r="B76" s="25" t="s">
        <v>259</v>
      </c>
      <c r="C76" s="25" t="s">
        <v>1057</v>
      </c>
      <c r="D76" s="25" t="s">
        <v>1058</v>
      </c>
      <c r="E76" s="26" t="s">
        <v>45</v>
      </c>
      <c r="F76" s="27" t="s">
        <v>45</v>
      </c>
      <c r="G76" s="28" t="s">
        <v>45</v>
      </c>
      <c r="H76" s="29"/>
      <c r="I76" s="29" t="s">
        <v>46</v>
      </c>
      <c r="J76" s="30">
        <v>10</v>
      </c>
      <c r="K76" s="31">
        <f>1932.5</f>
        <v>1932.5</v>
      </c>
      <c r="L76" s="32" t="s">
        <v>995</v>
      </c>
      <c r="M76" s="31">
        <f>1949.5</f>
        <v>1949.5</v>
      </c>
      <c r="N76" s="32" t="s">
        <v>1004</v>
      </c>
      <c r="O76" s="31">
        <f>1893.5</f>
        <v>1893.5</v>
      </c>
      <c r="P76" s="32" t="s">
        <v>789</v>
      </c>
      <c r="Q76" s="31">
        <f>1933.5</f>
        <v>1933.5</v>
      </c>
      <c r="R76" s="32" t="s">
        <v>791</v>
      </c>
      <c r="S76" s="33">
        <f>1925.63</f>
        <v>1925.63</v>
      </c>
      <c r="T76" s="30">
        <f>4273110</f>
        <v>4273110</v>
      </c>
      <c r="U76" s="30">
        <f>1545250</f>
        <v>1545250</v>
      </c>
      <c r="V76" s="30">
        <f>8194340752</f>
        <v>8194340752</v>
      </c>
      <c r="W76" s="30">
        <f>2953721777</f>
        <v>2953721777</v>
      </c>
      <c r="X76" s="34">
        <f>20</f>
        <v>20</v>
      </c>
    </row>
    <row r="77" spans="1:24" ht="13.5" customHeight="1" x14ac:dyDescent="0.15">
      <c r="A77" s="25" t="s">
        <v>1091</v>
      </c>
      <c r="B77" s="25" t="s">
        <v>262</v>
      </c>
      <c r="C77" s="25" t="s">
        <v>263</v>
      </c>
      <c r="D77" s="25" t="s">
        <v>264</v>
      </c>
      <c r="E77" s="26" t="s">
        <v>45</v>
      </c>
      <c r="F77" s="27" t="s">
        <v>45</v>
      </c>
      <c r="G77" s="28" t="s">
        <v>45</v>
      </c>
      <c r="H77" s="29"/>
      <c r="I77" s="29" t="s">
        <v>46</v>
      </c>
      <c r="J77" s="30">
        <v>1</v>
      </c>
      <c r="K77" s="31">
        <f>46120</f>
        <v>46120</v>
      </c>
      <c r="L77" s="32" t="s">
        <v>995</v>
      </c>
      <c r="M77" s="31">
        <f>47920</f>
        <v>47920</v>
      </c>
      <c r="N77" s="32" t="s">
        <v>894</v>
      </c>
      <c r="O77" s="31">
        <f>45870</f>
        <v>45870</v>
      </c>
      <c r="P77" s="32" t="s">
        <v>999</v>
      </c>
      <c r="Q77" s="31">
        <f>46860</f>
        <v>46860</v>
      </c>
      <c r="R77" s="32" t="s">
        <v>791</v>
      </c>
      <c r="S77" s="33">
        <f>47027</f>
        <v>47027</v>
      </c>
      <c r="T77" s="30">
        <f>369477</f>
        <v>369477</v>
      </c>
      <c r="U77" s="30">
        <f>28612</f>
        <v>28612</v>
      </c>
      <c r="V77" s="30">
        <f>17395242741</f>
        <v>17395242741</v>
      </c>
      <c r="W77" s="30">
        <f>1343691361</f>
        <v>1343691361</v>
      </c>
      <c r="X77" s="34">
        <f>20</f>
        <v>20</v>
      </c>
    </row>
    <row r="78" spans="1:24" ht="13.5" customHeight="1" x14ac:dyDescent="0.15">
      <c r="A78" s="25" t="s">
        <v>1091</v>
      </c>
      <c r="B78" s="25" t="s">
        <v>265</v>
      </c>
      <c r="C78" s="25" t="s">
        <v>266</v>
      </c>
      <c r="D78" s="25" t="s">
        <v>267</v>
      </c>
      <c r="E78" s="26" t="s">
        <v>45</v>
      </c>
      <c r="F78" s="27" t="s">
        <v>45</v>
      </c>
      <c r="G78" s="28" t="s">
        <v>45</v>
      </c>
      <c r="H78" s="29"/>
      <c r="I78" s="29" t="s">
        <v>46</v>
      </c>
      <c r="J78" s="30">
        <v>10</v>
      </c>
      <c r="K78" s="31">
        <f>7722</f>
        <v>7722</v>
      </c>
      <c r="L78" s="32" t="s">
        <v>1000</v>
      </c>
      <c r="M78" s="31">
        <f>7722</f>
        <v>7722</v>
      </c>
      <c r="N78" s="32" t="s">
        <v>1000</v>
      </c>
      <c r="O78" s="31">
        <f>7722</f>
        <v>7722</v>
      </c>
      <c r="P78" s="32" t="s">
        <v>1000</v>
      </c>
      <c r="Q78" s="31">
        <f>7722</f>
        <v>7722</v>
      </c>
      <c r="R78" s="32" t="s">
        <v>1000</v>
      </c>
      <c r="S78" s="33">
        <f>7722</f>
        <v>7722</v>
      </c>
      <c r="T78" s="30">
        <f>10</f>
        <v>10</v>
      </c>
      <c r="U78" s="30" t="str">
        <f>"－"</f>
        <v>－</v>
      </c>
      <c r="V78" s="30">
        <f>77220</f>
        <v>77220</v>
      </c>
      <c r="W78" s="30" t="str">
        <f>"－"</f>
        <v>－</v>
      </c>
      <c r="X78" s="34">
        <f>1</f>
        <v>1</v>
      </c>
    </row>
    <row r="79" spans="1:24" ht="13.5" customHeight="1" x14ac:dyDescent="0.15">
      <c r="A79" s="25" t="s">
        <v>1091</v>
      </c>
      <c r="B79" s="25" t="s">
        <v>268</v>
      </c>
      <c r="C79" s="25" t="s">
        <v>269</v>
      </c>
      <c r="D79" s="25" t="s">
        <v>270</v>
      </c>
      <c r="E79" s="26" t="s">
        <v>45</v>
      </c>
      <c r="F79" s="27" t="s">
        <v>45</v>
      </c>
      <c r="G79" s="28" t="s">
        <v>45</v>
      </c>
      <c r="H79" s="29"/>
      <c r="I79" s="29" t="s">
        <v>46</v>
      </c>
      <c r="J79" s="30">
        <v>1</v>
      </c>
      <c r="K79" s="31">
        <f>16200</f>
        <v>16200</v>
      </c>
      <c r="L79" s="32" t="s">
        <v>995</v>
      </c>
      <c r="M79" s="31">
        <f>17500</f>
        <v>17500</v>
      </c>
      <c r="N79" s="32" t="s">
        <v>894</v>
      </c>
      <c r="O79" s="31">
        <f>16160</f>
        <v>16160</v>
      </c>
      <c r="P79" s="32" t="s">
        <v>999</v>
      </c>
      <c r="Q79" s="31">
        <f>16375</f>
        <v>16375</v>
      </c>
      <c r="R79" s="32" t="s">
        <v>791</v>
      </c>
      <c r="S79" s="33">
        <f>16463.75</f>
        <v>16463.75</v>
      </c>
      <c r="T79" s="30">
        <f>1611</f>
        <v>1611</v>
      </c>
      <c r="U79" s="30">
        <f>614</f>
        <v>614</v>
      </c>
      <c r="V79" s="30">
        <f>26594580</f>
        <v>26594580</v>
      </c>
      <c r="W79" s="30">
        <f>10093300</f>
        <v>10093300</v>
      </c>
      <c r="X79" s="34">
        <f>20</f>
        <v>20</v>
      </c>
    </row>
    <row r="80" spans="1:24" ht="13.5" customHeight="1" x14ac:dyDescent="0.15">
      <c r="A80" s="25" t="s">
        <v>1091</v>
      </c>
      <c r="B80" s="25" t="s">
        <v>271</v>
      </c>
      <c r="C80" s="25" t="s">
        <v>272</v>
      </c>
      <c r="D80" s="25" t="s">
        <v>273</v>
      </c>
      <c r="E80" s="26" t="s">
        <v>45</v>
      </c>
      <c r="F80" s="27" t="s">
        <v>45</v>
      </c>
      <c r="G80" s="28" t="s">
        <v>45</v>
      </c>
      <c r="H80" s="29"/>
      <c r="I80" s="29" t="s">
        <v>46</v>
      </c>
      <c r="J80" s="30">
        <v>1</v>
      </c>
      <c r="K80" s="31">
        <f>16200</f>
        <v>16200</v>
      </c>
      <c r="L80" s="32" t="s">
        <v>995</v>
      </c>
      <c r="M80" s="31">
        <f>16640</f>
        <v>16640</v>
      </c>
      <c r="N80" s="32" t="s">
        <v>894</v>
      </c>
      <c r="O80" s="31">
        <f>16025</f>
        <v>16025</v>
      </c>
      <c r="P80" s="32" t="s">
        <v>791</v>
      </c>
      <c r="Q80" s="31">
        <f>16030</f>
        <v>16030</v>
      </c>
      <c r="R80" s="32" t="s">
        <v>791</v>
      </c>
      <c r="S80" s="33">
        <f>16314.5</f>
        <v>16314.5</v>
      </c>
      <c r="T80" s="30">
        <f>1960</f>
        <v>1960</v>
      </c>
      <c r="U80" s="30" t="str">
        <f>"－"</f>
        <v>－</v>
      </c>
      <c r="V80" s="30">
        <f>32129695</f>
        <v>32129695</v>
      </c>
      <c r="W80" s="30" t="str">
        <f>"－"</f>
        <v>－</v>
      </c>
      <c r="X80" s="34">
        <f>20</f>
        <v>20</v>
      </c>
    </row>
    <row r="81" spans="1:24" ht="13.5" customHeight="1" x14ac:dyDescent="0.15">
      <c r="A81" s="25" t="s">
        <v>1091</v>
      </c>
      <c r="B81" s="25" t="s">
        <v>274</v>
      </c>
      <c r="C81" s="25" t="s">
        <v>275</v>
      </c>
      <c r="D81" s="25" t="s">
        <v>276</v>
      </c>
      <c r="E81" s="26" t="s">
        <v>45</v>
      </c>
      <c r="F81" s="27" t="s">
        <v>45</v>
      </c>
      <c r="G81" s="28" t="s">
        <v>45</v>
      </c>
      <c r="H81" s="29"/>
      <c r="I81" s="29" t="s">
        <v>46</v>
      </c>
      <c r="J81" s="30">
        <v>1</v>
      </c>
      <c r="K81" s="31">
        <f>22435</f>
        <v>22435</v>
      </c>
      <c r="L81" s="32" t="s">
        <v>995</v>
      </c>
      <c r="M81" s="31">
        <f>23705</f>
        <v>23705</v>
      </c>
      <c r="N81" s="32" t="s">
        <v>788</v>
      </c>
      <c r="O81" s="31">
        <f>22320</f>
        <v>22320</v>
      </c>
      <c r="P81" s="32" t="s">
        <v>999</v>
      </c>
      <c r="Q81" s="31">
        <f>22735</f>
        <v>22735</v>
      </c>
      <c r="R81" s="32" t="s">
        <v>791</v>
      </c>
      <c r="S81" s="33">
        <f>22977.75</f>
        <v>22977.75</v>
      </c>
      <c r="T81" s="30">
        <f>10600</f>
        <v>10600</v>
      </c>
      <c r="U81" s="30">
        <f>5706</f>
        <v>5706</v>
      </c>
      <c r="V81" s="30">
        <f>242931960</f>
        <v>242931960</v>
      </c>
      <c r="W81" s="30">
        <f>130349895</f>
        <v>130349895</v>
      </c>
      <c r="X81" s="34">
        <f>20</f>
        <v>20</v>
      </c>
    </row>
    <row r="82" spans="1:24" ht="13.5" customHeight="1" x14ac:dyDescent="0.15">
      <c r="A82" s="25" t="s">
        <v>1091</v>
      </c>
      <c r="B82" s="25" t="s">
        <v>277</v>
      </c>
      <c r="C82" s="25" t="s">
        <v>278</v>
      </c>
      <c r="D82" s="25" t="s">
        <v>279</v>
      </c>
      <c r="E82" s="26" t="s">
        <v>45</v>
      </c>
      <c r="F82" s="27" t="s">
        <v>45</v>
      </c>
      <c r="G82" s="28" t="s">
        <v>45</v>
      </c>
      <c r="H82" s="29"/>
      <c r="I82" s="29" t="s">
        <v>46</v>
      </c>
      <c r="J82" s="30">
        <v>10</v>
      </c>
      <c r="K82" s="31">
        <f>10735</f>
        <v>10735</v>
      </c>
      <c r="L82" s="32" t="s">
        <v>995</v>
      </c>
      <c r="M82" s="31">
        <f>10760</f>
        <v>10760</v>
      </c>
      <c r="N82" s="32" t="s">
        <v>1004</v>
      </c>
      <c r="O82" s="31">
        <f>10420</f>
        <v>10420</v>
      </c>
      <c r="P82" s="32" t="s">
        <v>791</v>
      </c>
      <c r="Q82" s="31">
        <f>10420</f>
        <v>10420</v>
      </c>
      <c r="R82" s="32" t="s">
        <v>791</v>
      </c>
      <c r="S82" s="33">
        <f>10596.75</f>
        <v>10596.75</v>
      </c>
      <c r="T82" s="30">
        <f>5180</f>
        <v>5180</v>
      </c>
      <c r="U82" s="30">
        <f>10</f>
        <v>10</v>
      </c>
      <c r="V82" s="30">
        <f>54799200</f>
        <v>54799200</v>
      </c>
      <c r="W82" s="30">
        <f>106700</f>
        <v>106700</v>
      </c>
      <c r="X82" s="34">
        <f>20</f>
        <v>20</v>
      </c>
    </row>
    <row r="83" spans="1:24" ht="13.5" customHeight="1" x14ac:dyDescent="0.15">
      <c r="A83" s="25" t="s">
        <v>1091</v>
      </c>
      <c r="B83" s="25" t="s">
        <v>280</v>
      </c>
      <c r="C83" s="25" t="s">
        <v>281</v>
      </c>
      <c r="D83" s="25" t="s">
        <v>282</v>
      </c>
      <c r="E83" s="26" t="s">
        <v>45</v>
      </c>
      <c r="F83" s="27" t="s">
        <v>45</v>
      </c>
      <c r="G83" s="28" t="s">
        <v>45</v>
      </c>
      <c r="H83" s="29"/>
      <c r="I83" s="29" t="s">
        <v>46</v>
      </c>
      <c r="J83" s="30">
        <v>1</v>
      </c>
      <c r="K83" s="31">
        <f>1998</f>
        <v>1998</v>
      </c>
      <c r="L83" s="32" t="s">
        <v>995</v>
      </c>
      <c r="M83" s="31">
        <f>2000</f>
        <v>2000</v>
      </c>
      <c r="N83" s="32" t="s">
        <v>995</v>
      </c>
      <c r="O83" s="31">
        <f>1923</f>
        <v>1923</v>
      </c>
      <c r="P83" s="32" t="s">
        <v>786</v>
      </c>
      <c r="Q83" s="31">
        <f>1951</f>
        <v>1951</v>
      </c>
      <c r="R83" s="32" t="s">
        <v>791</v>
      </c>
      <c r="S83" s="33">
        <f>1957.4</f>
        <v>1957.4</v>
      </c>
      <c r="T83" s="30">
        <f>401870</f>
        <v>401870</v>
      </c>
      <c r="U83" s="30">
        <f>156300</f>
        <v>156300</v>
      </c>
      <c r="V83" s="30">
        <f>783721430</f>
        <v>783721430</v>
      </c>
      <c r="W83" s="30">
        <f>303622140</f>
        <v>303622140</v>
      </c>
      <c r="X83" s="34">
        <f>20</f>
        <v>20</v>
      </c>
    </row>
    <row r="84" spans="1:24" ht="13.5" customHeight="1" x14ac:dyDescent="0.15">
      <c r="A84" s="25" t="s">
        <v>1091</v>
      </c>
      <c r="B84" s="25" t="s">
        <v>283</v>
      </c>
      <c r="C84" s="25" t="s">
        <v>284</v>
      </c>
      <c r="D84" s="25" t="s">
        <v>285</v>
      </c>
      <c r="E84" s="26" t="s">
        <v>45</v>
      </c>
      <c r="F84" s="27" t="s">
        <v>45</v>
      </c>
      <c r="G84" s="28" t="s">
        <v>45</v>
      </c>
      <c r="H84" s="29"/>
      <c r="I84" s="29" t="s">
        <v>46</v>
      </c>
      <c r="J84" s="30">
        <v>1</v>
      </c>
      <c r="K84" s="31">
        <f>1925</f>
        <v>1925</v>
      </c>
      <c r="L84" s="32" t="s">
        <v>995</v>
      </c>
      <c r="M84" s="31">
        <f>1929</f>
        <v>1929</v>
      </c>
      <c r="N84" s="32" t="s">
        <v>995</v>
      </c>
      <c r="O84" s="31">
        <f>1880</f>
        <v>1880</v>
      </c>
      <c r="P84" s="32" t="s">
        <v>786</v>
      </c>
      <c r="Q84" s="31">
        <f>1901</f>
        <v>1901</v>
      </c>
      <c r="R84" s="32" t="s">
        <v>791</v>
      </c>
      <c r="S84" s="33">
        <f>1906.35</f>
        <v>1906.35</v>
      </c>
      <c r="T84" s="30">
        <f>604188</f>
        <v>604188</v>
      </c>
      <c r="U84" s="30">
        <f>5001</f>
        <v>5001</v>
      </c>
      <c r="V84" s="30">
        <f>1149232435</f>
        <v>1149232435</v>
      </c>
      <c r="W84" s="30">
        <f>9575285</f>
        <v>9575285</v>
      </c>
      <c r="X84" s="34">
        <f>20</f>
        <v>20</v>
      </c>
    </row>
    <row r="85" spans="1:24" ht="13.5" customHeight="1" x14ac:dyDescent="0.15">
      <c r="A85" s="25" t="s">
        <v>1091</v>
      </c>
      <c r="B85" s="25" t="s">
        <v>286</v>
      </c>
      <c r="C85" s="25" t="s">
        <v>287</v>
      </c>
      <c r="D85" s="25" t="s">
        <v>288</v>
      </c>
      <c r="E85" s="26" t="s">
        <v>45</v>
      </c>
      <c r="F85" s="27" t="s">
        <v>45</v>
      </c>
      <c r="G85" s="28" t="s">
        <v>45</v>
      </c>
      <c r="H85" s="29"/>
      <c r="I85" s="29" t="s">
        <v>46</v>
      </c>
      <c r="J85" s="30">
        <v>1</v>
      </c>
      <c r="K85" s="31">
        <f>15880</f>
        <v>15880</v>
      </c>
      <c r="L85" s="32" t="s">
        <v>995</v>
      </c>
      <c r="M85" s="31">
        <f>16870</f>
        <v>16870</v>
      </c>
      <c r="N85" s="32" t="s">
        <v>894</v>
      </c>
      <c r="O85" s="31">
        <f>15880</f>
        <v>15880</v>
      </c>
      <c r="P85" s="32" t="s">
        <v>995</v>
      </c>
      <c r="Q85" s="31">
        <f>16445</f>
        <v>16445</v>
      </c>
      <c r="R85" s="32" t="s">
        <v>791</v>
      </c>
      <c r="S85" s="33">
        <f>16381.25</f>
        <v>16381.25</v>
      </c>
      <c r="T85" s="30">
        <f>12685</f>
        <v>12685</v>
      </c>
      <c r="U85" s="30">
        <f>7000</f>
        <v>7000</v>
      </c>
      <c r="V85" s="30">
        <f>209052395</f>
        <v>209052395</v>
      </c>
      <c r="W85" s="30">
        <f>116456200</f>
        <v>116456200</v>
      </c>
      <c r="X85" s="34">
        <f>20</f>
        <v>20</v>
      </c>
    </row>
    <row r="86" spans="1:24" ht="13.5" customHeight="1" x14ac:dyDescent="0.15">
      <c r="A86" s="25" t="s">
        <v>1091</v>
      </c>
      <c r="B86" s="25" t="s">
        <v>289</v>
      </c>
      <c r="C86" s="25" t="s">
        <v>290</v>
      </c>
      <c r="D86" s="25" t="s">
        <v>291</v>
      </c>
      <c r="E86" s="26" t="s">
        <v>45</v>
      </c>
      <c r="F86" s="27" t="s">
        <v>45</v>
      </c>
      <c r="G86" s="28" t="s">
        <v>45</v>
      </c>
      <c r="H86" s="29"/>
      <c r="I86" s="29" t="s">
        <v>46</v>
      </c>
      <c r="J86" s="30">
        <v>1</v>
      </c>
      <c r="K86" s="31">
        <f>8698</f>
        <v>8698</v>
      </c>
      <c r="L86" s="32" t="s">
        <v>995</v>
      </c>
      <c r="M86" s="31">
        <f>8870</f>
        <v>8870</v>
      </c>
      <c r="N86" s="32" t="s">
        <v>793</v>
      </c>
      <c r="O86" s="31">
        <f>8670</f>
        <v>8670</v>
      </c>
      <c r="P86" s="32" t="s">
        <v>1001</v>
      </c>
      <c r="Q86" s="31">
        <f>8798</f>
        <v>8798</v>
      </c>
      <c r="R86" s="32" t="s">
        <v>791</v>
      </c>
      <c r="S86" s="33">
        <f>8752.9</f>
        <v>8752.9</v>
      </c>
      <c r="T86" s="30">
        <f>2318</f>
        <v>2318</v>
      </c>
      <c r="U86" s="30" t="str">
        <f>"－"</f>
        <v>－</v>
      </c>
      <c r="V86" s="30">
        <f>20305656</f>
        <v>20305656</v>
      </c>
      <c r="W86" s="30" t="str">
        <f>"－"</f>
        <v>－</v>
      </c>
      <c r="X86" s="34">
        <f>20</f>
        <v>20</v>
      </c>
    </row>
    <row r="87" spans="1:24" ht="13.5" customHeight="1" x14ac:dyDescent="0.15">
      <c r="A87" s="25" t="s">
        <v>1091</v>
      </c>
      <c r="B87" s="25" t="s">
        <v>292</v>
      </c>
      <c r="C87" s="25" t="s">
        <v>293</v>
      </c>
      <c r="D87" s="25" t="s">
        <v>294</v>
      </c>
      <c r="E87" s="26" t="s">
        <v>45</v>
      </c>
      <c r="F87" s="27" t="s">
        <v>45</v>
      </c>
      <c r="G87" s="28" t="s">
        <v>45</v>
      </c>
      <c r="H87" s="29"/>
      <c r="I87" s="29" t="s">
        <v>46</v>
      </c>
      <c r="J87" s="30">
        <v>1</v>
      </c>
      <c r="K87" s="31">
        <f>8257</f>
        <v>8257</v>
      </c>
      <c r="L87" s="32" t="s">
        <v>995</v>
      </c>
      <c r="M87" s="31">
        <f>8425</f>
        <v>8425</v>
      </c>
      <c r="N87" s="32" t="s">
        <v>875</v>
      </c>
      <c r="O87" s="31">
        <f>8240</f>
        <v>8240</v>
      </c>
      <c r="P87" s="32" t="s">
        <v>995</v>
      </c>
      <c r="Q87" s="31">
        <f>8356</f>
        <v>8356</v>
      </c>
      <c r="R87" s="32" t="s">
        <v>791</v>
      </c>
      <c r="S87" s="33">
        <f>8330.35</f>
        <v>8330.35</v>
      </c>
      <c r="T87" s="30">
        <f>2114238</f>
        <v>2114238</v>
      </c>
      <c r="U87" s="30">
        <f>119407</f>
        <v>119407</v>
      </c>
      <c r="V87" s="30">
        <f>17607566890</f>
        <v>17607566890</v>
      </c>
      <c r="W87" s="30">
        <f>993122195</f>
        <v>993122195</v>
      </c>
      <c r="X87" s="34">
        <f>20</f>
        <v>20</v>
      </c>
    </row>
    <row r="88" spans="1:24" ht="13.5" customHeight="1" x14ac:dyDescent="0.15">
      <c r="A88" s="25" t="s">
        <v>1091</v>
      </c>
      <c r="B88" s="25" t="s">
        <v>295</v>
      </c>
      <c r="C88" s="25" t="s">
        <v>296</v>
      </c>
      <c r="D88" s="25" t="s">
        <v>297</v>
      </c>
      <c r="E88" s="26" t="s">
        <v>45</v>
      </c>
      <c r="F88" s="27" t="s">
        <v>45</v>
      </c>
      <c r="G88" s="28" t="s">
        <v>45</v>
      </c>
      <c r="H88" s="29"/>
      <c r="I88" s="29" t="s">
        <v>46</v>
      </c>
      <c r="J88" s="30">
        <v>1</v>
      </c>
      <c r="K88" s="31">
        <f>4250</f>
        <v>4250</v>
      </c>
      <c r="L88" s="32" t="s">
        <v>995</v>
      </c>
      <c r="M88" s="31">
        <f>4405</f>
        <v>4405</v>
      </c>
      <c r="N88" s="32" t="s">
        <v>794</v>
      </c>
      <c r="O88" s="31">
        <f>4200</f>
        <v>4200</v>
      </c>
      <c r="P88" s="32" t="s">
        <v>1000</v>
      </c>
      <c r="Q88" s="31">
        <f>4245</f>
        <v>4245</v>
      </c>
      <c r="R88" s="32" t="s">
        <v>791</v>
      </c>
      <c r="S88" s="33">
        <f>4299.75</f>
        <v>4299.75</v>
      </c>
      <c r="T88" s="30">
        <f>411051</f>
        <v>411051</v>
      </c>
      <c r="U88" s="30" t="str">
        <f>"－"</f>
        <v>－</v>
      </c>
      <c r="V88" s="30">
        <f>1766281830</f>
        <v>1766281830</v>
      </c>
      <c r="W88" s="30" t="str">
        <f>"－"</f>
        <v>－</v>
      </c>
      <c r="X88" s="34">
        <f>20</f>
        <v>20</v>
      </c>
    </row>
    <row r="89" spans="1:24" ht="13.5" customHeight="1" x14ac:dyDescent="0.15">
      <c r="A89" s="25" t="s">
        <v>1091</v>
      </c>
      <c r="B89" s="25" t="s">
        <v>298</v>
      </c>
      <c r="C89" s="25" t="s">
        <v>299</v>
      </c>
      <c r="D89" s="25" t="s">
        <v>300</v>
      </c>
      <c r="E89" s="26" t="s">
        <v>45</v>
      </c>
      <c r="F89" s="27" t="s">
        <v>45</v>
      </c>
      <c r="G89" s="28" t="s">
        <v>45</v>
      </c>
      <c r="H89" s="29"/>
      <c r="I89" s="29" t="s">
        <v>46</v>
      </c>
      <c r="J89" s="30">
        <v>1</v>
      </c>
      <c r="K89" s="31">
        <f>9892</f>
        <v>9892</v>
      </c>
      <c r="L89" s="32" t="s">
        <v>995</v>
      </c>
      <c r="M89" s="31">
        <f>10215</f>
        <v>10215</v>
      </c>
      <c r="N89" s="32" t="s">
        <v>875</v>
      </c>
      <c r="O89" s="31">
        <f>9300</f>
        <v>9300</v>
      </c>
      <c r="P89" s="32" t="s">
        <v>786</v>
      </c>
      <c r="Q89" s="31">
        <f>9425</f>
        <v>9425</v>
      </c>
      <c r="R89" s="32" t="s">
        <v>791</v>
      </c>
      <c r="S89" s="33">
        <f>9691.35</f>
        <v>9691.35</v>
      </c>
      <c r="T89" s="30">
        <f>147498</f>
        <v>147498</v>
      </c>
      <c r="U89" s="30" t="str">
        <f>"－"</f>
        <v>－</v>
      </c>
      <c r="V89" s="30">
        <f>1429868241</f>
        <v>1429868241</v>
      </c>
      <c r="W89" s="30" t="str">
        <f>"－"</f>
        <v>－</v>
      </c>
      <c r="X89" s="34">
        <f>20</f>
        <v>20</v>
      </c>
    </row>
    <row r="90" spans="1:24" ht="13.5" customHeight="1" x14ac:dyDescent="0.15">
      <c r="A90" s="25" t="s">
        <v>1091</v>
      </c>
      <c r="B90" s="25" t="s">
        <v>301</v>
      </c>
      <c r="C90" s="25" t="s">
        <v>302</v>
      </c>
      <c r="D90" s="25" t="s">
        <v>303</v>
      </c>
      <c r="E90" s="26" t="s">
        <v>45</v>
      </c>
      <c r="F90" s="27" t="s">
        <v>45</v>
      </c>
      <c r="G90" s="28" t="s">
        <v>45</v>
      </c>
      <c r="H90" s="29"/>
      <c r="I90" s="29" t="s">
        <v>46</v>
      </c>
      <c r="J90" s="30">
        <v>1</v>
      </c>
      <c r="K90" s="31">
        <f>59920</f>
        <v>59920</v>
      </c>
      <c r="L90" s="32" t="s">
        <v>995</v>
      </c>
      <c r="M90" s="31">
        <f>63200</f>
        <v>63200</v>
      </c>
      <c r="N90" s="32" t="s">
        <v>794</v>
      </c>
      <c r="O90" s="31">
        <f>58500</f>
        <v>58500</v>
      </c>
      <c r="P90" s="32" t="s">
        <v>789</v>
      </c>
      <c r="Q90" s="31">
        <f>59140</f>
        <v>59140</v>
      </c>
      <c r="R90" s="32" t="s">
        <v>791</v>
      </c>
      <c r="S90" s="33">
        <f>60209</f>
        <v>60209</v>
      </c>
      <c r="T90" s="30">
        <f>5562</f>
        <v>5562</v>
      </c>
      <c r="U90" s="30">
        <f>1</f>
        <v>1</v>
      </c>
      <c r="V90" s="30">
        <f>336826570</f>
        <v>336826570</v>
      </c>
      <c r="W90" s="30">
        <f>59140</f>
        <v>59140</v>
      </c>
      <c r="X90" s="34">
        <f>20</f>
        <v>20</v>
      </c>
    </row>
    <row r="91" spans="1:24" ht="13.5" customHeight="1" x14ac:dyDescent="0.15">
      <c r="A91" s="25" t="s">
        <v>1091</v>
      </c>
      <c r="B91" s="25" t="s">
        <v>304</v>
      </c>
      <c r="C91" s="25" t="s">
        <v>895</v>
      </c>
      <c r="D91" s="25" t="s">
        <v>896</v>
      </c>
      <c r="E91" s="26" t="s">
        <v>45</v>
      </c>
      <c r="F91" s="27" t="s">
        <v>45</v>
      </c>
      <c r="G91" s="28" t="s">
        <v>45</v>
      </c>
      <c r="H91" s="29"/>
      <c r="I91" s="29" t="s">
        <v>46</v>
      </c>
      <c r="J91" s="30">
        <v>1</v>
      </c>
      <c r="K91" s="31">
        <f>18335</f>
        <v>18335</v>
      </c>
      <c r="L91" s="32" t="s">
        <v>995</v>
      </c>
      <c r="M91" s="31">
        <f>20620</f>
        <v>20620</v>
      </c>
      <c r="N91" s="32" t="s">
        <v>1017</v>
      </c>
      <c r="O91" s="31">
        <f>18120</f>
        <v>18120</v>
      </c>
      <c r="P91" s="32" t="s">
        <v>875</v>
      </c>
      <c r="Q91" s="31">
        <f>20290</f>
        <v>20290</v>
      </c>
      <c r="R91" s="32" t="s">
        <v>791</v>
      </c>
      <c r="S91" s="33">
        <f>19041.25</f>
        <v>19041.25</v>
      </c>
      <c r="T91" s="30">
        <f>2096987</f>
        <v>2096987</v>
      </c>
      <c r="U91" s="30">
        <f>56300</f>
        <v>56300</v>
      </c>
      <c r="V91" s="30">
        <f>39895052390</f>
        <v>39895052390</v>
      </c>
      <c r="W91" s="30">
        <f>1052563150</f>
        <v>1052563150</v>
      </c>
      <c r="X91" s="34">
        <f>20</f>
        <v>20</v>
      </c>
    </row>
    <row r="92" spans="1:24" ht="13.5" customHeight="1" x14ac:dyDescent="0.15">
      <c r="A92" s="25" t="s">
        <v>1091</v>
      </c>
      <c r="B92" s="25" t="s">
        <v>305</v>
      </c>
      <c r="C92" s="25" t="s">
        <v>897</v>
      </c>
      <c r="D92" s="25" t="s">
        <v>898</v>
      </c>
      <c r="E92" s="26" t="s">
        <v>45</v>
      </c>
      <c r="F92" s="27" t="s">
        <v>45</v>
      </c>
      <c r="G92" s="28" t="s">
        <v>45</v>
      </c>
      <c r="H92" s="29"/>
      <c r="I92" s="29" t="s">
        <v>46</v>
      </c>
      <c r="J92" s="30">
        <v>1</v>
      </c>
      <c r="K92" s="31">
        <f>45490</f>
        <v>45490</v>
      </c>
      <c r="L92" s="32" t="s">
        <v>995</v>
      </c>
      <c r="M92" s="31">
        <f>45970</f>
        <v>45970</v>
      </c>
      <c r="N92" s="32" t="s">
        <v>999</v>
      </c>
      <c r="O92" s="31">
        <f>43950</f>
        <v>43950</v>
      </c>
      <c r="P92" s="32" t="s">
        <v>787</v>
      </c>
      <c r="Q92" s="31">
        <f>45130</f>
        <v>45130</v>
      </c>
      <c r="R92" s="32" t="s">
        <v>791</v>
      </c>
      <c r="S92" s="33">
        <f>44962.5</f>
        <v>44962.5</v>
      </c>
      <c r="T92" s="30">
        <f>115338</f>
        <v>115338</v>
      </c>
      <c r="U92" s="30">
        <f>12001</f>
        <v>12001</v>
      </c>
      <c r="V92" s="30">
        <f>5187642160</f>
        <v>5187642160</v>
      </c>
      <c r="W92" s="30">
        <f>537480040</f>
        <v>537480040</v>
      </c>
      <c r="X92" s="34">
        <f>20</f>
        <v>20</v>
      </c>
    </row>
    <row r="93" spans="1:24" ht="13.5" customHeight="1" x14ac:dyDescent="0.15">
      <c r="A93" s="25" t="s">
        <v>1091</v>
      </c>
      <c r="B93" s="25" t="s">
        <v>306</v>
      </c>
      <c r="C93" s="25" t="s">
        <v>307</v>
      </c>
      <c r="D93" s="25" t="s">
        <v>308</v>
      </c>
      <c r="E93" s="26" t="s">
        <v>45</v>
      </c>
      <c r="F93" s="27" t="s">
        <v>45</v>
      </c>
      <c r="G93" s="28" t="s">
        <v>45</v>
      </c>
      <c r="H93" s="29"/>
      <c r="I93" s="29" t="s">
        <v>46</v>
      </c>
      <c r="J93" s="30">
        <v>10</v>
      </c>
      <c r="K93" s="31">
        <f>6173</f>
        <v>6173</v>
      </c>
      <c r="L93" s="32" t="s">
        <v>995</v>
      </c>
      <c r="M93" s="31">
        <f>6483</f>
        <v>6483</v>
      </c>
      <c r="N93" s="32" t="s">
        <v>1017</v>
      </c>
      <c r="O93" s="31">
        <f>6041</f>
        <v>6041</v>
      </c>
      <c r="P93" s="32" t="s">
        <v>794</v>
      </c>
      <c r="Q93" s="31">
        <f>6367</f>
        <v>6367</v>
      </c>
      <c r="R93" s="32" t="s">
        <v>791</v>
      </c>
      <c r="S93" s="33">
        <f>6222.6</f>
        <v>6222.6</v>
      </c>
      <c r="T93" s="30">
        <f>2171560</f>
        <v>2171560</v>
      </c>
      <c r="U93" s="30">
        <f>651130</f>
        <v>651130</v>
      </c>
      <c r="V93" s="30">
        <f>13587192218</f>
        <v>13587192218</v>
      </c>
      <c r="W93" s="30">
        <f>4096491498</f>
        <v>4096491498</v>
      </c>
      <c r="X93" s="34">
        <f>20</f>
        <v>20</v>
      </c>
    </row>
    <row r="94" spans="1:24" ht="13.5" customHeight="1" x14ac:dyDescent="0.15">
      <c r="A94" s="25" t="s">
        <v>1091</v>
      </c>
      <c r="B94" s="25" t="s">
        <v>309</v>
      </c>
      <c r="C94" s="25" t="s">
        <v>310</v>
      </c>
      <c r="D94" s="25" t="s">
        <v>311</v>
      </c>
      <c r="E94" s="26" t="s">
        <v>45</v>
      </c>
      <c r="F94" s="27" t="s">
        <v>45</v>
      </c>
      <c r="G94" s="28" t="s">
        <v>45</v>
      </c>
      <c r="H94" s="29"/>
      <c r="I94" s="29" t="s">
        <v>46</v>
      </c>
      <c r="J94" s="30">
        <v>10</v>
      </c>
      <c r="K94" s="31">
        <f>4001</f>
        <v>4001</v>
      </c>
      <c r="L94" s="32" t="s">
        <v>995</v>
      </c>
      <c r="M94" s="31">
        <f>4150</f>
        <v>4150</v>
      </c>
      <c r="N94" s="32" t="s">
        <v>1017</v>
      </c>
      <c r="O94" s="31">
        <f>3930</f>
        <v>3930</v>
      </c>
      <c r="P94" s="32" t="s">
        <v>787</v>
      </c>
      <c r="Q94" s="31">
        <f>4066</f>
        <v>4066</v>
      </c>
      <c r="R94" s="32" t="s">
        <v>791</v>
      </c>
      <c r="S94" s="33">
        <f>4022.75</f>
        <v>4022.75</v>
      </c>
      <c r="T94" s="30">
        <f>121230</f>
        <v>121230</v>
      </c>
      <c r="U94" s="30">
        <f>60</f>
        <v>60</v>
      </c>
      <c r="V94" s="30">
        <f>489377210</f>
        <v>489377210</v>
      </c>
      <c r="W94" s="30">
        <f>241330</f>
        <v>241330</v>
      </c>
      <c r="X94" s="34">
        <f>20</f>
        <v>20</v>
      </c>
    </row>
    <row r="95" spans="1:24" ht="13.5" customHeight="1" x14ac:dyDescent="0.15">
      <c r="A95" s="25" t="s">
        <v>1091</v>
      </c>
      <c r="B95" s="25" t="s">
        <v>312</v>
      </c>
      <c r="C95" s="25" t="s">
        <v>970</v>
      </c>
      <c r="D95" s="25" t="s">
        <v>971</v>
      </c>
      <c r="E95" s="26" t="s">
        <v>45</v>
      </c>
      <c r="F95" s="27" t="s">
        <v>45</v>
      </c>
      <c r="G95" s="28" t="s">
        <v>45</v>
      </c>
      <c r="H95" s="29"/>
      <c r="I95" s="29" t="s">
        <v>46</v>
      </c>
      <c r="J95" s="30">
        <v>10</v>
      </c>
      <c r="K95" s="31">
        <f>4400</f>
        <v>4400</v>
      </c>
      <c r="L95" s="32" t="s">
        <v>995</v>
      </c>
      <c r="M95" s="31">
        <f>4532</f>
        <v>4532</v>
      </c>
      <c r="N95" s="32" t="s">
        <v>894</v>
      </c>
      <c r="O95" s="31">
        <f>4274</f>
        <v>4274</v>
      </c>
      <c r="P95" s="32" t="s">
        <v>1000</v>
      </c>
      <c r="Q95" s="31">
        <f>4445</f>
        <v>4445</v>
      </c>
      <c r="R95" s="32" t="s">
        <v>791</v>
      </c>
      <c r="S95" s="33">
        <f>4434.8</f>
        <v>4434.8</v>
      </c>
      <c r="T95" s="30">
        <f>4670</f>
        <v>4670</v>
      </c>
      <c r="U95" s="30" t="str">
        <f>"－"</f>
        <v>－</v>
      </c>
      <c r="V95" s="30">
        <f>20760280</f>
        <v>20760280</v>
      </c>
      <c r="W95" s="30" t="str">
        <f>"－"</f>
        <v>－</v>
      </c>
      <c r="X95" s="34">
        <f>20</f>
        <v>20</v>
      </c>
    </row>
    <row r="96" spans="1:24" ht="13.5" customHeight="1" x14ac:dyDescent="0.15">
      <c r="A96" s="25" t="s">
        <v>1091</v>
      </c>
      <c r="B96" s="25" t="s">
        <v>313</v>
      </c>
      <c r="C96" s="25" t="s">
        <v>314</v>
      </c>
      <c r="D96" s="25" t="s">
        <v>315</v>
      </c>
      <c r="E96" s="26" t="s">
        <v>45</v>
      </c>
      <c r="F96" s="27" t="s">
        <v>45</v>
      </c>
      <c r="G96" s="28" t="s">
        <v>45</v>
      </c>
      <c r="H96" s="29" t="s">
        <v>316</v>
      </c>
      <c r="I96" s="29" t="s">
        <v>46</v>
      </c>
      <c r="J96" s="30">
        <v>1</v>
      </c>
      <c r="K96" s="31">
        <f>1030</f>
        <v>1030</v>
      </c>
      <c r="L96" s="32" t="s">
        <v>995</v>
      </c>
      <c r="M96" s="31">
        <f>1051</f>
        <v>1051</v>
      </c>
      <c r="N96" s="32" t="s">
        <v>1000</v>
      </c>
      <c r="O96" s="31">
        <f>952</f>
        <v>952</v>
      </c>
      <c r="P96" s="32" t="s">
        <v>790</v>
      </c>
      <c r="Q96" s="31">
        <f>971</f>
        <v>971</v>
      </c>
      <c r="R96" s="32" t="s">
        <v>791</v>
      </c>
      <c r="S96" s="33">
        <f>1004.65</f>
        <v>1004.65</v>
      </c>
      <c r="T96" s="30">
        <f>49591037</f>
        <v>49591037</v>
      </c>
      <c r="U96" s="30">
        <f>691570</f>
        <v>691570</v>
      </c>
      <c r="V96" s="30">
        <f>49811796395</f>
        <v>49811796395</v>
      </c>
      <c r="W96" s="30">
        <f>643496521</f>
        <v>643496521</v>
      </c>
      <c r="X96" s="34">
        <f>20</f>
        <v>20</v>
      </c>
    </row>
    <row r="97" spans="1:24" ht="13.5" customHeight="1" x14ac:dyDescent="0.15">
      <c r="A97" s="25" t="s">
        <v>1091</v>
      </c>
      <c r="B97" s="25" t="s">
        <v>317</v>
      </c>
      <c r="C97" s="25" t="s">
        <v>318</v>
      </c>
      <c r="D97" s="25" t="s">
        <v>319</v>
      </c>
      <c r="E97" s="26" t="s">
        <v>45</v>
      </c>
      <c r="F97" s="27" t="s">
        <v>45</v>
      </c>
      <c r="G97" s="28" t="s">
        <v>45</v>
      </c>
      <c r="H97" s="29"/>
      <c r="I97" s="29" t="s">
        <v>46</v>
      </c>
      <c r="J97" s="30">
        <v>10</v>
      </c>
      <c r="K97" s="31">
        <f>3338</f>
        <v>3338</v>
      </c>
      <c r="L97" s="32" t="s">
        <v>995</v>
      </c>
      <c r="M97" s="31">
        <f>3458</f>
        <v>3458</v>
      </c>
      <c r="N97" s="32" t="s">
        <v>1017</v>
      </c>
      <c r="O97" s="31">
        <f>3249</f>
        <v>3249</v>
      </c>
      <c r="P97" s="32" t="s">
        <v>995</v>
      </c>
      <c r="Q97" s="31">
        <f>3378</f>
        <v>3378</v>
      </c>
      <c r="R97" s="32" t="s">
        <v>791</v>
      </c>
      <c r="S97" s="33">
        <f>3345.85</f>
        <v>3345.85</v>
      </c>
      <c r="T97" s="30">
        <f>131370</f>
        <v>131370</v>
      </c>
      <c r="U97" s="30">
        <f>6300</f>
        <v>6300</v>
      </c>
      <c r="V97" s="30">
        <f>439354390</f>
        <v>439354390</v>
      </c>
      <c r="W97" s="30">
        <f>20624940</f>
        <v>20624940</v>
      </c>
      <c r="X97" s="34">
        <f>20</f>
        <v>20</v>
      </c>
    </row>
    <row r="98" spans="1:24" ht="13.5" customHeight="1" x14ac:dyDescent="0.15">
      <c r="A98" s="25" t="s">
        <v>1091</v>
      </c>
      <c r="B98" s="25" t="s">
        <v>320</v>
      </c>
      <c r="C98" s="25" t="s">
        <v>321</v>
      </c>
      <c r="D98" s="25" t="s">
        <v>322</v>
      </c>
      <c r="E98" s="26" t="s">
        <v>45</v>
      </c>
      <c r="F98" s="27" t="s">
        <v>45</v>
      </c>
      <c r="G98" s="28" t="s">
        <v>45</v>
      </c>
      <c r="H98" s="29"/>
      <c r="I98" s="29" t="s">
        <v>46</v>
      </c>
      <c r="J98" s="30">
        <v>10</v>
      </c>
      <c r="K98" s="31">
        <f>1683</f>
        <v>1683</v>
      </c>
      <c r="L98" s="32" t="s">
        <v>995</v>
      </c>
      <c r="M98" s="31">
        <f>1732</f>
        <v>1732</v>
      </c>
      <c r="N98" s="32" t="s">
        <v>1000</v>
      </c>
      <c r="O98" s="31">
        <f>1648</f>
        <v>1648</v>
      </c>
      <c r="P98" s="32" t="s">
        <v>791</v>
      </c>
      <c r="Q98" s="31">
        <f>1648</f>
        <v>1648</v>
      </c>
      <c r="R98" s="32" t="s">
        <v>791</v>
      </c>
      <c r="S98" s="33">
        <f>1693.33</f>
        <v>1693.33</v>
      </c>
      <c r="T98" s="30">
        <f>180510</f>
        <v>180510</v>
      </c>
      <c r="U98" s="30" t="str">
        <f>"－"</f>
        <v>－</v>
      </c>
      <c r="V98" s="30">
        <f>306346210</f>
        <v>306346210</v>
      </c>
      <c r="W98" s="30" t="str">
        <f>"－"</f>
        <v>－</v>
      </c>
      <c r="X98" s="34">
        <f>20</f>
        <v>20</v>
      </c>
    </row>
    <row r="99" spans="1:24" ht="13.5" customHeight="1" x14ac:dyDescent="0.15">
      <c r="A99" s="25" t="s">
        <v>1091</v>
      </c>
      <c r="B99" s="25" t="s">
        <v>323</v>
      </c>
      <c r="C99" s="25" t="s">
        <v>324</v>
      </c>
      <c r="D99" s="25" t="s">
        <v>325</v>
      </c>
      <c r="E99" s="26" t="s">
        <v>45</v>
      </c>
      <c r="F99" s="27" t="s">
        <v>45</v>
      </c>
      <c r="G99" s="28" t="s">
        <v>45</v>
      </c>
      <c r="H99" s="29"/>
      <c r="I99" s="29" t="s">
        <v>46</v>
      </c>
      <c r="J99" s="30">
        <v>1</v>
      </c>
      <c r="K99" s="31">
        <f>56630</f>
        <v>56630</v>
      </c>
      <c r="L99" s="32" t="s">
        <v>995</v>
      </c>
      <c r="M99" s="31">
        <f>59450</f>
        <v>59450</v>
      </c>
      <c r="N99" s="32" t="s">
        <v>1017</v>
      </c>
      <c r="O99" s="31">
        <f>55400</f>
        <v>55400</v>
      </c>
      <c r="P99" s="32" t="s">
        <v>794</v>
      </c>
      <c r="Q99" s="31">
        <f>58590</f>
        <v>58590</v>
      </c>
      <c r="R99" s="32" t="s">
        <v>791</v>
      </c>
      <c r="S99" s="33">
        <f>57070</f>
        <v>57070</v>
      </c>
      <c r="T99" s="30">
        <f>155151</f>
        <v>155151</v>
      </c>
      <c r="U99" s="30" t="str">
        <f>"－"</f>
        <v>－</v>
      </c>
      <c r="V99" s="30">
        <f>8863196410</f>
        <v>8863196410</v>
      </c>
      <c r="W99" s="30" t="str">
        <f>"－"</f>
        <v>－</v>
      </c>
      <c r="X99" s="34">
        <f>20</f>
        <v>20</v>
      </c>
    </row>
    <row r="100" spans="1:24" ht="13.5" customHeight="1" x14ac:dyDescent="0.15">
      <c r="A100" s="25" t="s">
        <v>1091</v>
      </c>
      <c r="B100" s="25" t="s">
        <v>326</v>
      </c>
      <c r="C100" s="25" t="s">
        <v>327</v>
      </c>
      <c r="D100" s="25" t="s">
        <v>328</v>
      </c>
      <c r="E100" s="26" t="s">
        <v>45</v>
      </c>
      <c r="F100" s="27" t="s">
        <v>45</v>
      </c>
      <c r="G100" s="28" t="s">
        <v>45</v>
      </c>
      <c r="H100" s="29"/>
      <c r="I100" s="29" t="s">
        <v>46</v>
      </c>
      <c r="J100" s="30">
        <v>1</v>
      </c>
      <c r="K100" s="31">
        <f>3430</f>
        <v>3430</v>
      </c>
      <c r="L100" s="32" t="s">
        <v>995</v>
      </c>
      <c r="M100" s="31">
        <f>3450</f>
        <v>3450</v>
      </c>
      <c r="N100" s="32" t="s">
        <v>1002</v>
      </c>
      <c r="O100" s="31">
        <f>3320</f>
        <v>3320</v>
      </c>
      <c r="P100" s="32" t="s">
        <v>1002</v>
      </c>
      <c r="Q100" s="31">
        <f>3395</f>
        <v>3395</v>
      </c>
      <c r="R100" s="32" t="s">
        <v>791</v>
      </c>
      <c r="S100" s="33">
        <f>3409.75</f>
        <v>3409.75</v>
      </c>
      <c r="T100" s="30">
        <f>15139</f>
        <v>15139</v>
      </c>
      <c r="U100" s="30" t="str">
        <f>"－"</f>
        <v>－</v>
      </c>
      <c r="V100" s="30">
        <f>51645655</f>
        <v>51645655</v>
      </c>
      <c r="W100" s="30" t="str">
        <f>"－"</f>
        <v>－</v>
      </c>
      <c r="X100" s="34">
        <f>20</f>
        <v>20</v>
      </c>
    </row>
    <row r="101" spans="1:24" ht="13.5" customHeight="1" x14ac:dyDescent="0.15">
      <c r="A101" s="25" t="s">
        <v>1091</v>
      </c>
      <c r="B101" s="25" t="s">
        <v>329</v>
      </c>
      <c r="C101" s="25" t="s">
        <v>330</v>
      </c>
      <c r="D101" s="25" t="s">
        <v>331</v>
      </c>
      <c r="E101" s="26" t="s">
        <v>45</v>
      </c>
      <c r="F101" s="27" t="s">
        <v>45</v>
      </c>
      <c r="G101" s="28" t="s">
        <v>45</v>
      </c>
      <c r="H101" s="29"/>
      <c r="I101" s="29" t="s">
        <v>46</v>
      </c>
      <c r="J101" s="30">
        <v>1</v>
      </c>
      <c r="K101" s="31">
        <f>4295</f>
        <v>4295</v>
      </c>
      <c r="L101" s="32" t="s">
        <v>995</v>
      </c>
      <c r="M101" s="31">
        <f>4365</f>
        <v>4365</v>
      </c>
      <c r="N101" s="32" t="s">
        <v>1000</v>
      </c>
      <c r="O101" s="31">
        <f>4180</f>
        <v>4180</v>
      </c>
      <c r="P101" s="32" t="s">
        <v>786</v>
      </c>
      <c r="Q101" s="31">
        <f>4270</f>
        <v>4270</v>
      </c>
      <c r="R101" s="32" t="s">
        <v>791</v>
      </c>
      <c r="S101" s="33">
        <f>4305.25</f>
        <v>4305.25</v>
      </c>
      <c r="T101" s="30">
        <f>4623</f>
        <v>4623</v>
      </c>
      <c r="U101" s="30" t="str">
        <f>"－"</f>
        <v>－</v>
      </c>
      <c r="V101" s="30">
        <f>19785545</f>
        <v>19785545</v>
      </c>
      <c r="W101" s="30" t="str">
        <f>"－"</f>
        <v>－</v>
      </c>
      <c r="X101" s="34">
        <f>20</f>
        <v>20</v>
      </c>
    </row>
    <row r="102" spans="1:24" ht="13.5" customHeight="1" x14ac:dyDescent="0.15">
      <c r="A102" s="25" t="s">
        <v>1091</v>
      </c>
      <c r="B102" s="25" t="s">
        <v>332</v>
      </c>
      <c r="C102" s="25" t="s">
        <v>972</v>
      </c>
      <c r="D102" s="25" t="s">
        <v>973</v>
      </c>
      <c r="E102" s="26" t="s">
        <v>45</v>
      </c>
      <c r="F102" s="27" t="s">
        <v>45</v>
      </c>
      <c r="G102" s="28" t="s">
        <v>45</v>
      </c>
      <c r="H102" s="29"/>
      <c r="I102" s="29" t="s">
        <v>46</v>
      </c>
      <c r="J102" s="30">
        <v>1</v>
      </c>
      <c r="K102" s="31">
        <f>2449</f>
        <v>2449</v>
      </c>
      <c r="L102" s="32" t="s">
        <v>995</v>
      </c>
      <c r="M102" s="31">
        <f>2580</f>
        <v>2580</v>
      </c>
      <c r="N102" s="32" t="s">
        <v>791</v>
      </c>
      <c r="O102" s="31">
        <f>2360</f>
        <v>2360</v>
      </c>
      <c r="P102" s="32" t="s">
        <v>995</v>
      </c>
      <c r="Q102" s="31">
        <f>2552</f>
        <v>2552</v>
      </c>
      <c r="R102" s="32" t="s">
        <v>791</v>
      </c>
      <c r="S102" s="33">
        <f>2475.6</f>
        <v>2475.6</v>
      </c>
      <c r="T102" s="30">
        <f>483544</f>
        <v>483544</v>
      </c>
      <c r="U102" s="30" t="str">
        <f>"－"</f>
        <v>－</v>
      </c>
      <c r="V102" s="30">
        <f>1198663695</f>
        <v>1198663695</v>
      </c>
      <c r="W102" s="30" t="str">
        <f>"－"</f>
        <v>－</v>
      </c>
      <c r="X102" s="34">
        <f>20</f>
        <v>20</v>
      </c>
    </row>
    <row r="103" spans="1:24" ht="13.5" customHeight="1" x14ac:dyDescent="0.15">
      <c r="A103" s="25" t="s">
        <v>1091</v>
      </c>
      <c r="B103" s="25" t="s">
        <v>333</v>
      </c>
      <c r="C103" s="25" t="s">
        <v>334</v>
      </c>
      <c r="D103" s="25" t="s">
        <v>335</v>
      </c>
      <c r="E103" s="26" t="s">
        <v>45</v>
      </c>
      <c r="F103" s="27" t="s">
        <v>45</v>
      </c>
      <c r="G103" s="28" t="s">
        <v>45</v>
      </c>
      <c r="H103" s="29"/>
      <c r="I103" s="29" t="s">
        <v>46</v>
      </c>
      <c r="J103" s="30">
        <v>1</v>
      </c>
      <c r="K103" s="31">
        <f>44930</f>
        <v>44930</v>
      </c>
      <c r="L103" s="32" t="s">
        <v>995</v>
      </c>
      <c r="M103" s="31">
        <f>45490</f>
        <v>45490</v>
      </c>
      <c r="N103" s="32" t="s">
        <v>1017</v>
      </c>
      <c r="O103" s="31">
        <f>44300</f>
        <v>44300</v>
      </c>
      <c r="P103" s="32" t="s">
        <v>787</v>
      </c>
      <c r="Q103" s="31">
        <f>45380</f>
        <v>45380</v>
      </c>
      <c r="R103" s="32" t="s">
        <v>791</v>
      </c>
      <c r="S103" s="33">
        <f>44905.5</f>
        <v>44905.5</v>
      </c>
      <c r="T103" s="30">
        <f>14624</f>
        <v>14624</v>
      </c>
      <c r="U103" s="30">
        <f>2705</f>
        <v>2705</v>
      </c>
      <c r="V103" s="30">
        <f>658482880</f>
        <v>658482880</v>
      </c>
      <c r="W103" s="30">
        <f>122578810</f>
        <v>122578810</v>
      </c>
      <c r="X103" s="34">
        <f>20</f>
        <v>20</v>
      </c>
    </row>
    <row r="104" spans="1:24" ht="13.5" customHeight="1" x14ac:dyDescent="0.15">
      <c r="A104" s="25" t="s">
        <v>1091</v>
      </c>
      <c r="B104" s="25" t="s">
        <v>336</v>
      </c>
      <c r="C104" s="25" t="s">
        <v>337</v>
      </c>
      <c r="D104" s="25" t="s">
        <v>338</v>
      </c>
      <c r="E104" s="26" t="s">
        <v>45</v>
      </c>
      <c r="F104" s="27" t="s">
        <v>45</v>
      </c>
      <c r="G104" s="28" t="s">
        <v>45</v>
      </c>
      <c r="H104" s="29"/>
      <c r="I104" s="29" t="s">
        <v>46</v>
      </c>
      <c r="J104" s="30">
        <v>10</v>
      </c>
      <c r="K104" s="31">
        <f>27860</f>
        <v>27860</v>
      </c>
      <c r="L104" s="32" t="s">
        <v>995</v>
      </c>
      <c r="M104" s="31">
        <f>31090</f>
        <v>31090</v>
      </c>
      <c r="N104" s="32" t="s">
        <v>894</v>
      </c>
      <c r="O104" s="31">
        <f>27780</f>
        <v>27780</v>
      </c>
      <c r="P104" s="32" t="s">
        <v>999</v>
      </c>
      <c r="Q104" s="31">
        <f>29390</f>
        <v>29390</v>
      </c>
      <c r="R104" s="32" t="s">
        <v>791</v>
      </c>
      <c r="S104" s="33">
        <f>29333.75</f>
        <v>29333.75</v>
      </c>
      <c r="T104" s="30">
        <f>2286700</f>
        <v>2286700</v>
      </c>
      <c r="U104" s="30">
        <f>10100</f>
        <v>10100</v>
      </c>
      <c r="V104" s="30">
        <f>67117127100</f>
        <v>67117127100</v>
      </c>
      <c r="W104" s="30">
        <f>302871300</f>
        <v>302871300</v>
      </c>
      <c r="X104" s="34">
        <f>20</f>
        <v>20</v>
      </c>
    </row>
    <row r="105" spans="1:24" ht="13.5" customHeight="1" x14ac:dyDescent="0.15">
      <c r="A105" s="25" t="s">
        <v>1091</v>
      </c>
      <c r="B105" s="25" t="s">
        <v>339</v>
      </c>
      <c r="C105" s="25" t="s">
        <v>340</v>
      </c>
      <c r="D105" s="25" t="s">
        <v>341</v>
      </c>
      <c r="E105" s="26" t="s">
        <v>45</v>
      </c>
      <c r="F105" s="27" t="s">
        <v>45</v>
      </c>
      <c r="G105" s="28" t="s">
        <v>45</v>
      </c>
      <c r="H105" s="29"/>
      <c r="I105" s="29" t="s">
        <v>46</v>
      </c>
      <c r="J105" s="30">
        <v>10</v>
      </c>
      <c r="K105" s="31">
        <f>1852.5</f>
        <v>1852.5</v>
      </c>
      <c r="L105" s="32" t="s">
        <v>995</v>
      </c>
      <c r="M105" s="31">
        <f>1854</f>
        <v>1854</v>
      </c>
      <c r="N105" s="32" t="s">
        <v>995</v>
      </c>
      <c r="O105" s="31">
        <f>1750</f>
        <v>1750</v>
      </c>
      <c r="P105" s="32" t="s">
        <v>894</v>
      </c>
      <c r="Q105" s="31">
        <f>1797.5</f>
        <v>1797.5</v>
      </c>
      <c r="R105" s="32" t="s">
        <v>791</v>
      </c>
      <c r="S105" s="33">
        <f>1802.75</f>
        <v>1802.75</v>
      </c>
      <c r="T105" s="30">
        <f>369770</f>
        <v>369770</v>
      </c>
      <c r="U105" s="30" t="str">
        <f>"－"</f>
        <v>－</v>
      </c>
      <c r="V105" s="30">
        <f>664160595</f>
        <v>664160595</v>
      </c>
      <c r="W105" s="30" t="str">
        <f>"－"</f>
        <v>－</v>
      </c>
      <c r="X105" s="34">
        <f>20</f>
        <v>20</v>
      </c>
    </row>
    <row r="106" spans="1:24" ht="13.5" customHeight="1" x14ac:dyDescent="0.15">
      <c r="A106" s="25" t="s">
        <v>1091</v>
      </c>
      <c r="B106" s="25" t="s">
        <v>342</v>
      </c>
      <c r="C106" s="25" t="s">
        <v>343</v>
      </c>
      <c r="D106" s="25" t="s">
        <v>344</v>
      </c>
      <c r="E106" s="26" t="s">
        <v>45</v>
      </c>
      <c r="F106" s="27" t="s">
        <v>45</v>
      </c>
      <c r="G106" s="28" t="s">
        <v>45</v>
      </c>
      <c r="H106" s="29"/>
      <c r="I106" s="29" t="s">
        <v>46</v>
      </c>
      <c r="J106" s="30">
        <v>1</v>
      </c>
      <c r="K106" s="31">
        <f>15990</f>
        <v>15990</v>
      </c>
      <c r="L106" s="32" t="s">
        <v>995</v>
      </c>
      <c r="M106" s="31">
        <f>18895</f>
        <v>18895</v>
      </c>
      <c r="N106" s="32" t="s">
        <v>1017</v>
      </c>
      <c r="O106" s="31">
        <f>15850</f>
        <v>15850</v>
      </c>
      <c r="P106" s="32" t="s">
        <v>1000</v>
      </c>
      <c r="Q106" s="31">
        <f>18030</f>
        <v>18030</v>
      </c>
      <c r="R106" s="32" t="s">
        <v>791</v>
      </c>
      <c r="S106" s="33">
        <f>17215.5</f>
        <v>17215.5</v>
      </c>
      <c r="T106" s="30">
        <f>109748393</f>
        <v>109748393</v>
      </c>
      <c r="U106" s="30">
        <f>123925</f>
        <v>123925</v>
      </c>
      <c r="V106" s="30">
        <f>1909435619620</f>
        <v>1909435619620</v>
      </c>
      <c r="W106" s="30">
        <f>2141605785</f>
        <v>2141605785</v>
      </c>
      <c r="X106" s="34">
        <f>20</f>
        <v>20</v>
      </c>
    </row>
    <row r="107" spans="1:24" ht="13.5" customHeight="1" x14ac:dyDescent="0.15">
      <c r="A107" s="25" t="s">
        <v>1091</v>
      </c>
      <c r="B107" s="25" t="s">
        <v>345</v>
      </c>
      <c r="C107" s="25" t="s">
        <v>346</v>
      </c>
      <c r="D107" s="25" t="s">
        <v>347</v>
      </c>
      <c r="E107" s="26" t="s">
        <v>45</v>
      </c>
      <c r="F107" s="27" t="s">
        <v>45</v>
      </c>
      <c r="G107" s="28" t="s">
        <v>45</v>
      </c>
      <c r="H107" s="29"/>
      <c r="I107" s="29" t="s">
        <v>46</v>
      </c>
      <c r="J107" s="30">
        <v>1</v>
      </c>
      <c r="K107" s="31">
        <f>888</f>
        <v>888</v>
      </c>
      <c r="L107" s="32" t="s">
        <v>995</v>
      </c>
      <c r="M107" s="31">
        <f>891</f>
        <v>891</v>
      </c>
      <c r="N107" s="32" t="s">
        <v>1000</v>
      </c>
      <c r="O107" s="31">
        <f>813</f>
        <v>813</v>
      </c>
      <c r="P107" s="32" t="s">
        <v>1017</v>
      </c>
      <c r="Q107" s="31">
        <f>833</f>
        <v>833</v>
      </c>
      <c r="R107" s="32" t="s">
        <v>791</v>
      </c>
      <c r="S107" s="33">
        <f>854.75</f>
        <v>854.75</v>
      </c>
      <c r="T107" s="30">
        <f>59509130</f>
        <v>59509130</v>
      </c>
      <c r="U107" s="30">
        <f>9796002</f>
        <v>9796002</v>
      </c>
      <c r="V107" s="30">
        <f>50892674901</f>
        <v>50892674901</v>
      </c>
      <c r="W107" s="30">
        <f>8383938030</f>
        <v>8383938030</v>
      </c>
      <c r="X107" s="34">
        <f>20</f>
        <v>20</v>
      </c>
    </row>
    <row r="108" spans="1:24" ht="13.5" customHeight="1" x14ac:dyDescent="0.15">
      <c r="A108" s="25" t="s">
        <v>1091</v>
      </c>
      <c r="B108" s="25" t="s">
        <v>348</v>
      </c>
      <c r="C108" s="25" t="s">
        <v>349</v>
      </c>
      <c r="D108" s="25" t="s">
        <v>350</v>
      </c>
      <c r="E108" s="26" t="s">
        <v>45</v>
      </c>
      <c r="F108" s="27" t="s">
        <v>45</v>
      </c>
      <c r="G108" s="28" t="s">
        <v>45</v>
      </c>
      <c r="H108" s="29"/>
      <c r="I108" s="29" t="s">
        <v>46</v>
      </c>
      <c r="J108" s="30">
        <v>10</v>
      </c>
      <c r="K108" s="31">
        <f>4600</f>
        <v>4600</v>
      </c>
      <c r="L108" s="32" t="s">
        <v>995</v>
      </c>
      <c r="M108" s="31">
        <f>4803</f>
        <v>4803</v>
      </c>
      <c r="N108" s="32" t="s">
        <v>876</v>
      </c>
      <c r="O108" s="31">
        <f>3855</f>
        <v>3855</v>
      </c>
      <c r="P108" s="32" t="s">
        <v>791</v>
      </c>
      <c r="Q108" s="31">
        <f>3903</f>
        <v>3903</v>
      </c>
      <c r="R108" s="32" t="s">
        <v>791</v>
      </c>
      <c r="S108" s="33">
        <f>4479.2</f>
        <v>4479.2</v>
      </c>
      <c r="T108" s="30">
        <f>227810</f>
        <v>227810</v>
      </c>
      <c r="U108" s="30" t="str">
        <f>"－"</f>
        <v>－</v>
      </c>
      <c r="V108" s="30">
        <f>1009241790</f>
        <v>1009241790</v>
      </c>
      <c r="W108" s="30" t="str">
        <f>"－"</f>
        <v>－</v>
      </c>
      <c r="X108" s="34">
        <f>20</f>
        <v>20</v>
      </c>
    </row>
    <row r="109" spans="1:24" ht="13.5" customHeight="1" x14ac:dyDescent="0.15">
      <c r="A109" s="25" t="s">
        <v>1091</v>
      </c>
      <c r="B109" s="25" t="s">
        <v>351</v>
      </c>
      <c r="C109" s="25" t="s">
        <v>352</v>
      </c>
      <c r="D109" s="25" t="s">
        <v>353</v>
      </c>
      <c r="E109" s="26" t="s">
        <v>45</v>
      </c>
      <c r="F109" s="27" t="s">
        <v>45</v>
      </c>
      <c r="G109" s="28" t="s">
        <v>45</v>
      </c>
      <c r="H109" s="29"/>
      <c r="I109" s="29" t="s">
        <v>46</v>
      </c>
      <c r="J109" s="30">
        <v>10</v>
      </c>
      <c r="K109" s="31">
        <f>10400</f>
        <v>10400</v>
      </c>
      <c r="L109" s="32" t="s">
        <v>995</v>
      </c>
      <c r="M109" s="31">
        <f>11845</f>
        <v>11845</v>
      </c>
      <c r="N109" s="32" t="s">
        <v>791</v>
      </c>
      <c r="O109" s="31">
        <f>10045</f>
        <v>10045</v>
      </c>
      <c r="P109" s="32" t="s">
        <v>1004</v>
      </c>
      <c r="Q109" s="31">
        <f>11675</f>
        <v>11675</v>
      </c>
      <c r="R109" s="32" t="s">
        <v>791</v>
      </c>
      <c r="S109" s="33">
        <f>10723.5</f>
        <v>10723.5</v>
      </c>
      <c r="T109" s="30">
        <f>19140</f>
        <v>19140</v>
      </c>
      <c r="U109" s="30" t="str">
        <f>"－"</f>
        <v>－</v>
      </c>
      <c r="V109" s="30">
        <f>207778900</f>
        <v>207778900</v>
      </c>
      <c r="W109" s="30" t="str">
        <f>"－"</f>
        <v>－</v>
      </c>
      <c r="X109" s="34">
        <f>20</f>
        <v>20</v>
      </c>
    </row>
    <row r="110" spans="1:24" ht="13.5" customHeight="1" x14ac:dyDescent="0.15">
      <c r="A110" s="25" t="s">
        <v>1091</v>
      </c>
      <c r="B110" s="25" t="s">
        <v>354</v>
      </c>
      <c r="C110" s="25" t="s">
        <v>355</v>
      </c>
      <c r="D110" s="25" t="s">
        <v>356</v>
      </c>
      <c r="E110" s="26" t="s">
        <v>45</v>
      </c>
      <c r="F110" s="27" t="s">
        <v>45</v>
      </c>
      <c r="G110" s="28" t="s">
        <v>45</v>
      </c>
      <c r="H110" s="29"/>
      <c r="I110" s="29" t="s">
        <v>46</v>
      </c>
      <c r="J110" s="30">
        <v>1</v>
      </c>
      <c r="K110" s="31">
        <f>26460</f>
        <v>26460</v>
      </c>
      <c r="L110" s="32" t="s">
        <v>995</v>
      </c>
      <c r="M110" s="31">
        <f>27550</f>
        <v>27550</v>
      </c>
      <c r="N110" s="32" t="s">
        <v>894</v>
      </c>
      <c r="O110" s="31">
        <f>26240</f>
        <v>26240</v>
      </c>
      <c r="P110" s="32" t="s">
        <v>1000</v>
      </c>
      <c r="Q110" s="31">
        <f>26890</f>
        <v>26890</v>
      </c>
      <c r="R110" s="32" t="s">
        <v>791</v>
      </c>
      <c r="S110" s="33">
        <f>26902.5</f>
        <v>26902.5</v>
      </c>
      <c r="T110" s="30">
        <f>91918</f>
        <v>91918</v>
      </c>
      <c r="U110" s="30">
        <f>46672</f>
        <v>46672</v>
      </c>
      <c r="V110" s="30">
        <f>2459885629</f>
        <v>2459885629</v>
      </c>
      <c r="W110" s="30">
        <f>1243157344</f>
        <v>1243157344</v>
      </c>
      <c r="X110" s="34">
        <f>20</f>
        <v>20</v>
      </c>
    </row>
    <row r="111" spans="1:24" ht="13.5" customHeight="1" x14ac:dyDescent="0.15">
      <c r="A111" s="25" t="s">
        <v>1091</v>
      </c>
      <c r="B111" s="25" t="s">
        <v>357</v>
      </c>
      <c r="C111" s="25" t="s">
        <v>358</v>
      </c>
      <c r="D111" s="25" t="s">
        <v>359</v>
      </c>
      <c r="E111" s="26" t="s">
        <v>45</v>
      </c>
      <c r="F111" s="27" t="s">
        <v>45</v>
      </c>
      <c r="G111" s="28" t="s">
        <v>45</v>
      </c>
      <c r="H111" s="29"/>
      <c r="I111" s="29" t="s">
        <v>46</v>
      </c>
      <c r="J111" s="30">
        <v>1</v>
      </c>
      <c r="K111" s="31">
        <f>2330</f>
        <v>2330</v>
      </c>
      <c r="L111" s="32" t="s">
        <v>995</v>
      </c>
      <c r="M111" s="31">
        <f>2540</f>
        <v>2540</v>
      </c>
      <c r="N111" s="32" t="s">
        <v>1017</v>
      </c>
      <c r="O111" s="31">
        <f>2323</f>
        <v>2323</v>
      </c>
      <c r="P111" s="32" t="s">
        <v>1000</v>
      </c>
      <c r="Q111" s="31">
        <f>2483</f>
        <v>2483</v>
      </c>
      <c r="R111" s="32" t="s">
        <v>791</v>
      </c>
      <c r="S111" s="33">
        <f>2423</f>
        <v>2423</v>
      </c>
      <c r="T111" s="30">
        <f>80501</f>
        <v>80501</v>
      </c>
      <c r="U111" s="30" t="str">
        <f>"－"</f>
        <v>－</v>
      </c>
      <c r="V111" s="30">
        <f>194067948</f>
        <v>194067948</v>
      </c>
      <c r="W111" s="30" t="str">
        <f>"－"</f>
        <v>－</v>
      </c>
      <c r="X111" s="34">
        <f>20</f>
        <v>20</v>
      </c>
    </row>
    <row r="112" spans="1:24" ht="13.5" customHeight="1" x14ac:dyDescent="0.15">
      <c r="A112" s="25" t="s">
        <v>1091</v>
      </c>
      <c r="B112" s="25" t="s">
        <v>360</v>
      </c>
      <c r="C112" s="25" t="s">
        <v>361</v>
      </c>
      <c r="D112" s="25" t="s">
        <v>362</v>
      </c>
      <c r="E112" s="26" t="s">
        <v>45</v>
      </c>
      <c r="F112" s="27" t="s">
        <v>45</v>
      </c>
      <c r="G112" s="28" t="s">
        <v>45</v>
      </c>
      <c r="H112" s="29"/>
      <c r="I112" s="29" t="s">
        <v>46</v>
      </c>
      <c r="J112" s="30">
        <v>10</v>
      </c>
      <c r="K112" s="31">
        <f>17090</f>
        <v>17090</v>
      </c>
      <c r="L112" s="32" t="s">
        <v>995</v>
      </c>
      <c r="M112" s="31">
        <f>20165</f>
        <v>20165</v>
      </c>
      <c r="N112" s="32" t="s">
        <v>1017</v>
      </c>
      <c r="O112" s="31">
        <f>16950</f>
        <v>16950</v>
      </c>
      <c r="P112" s="32" t="s">
        <v>1000</v>
      </c>
      <c r="Q112" s="31">
        <f>19280</f>
        <v>19280</v>
      </c>
      <c r="R112" s="32" t="s">
        <v>791</v>
      </c>
      <c r="S112" s="33">
        <f>18409</f>
        <v>18409</v>
      </c>
      <c r="T112" s="30">
        <f>13781280</f>
        <v>13781280</v>
      </c>
      <c r="U112" s="30">
        <f>10</f>
        <v>10</v>
      </c>
      <c r="V112" s="30">
        <f>256616749875</f>
        <v>256616749875</v>
      </c>
      <c r="W112" s="30">
        <f>193375</f>
        <v>193375</v>
      </c>
      <c r="X112" s="34">
        <f>20</f>
        <v>20</v>
      </c>
    </row>
    <row r="113" spans="1:24" ht="13.5" customHeight="1" x14ac:dyDescent="0.15">
      <c r="A113" s="25" t="s">
        <v>1091</v>
      </c>
      <c r="B113" s="25" t="s">
        <v>363</v>
      </c>
      <c r="C113" s="25" t="s">
        <v>364</v>
      </c>
      <c r="D113" s="25" t="s">
        <v>365</v>
      </c>
      <c r="E113" s="26" t="s">
        <v>45</v>
      </c>
      <c r="F113" s="27" t="s">
        <v>45</v>
      </c>
      <c r="G113" s="28" t="s">
        <v>45</v>
      </c>
      <c r="H113" s="29"/>
      <c r="I113" s="29" t="s">
        <v>46</v>
      </c>
      <c r="J113" s="30">
        <v>10</v>
      </c>
      <c r="K113" s="31">
        <f>2355.5</f>
        <v>2355.5</v>
      </c>
      <c r="L113" s="32" t="s">
        <v>995</v>
      </c>
      <c r="M113" s="31">
        <f>2363</f>
        <v>2363</v>
      </c>
      <c r="N113" s="32" t="s">
        <v>1000</v>
      </c>
      <c r="O113" s="31">
        <f>2158.5</f>
        <v>2158.5</v>
      </c>
      <c r="P113" s="32" t="s">
        <v>1017</v>
      </c>
      <c r="Q113" s="31">
        <f>2208.5</f>
        <v>2208.5</v>
      </c>
      <c r="R113" s="32" t="s">
        <v>791</v>
      </c>
      <c r="S113" s="33">
        <f>2268.3</f>
        <v>2268.3000000000002</v>
      </c>
      <c r="T113" s="30">
        <f>4775930</f>
        <v>4775930</v>
      </c>
      <c r="U113" s="30">
        <f>832000</f>
        <v>832000</v>
      </c>
      <c r="V113" s="30">
        <f>10822906025</f>
        <v>10822906025</v>
      </c>
      <c r="W113" s="30">
        <f>1935856100</f>
        <v>1935856100</v>
      </c>
      <c r="X113" s="34">
        <f>20</f>
        <v>20</v>
      </c>
    </row>
    <row r="114" spans="1:24" ht="13.5" customHeight="1" x14ac:dyDescent="0.15">
      <c r="A114" s="25" t="s">
        <v>1091</v>
      </c>
      <c r="B114" s="25" t="s">
        <v>369</v>
      </c>
      <c r="C114" s="25" t="s">
        <v>1059</v>
      </c>
      <c r="D114" s="25" t="s">
        <v>1060</v>
      </c>
      <c r="E114" s="26" t="s">
        <v>45</v>
      </c>
      <c r="F114" s="27" t="s">
        <v>45</v>
      </c>
      <c r="G114" s="28" t="s">
        <v>45</v>
      </c>
      <c r="H114" s="29"/>
      <c r="I114" s="29" t="s">
        <v>46</v>
      </c>
      <c r="J114" s="30">
        <v>10</v>
      </c>
      <c r="K114" s="31">
        <f>1630</f>
        <v>1630</v>
      </c>
      <c r="L114" s="32" t="s">
        <v>1000</v>
      </c>
      <c r="M114" s="31">
        <f>1697</f>
        <v>1697</v>
      </c>
      <c r="N114" s="32" t="s">
        <v>786</v>
      </c>
      <c r="O114" s="31">
        <f>1622</f>
        <v>1622</v>
      </c>
      <c r="P114" s="32" t="s">
        <v>787</v>
      </c>
      <c r="Q114" s="31">
        <f>1685.5</f>
        <v>1685.5</v>
      </c>
      <c r="R114" s="32" t="s">
        <v>791</v>
      </c>
      <c r="S114" s="33">
        <f>1669.29</f>
        <v>1669.29</v>
      </c>
      <c r="T114" s="30">
        <f>1830</f>
        <v>1830</v>
      </c>
      <c r="U114" s="30" t="str">
        <f>"－"</f>
        <v>－</v>
      </c>
      <c r="V114" s="30">
        <f>3002805</f>
        <v>3002805</v>
      </c>
      <c r="W114" s="30" t="str">
        <f>"－"</f>
        <v>－</v>
      </c>
      <c r="X114" s="34">
        <f>7</f>
        <v>7</v>
      </c>
    </row>
    <row r="115" spans="1:24" ht="13.5" customHeight="1" x14ac:dyDescent="0.15">
      <c r="A115" s="25" t="s">
        <v>1091</v>
      </c>
      <c r="B115" s="25" t="s">
        <v>372</v>
      </c>
      <c r="C115" s="25" t="s">
        <v>373</v>
      </c>
      <c r="D115" s="25" t="s">
        <v>374</v>
      </c>
      <c r="E115" s="26" t="s">
        <v>45</v>
      </c>
      <c r="F115" s="27" t="s">
        <v>45</v>
      </c>
      <c r="G115" s="28" t="s">
        <v>45</v>
      </c>
      <c r="H115" s="29"/>
      <c r="I115" s="29" t="s">
        <v>46</v>
      </c>
      <c r="J115" s="30">
        <v>1</v>
      </c>
      <c r="K115" s="31">
        <f>1740</f>
        <v>1740</v>
      </c>
      <c r="L115" s="32" t="s">
        <v>995</v>
      </c>
      <c r="M115" s="31">
        <f>1805</f>
        <v>1805</v>
      </c>
      <c r="N115" s="32" t="s">
        <v>1017</v>
      </c>
      <c r="O115" s="31">
        <f>1681</f>
        <v>1681</v>
      </c>
      <c r="P115" s="32" t="s">
        <v>999</v>
      </c>
      <c r="Q115" s="31">
        <f>1768</f>
        <v>1768</v>
      </c>
      <c r="R115" s="32" t="s">
        <v>791</v>
      </c>
      <c r="S115" s="33">
        <f>1760.5</f>
        <v>1760.5</v>
      </c>
      <c r="T115" s="30">
        <f>212584</f>
        <v>212584</v>
      </c>
      <c r="U115" s="30">
        <f>200000</f>
        <v>200000</v>
      </c>
      <c r="V115" s="30">
        <f>379530404</f>
        <v>379530404</v>
      </c>
      <c r="W115" s="30">
        <f>357480000</f>
        <v>357480000</v>
      </c>
      <c r="X115" s="34">
        <f>20</f>
        <v>20</v>
      </c>
    </row>
    <row r="116" spans="1:24" ht="13.5" customHeight="1" x14ac:dyDescent="0.15">
      <c r="A116" s="25" t="s">
        <v>1091</v>
      </c>
      <c r="B116" s="25" t="s">
        <v>375</v>
      </c>
      <c r="C116" s="25" t="s">
        <v>376</v>
      </c>
      <c r="D116" s="25" t="s">
        <v>377</v>
      </c>
      <c r="E116" s="26" t="s">
        <v>45</v>
      </c>
      <c r="F116" s="27" t="s">
        <v>45</v>
      </c>
      <c r="G116" s="28" t="s">
        <v>45</v>
      </c>
      <c r="H116" s="29"/>
      <c r="I116" s="29" t="s">
        <v>46</v>
      </c>
      <c r="J116" s="30">
        <v>1</v>
      </c>
      <c r="K116" s="31">
        <f>18685</f>
        <v>18685</v>
      </c>
      <c r="L116" s="32" t="s">
        <v>995</v>
      </c>
      <c r="M116" s="31">
        <f>19855</f>
        <v>19855</v>
      </c>
      <c r="N116" s="32" t="s">
        <v>894</v>
      </c>
      <c r="O116" s="31">
        <f>18670</f>
        <v>18670</v>
      </c>
      <c r="P116" s="32" t="s">
        <v>1000</v>
      </c>
      <c r="Q116" s="31">
        <f>19370</f>
        <v>19370</v>
      </c>
      <c r="R116" s="32" t="s">
        <v>791</v>
      </c>
      <c r="S116" s="33">
        <f>19255.25</f>
        <v>19255.25</v>
      </c>
      <c r="T116" s="30">
        <f>129278</f>
        <v>129278</v>
      </c>
      <c r="U116" s="30">
        <f>51887</f>
        <v>51887</v>
      </c>
      <c r="V116" s="30">
        <f>2486246918</f>
        <v>2486246918</v>
      </c>
      <c r="W116" s="30">
        <f>988626098</f>
        <v>988626098</v>
      </c>
      <c r="X116" s="34">
        <f>20</f>
        <v>20</v>
      </c>
    </row>
    <row r="117" spans="1:24" ht="13.5" customHeight="1" x14ac:dyDescent="0.15">
      <c r="A117" s="25" t="s">
        <v>1091</v>
      </c>
      <c r="B117" s="25" t="s">
        <v>378</v>
      </c>
      <c r="C117" s="25" t="s">
        <v>379</v>
      </c>
      <c r="D117" s="25" t="s">
        <v>380</v>
      </c>
      <c r="E117" s="26" t="s">
        <v>45</v>
      </c>
      <c r="F117" s="27" t="s">
        <v>45</v>
      </c>
      <c r="G117" s="28" t="s">
        <v>45</v>
      </c>
      <c r="H117" s="29"/>
      <c r="I117" s="29" t="s">
        <v>46</v>
      </c>
      <c r="J117" s="30">
        <v>1</v>
      </c>
      <c r="K117" s="31">
        <f>1724</f>
        <v>1724</v>
      </c>
      <c r="L117" s="32" t="s">
        <v>995</v>
      </c>
      <c r="M117" s="31">
        <f>1834</f>
        <v>1834</v>
      </c>
      <c r="N117" s="32" t="s">
        <v>894</v>
      </c>
      <c r="O117" s="31">
        <f>1689</f>
        <v>1689</v>
      </c>
      <c r="P117" s="32" t="s">
        <v>787</v>
      </c>
      <c r="Q117" s="31">
        <f>1791</f>
        <v>1791</v>
      </c>
      <c r="R117" s="32" t="s">
        <v>791</v>
      </c>
      <c r="S117" s="33">
        <f>1778.6</f>
        <v>1778.6</v>
      </c>
      <c r="T117" s="30">
        <f>99434</f>
        <v>99434</v>
      </c>
      <c r="U117" s="30" t="str">
        <f>"－"</f>
        <v>－</v>
      </c>
      <c r="V117" s="30">
        <f>177176605</f>
        <v>177176605</v>
      </c>
      <c r="W117" s="30" t="str">
        <f>"－"</f>
        <v>－</v>
      </c>
      <c r="X117" s="34">
        <f>20</f>
        <v>20</v>
      </c>
    </row>
    <row r="118" spans="1:24" ht="13.5" customHeight="1" x14ac:dyDescent="0.15">
      <c r="A118" s="25" t="s">
        <v>1091</v>
      </c>
      <c r="B118" s="25" t="s">
        <v>381</v>
      </c>
      <c r="C118" s="25" t="s">
        <v>382</v>
      </c>
      <c r="D118" s="25" t="s">
        <v>383</v>
      </c>
      <c r="E118" s="26" t="s">
        <v>45</v>
      </c>
      <c r="F118" s="27" t="s">
        <v>45</v>
      </c>
      <c r="G118" s="28" t="s">
        <v>45</v>
      </c>
      <c r="H118" s="29"/>
      <c r="I118" s="29" t="s">
        <v>46</v>
      </c>
      <c r="J118" s="30">
        <v>1</v>
      </c>
      <c r="K118" s="31">
        <f>19240</f>
        <v>19240</v>
      </c>
      <c r="L118" s="32" t="s">
        <v>995</v>
      </c>
      <c r="M118" s="31">
        <f>20495</f>
        <v>20495</v>
      </c>
      <c r="N118" s="32" t="s">
        <v>894</v>
      </c>
      <c r="O118" s="31">
        <f>19240</f>
        <v>19240</v>
      </c>
      <c r="P118" s="32" t="s">
        <v>995</v>
      </c>
      <c r="Q118" s="31">
        <f>19980</f>
        <v>19980</v>
      </c>
      <c r="R118" s="32" t="s">
        <v>791</v>
      </c>
      <c r="S118" s="33">
        <f>19859.25</f>
        <v>19859.25</v>
      </c>
      <c r="T118" s="30">
        <f>42676</f>
        <v>42676</v>
      </c>
      <c r="U118" s="30">
        <f>24775</f>
        <v>24775</v>
      </c>
      <c r="V118" s="30">
        <f>847365315</f>
        <v>847365315</v>
      </c>
      <c r="W118" s="30">
        <f>495674485</f>
        <v>495674485</v>
      </c>
      <c r="X118" s="34">
        <f>20</f>
        <v>20</v>
      </c>
    </row>
    <row r="119" spans="1:24" ht="13.5" customHeight="1" x14ac:dyDescent="0.15">
      <c r="A119" s="25" t="s">
        <v>1091</v>
      </c>
      <c r="B119" s="25" t="s">
        <v>384</v>
      </c>
      <c r="C119" s="25" t="s">
        <v>385</v>
      </c>
      <c r="D119" s="25" t="s">
        <v>386</v>
      </c>
      <c r="E119" s="26" t="s">
        <v>45</v>
      </c>
      <c r="F119" s="27" t="s">
        <v>45</v>
      </c>
      <c r="G119" s="28" t="s">
        <v>45</v>
      </c>
      <c r="H119" s="29"/>
      <c r="I119" s="29" t="s">
        <v>46</v>
      </c>
      <c r="J119" s="30">
        <v>10</v>
      </c>
      <c r="K119" s="31">
        <f>1907</f>
        <v>1907</v>
      </c>
      <c r="L119" s="32" t="s">
        <v>995</v>
      </c>
      <c r="M119" s="31">
        <f>1923.5</f>
        <v>1923.5</v>
      </c>
      <c r="N119" s="32" t="s">
        <v>1004</v>
      </c>
      <c r="O119" s="31">
        <f>1868</f>
        <v>1868</v>
      </c>
      <c r="P119" s="32" t="s">
        <v>789</v>
      </c>
      <c r="Q119" s="31">
        <f>1899.5</f>
        <v>1899.5</v>
      </c>
      <c r="R119" s="32" t="s">
        <v>791</v>
      </c>
      <c r="S119" s="33">
        <f>1899.13</f>
        <v>1899.13</v>
      </c>
      <c r="T119" s="30">
        <f>1329860</f>
        <v>1329860</v>
      </c>
      <c r="U119" s="30">
        <f>202000</f>
        <v>202000</v>
      </c>
      <c r="V119" s="30">
        <f>2522282790</f>
        <v>2522282790</v>
      </c>
      <c r="W119" s="30">
        <f>382717600</f>
        <v>382717600</v>
      </c>
      <c r="X119" s="34">
        <f>20</f>
        <v>20</v>
      </c>
    </row>
    <row r="120" spans="1:24" ht="13.5" customHeight="1" x14ac:dyDescent="0.15">
      <c r="A120" s="25" t="s">
        <v>1091</v>
      </c>
      <c r="B120" s="25" t="s">
        <v>387</v>
      </c>
      <c r="C120" s="25" t="s">
        <v>388</v>
      </c>
      <c r="D120" s="25" t="s">
        <v>389</v>
      </c>
      <c r="E120" s="26" t="s">
        <v>45</v>
      </c>
      <c r="F120" s="27" t="s">
        <v>45</v>
      </c>
      <c r="G120" s="28" t="s">
        <v>45</v>
      </c>
      <c r="H120" s="29"/>
      <c r="I120" s="29" t="s">
        <v>46</v>
      </c>
      <c r="J120" s="30">
        <v>10</v>
      </c>
      <c r="K120" s="31">
        <f>1797</f>
        <v>1797</v>
      </c>
      <c r="L120" s="32" t="s">
        <v>995</v>
      </c>
      <c r="M120" s="31">
        <f>1874</f>
        <v>1874</v>
      </c>
      <c r="N120" s="32" t="s">
        <v>790</v>
      </c>
      <c r="O120" s="31">
        <f>1779</f>
        <v>1779</v>
      </c>
      <c r="P120" s="32" t="s">
        <v>787</v>
      </c>
      <c r="Q120" s="31">
        <f>1857</f>
        <v>1857</v>
      </c>
      <c r="R120" s="32" t="s">
        <v>1001</v>
      </c>
      <c r="S120" s="33">
        <f>1825.39</f>
        <v>1825.39</v>
      </c>
      <c r="T120" s="30">
        <f>360</f>
        <v>360</v>
      </c>
      <c r="U120" s="30" t="str">
        <f>"－"</f>
        <v>－</v>
      </c>
      <c r="V120" s="30">
        <f>658165</f>
        <v>658165</v>
      </c>
      <c r="W120" s="30" t="str">
        <f>"－"</f>
        <v>－</v>
      </c>
      <c r="X120" s="34">
        <f>9</f>
        <v>9</v>
      </c>
    </row>
    <row r="121" spans="1:24" ht="13.5" customHeight="1" x14ac:dyDescent="0.15">
      <c r="A121" s="25" t="s">
        <v>1091</v>
      </c>
      <c r="B121" s="25" t="s">
        <v>390</v>
      </c>
      <c r="C121" s="25" t="s">
        <v>391</v>
      </c>
      <c r="D121" s="25" t="s">
        <v>392</v>
      </c>
      <c r="E121" s="26" t="s">
        <v>45</v>
      </c>
      <c r="F121" s="27" t="s">
        <v>45</v>
      </c>
      <c r="G121" s="28" t="s">
        <v>45</v>
      </c>
      <c r="H121" s="29"/>
      <c r="I121" s="29" t="s">
        <v>46</v>
      </c>
      <c r="J121" s="30">
        <v>10</v>
      </c>
      <c r="K121" s="31">
        <f>1920</f>
        <v>1920</v>
      </c>
      <c r="L121" s="32" t="s">
        <v>995</v>
      </c>
      <c r="M121" s="31">
        <f>1943</f>
        <v>1943</v>
      </c>
      <c r="N121" s="32" t="s">
        <v>792</v>
      </c>
      <c r="O121" s="31">
        <f>1884</f>
        <v>1884</v>
      </c>
      <c r="P121" s="32" t="s">
        <v>789</v>
      </c>
      <c r="Q121" s="31">
        <f>1922</f>
        <v>1922</v>
      </c>
      <c r="R121" s="32" t="s">
        <v>791</v>
      </c>
      <c r="S121" s="33">
        <f>1915.3</f>
        <v>1915.3</v>
      </c>
      <c r="T121" s="30">
        <f>2236220</f>
        <v>2236220</v>
      </c>
      <c r="U121" s="30">
        <f>542880</f>
        <v>542880</v>
      </c>
      <c r="V121" s="30">
        <f>4285251560</f>
        <v>4285251560</v>
      </c>
      <c r="W121" s="30">
        <f>1039961840</f>
        <v>1039961840</v>
      </c>
      <c r="X121" s="34">
        <f>20</f>
        <v>20</v>
      </c>
    </row>
    <row r="122" spans="1:24" ht="13.5" customHeight="1" x14ac:dyDescent="0.15">
      <c r="A122" s="25" t="s">
        <v>1091</v>
      </c>
      <c r="B122" s="25" t="s">
        <v>393</v>
      </c>
      <c r="C122" s="25" t="s">
        <v>1061</v>
      </c>
      <c r="D122" s="25" t="s">
        <v>1062</v>
      </c>
      <c r="E122" s="26" t="s">
        <v>45</v>
      </c>
      <c r="F122" s="27" t="s">
        <v>45</v>
      </c>
      <c r="G122" s="28" t="s">
        <v>45</v>
      </c>
      <c r="H122" s="29"/>
      <c r="I122" s="29" t="s">
        <v>46</v>
      </c>
      <c r="J122" s="30">
        <v>1</v>
      </c>
      <c r="K122" s="31">
        <f>19050</f>
        <v>19050</v>
      </c>
      <c r="L122" s="32" t="s">
        <v>995</v>
      </c>
      <c r="M122" s="31">
        <f>20300</f>
        <v>20300</v>
      </c>
      <c r="N122" s="32" t="s">
        <v>894</v>
      </c>
      <c r="O122" s="31">
        <f>19050</f>
        <v>19050</v>
      </c>
      <c r="P122" s="32" t="s">
        <v>995</v>
      </c>
      <c r="Q122" s="31">
        <f>19855</f>
        <v>19855</v>
      </c>
      <c r="R122" s="32" t="s">
        <v>791</v>
      </c>
      <c r="S122" s="33">
        <f>19708.61</f>
        <v>19708.61</v>
      </c>
      <c r="T122" s="30">
        <f>1233</f>
        <v>1233</v>
      </c>
      <c r="U122" s="30" t="str">
        <f>"－"</f>
        <v>－</v>
      </c>
      <c r="V122" s="30">
        <f>24399120</f>
        <v>24399120</v>
      </c>
      <c r="W122" s="30" t="str">
        <f>"－"</f>
        <v>－</v>
      </c>
      <c r="X122" s="34">
        <f>18</f>
        <v>18</v>
      </c>
    </row>
    <row r="123" spans="1:24" ht="13.5" customHeight="1" x14ac:dyDescent="0.15">
      <c r="A123" s="25" t="s">
        <v>1091</v>
      </c>
      <c r="B123" s="25" t="s">
        <v>396</v>
      </c>
      <c r="C123" s="25" t="s">
        <v>397</v>
      </c>
      <c r="D123" s="25" t="s">
        <v>398</v>
      </c>
      <c r="E123" s="26" t="s">
        <v>45</v>
      </c>
      <c r="F123" s="27" t="s">
        <v>45</v>
      </c>
      <c r="G123" s="28" t="s">
        <v>45</v>
      </c>
      <c r="H123" s="29"/>
      <c r="I123" s="29" t="s">
        <v>46</v>
      </c>
      <c r="J123" s="30">
        <v>100</v>
      </c>
      <c r="K123" s="31">
        <f>208.4</f>
        <v>208.4</v>
      </c>
      <c r="L123" s="32" t="s">
        <v>995</v>
      </c>
      <c r="M123" s="31">
        <f>220.5</f>
        <v>220.5</v>
      </c>
      <c r="N123" s="32" t="s">
        <v>788</v>
      </c>
      <c r="O123" s="31">
        <f>205.4</f>
        <v>205.4</v>
      </c>
      <c r="P123" s="32" t="s">
        <v>1004</v>
      </c>
      <c r="Q123" s="31">
        <f>214.3</f>
        <v>214.3</v>
      </c>
      <c r="R123" s="32" t="s">
        <v>791</v>
      </c>
      <c r="S123" s="33">
        <f>212.82</f>
        <v>212.82</v>
      </c>
      <c r="T123" s="30">
        <f>47660500</f>
        <v>47660500</v>
      </c>
      <c r="U123" s="30">
        <f>7557900</f>
        <v>7557900</v>
      </c>
      <c r="V123" s="30">
        <f>10190200630</f>
        <v>10190200630</v>
      </c>
      <c r="W123" s="30">
        <f>1600964260</f>
        <v>1600964260</v>
      </c>
      <c r="X123" s="34">
        <f>20</f>
        <v>20</v>
      </c>
    </row>
    <row r="124" spans="1:24" ht="13.5" customHeight="1" x14ac:dyDescent="0.15">
      <c r="A124" s="25" t="s">
        <v>1091</v>
      </c>
      <c r="B124" s="25" t="s">
        <v>399</v>
      </c>
      <c r="C124" s="25" t="s">
        <v>400</v>
      </c>
      <c r="D124" s="25" t="s">
        <v>401</v>
      </c>
      <c r="E124" s="26" t="s">
        <v>45</v>
      </c>
      <c r="F124" s="27" t="s">
        <v>45</v>
      </c>
      <c r="G124" s="28" t="s">
        <v>45</v>
      </c>
      <c r="H124" s="29"/>
      <c r="I124" s="29" t="s">
        <v>46</v>
      </c>
      <c r="J124" s="30">
        <v>1</v>
      </c>
      <c r="K124" s="31">
        <f>33080</f>
        <v>33080</v>
      </c>
      <c r="L124" s="32" t="s">
        <v>995</v>
      </c>
      <c r="M124" s="31">
        <f>34150</f>
        <v>34150</v>
      </c>
      <c r="N124" s="32" t="s">
        <v>792</v>
      </c>
      <c r="O124" s="31">
        <f>32120</f>
        <v>32120</v>
      </c>
      <c r="P124" s="32" t="s">
        <v>787</v>
      </c>
      <c r="Q124" s="31">
        <f>33000</f>
        <v>33000</v>
      </c>
      <c r="R124" s="32" t="s">
        <v>791</v>
      </c>
      <c r="S124" s="33">
        <f>33332</f>
        <v>33332</v>
      </c>
      <c r="T124" s="30">
        <f>3424</f>
        <v>3424</v>
      </c>
      <c r="U124" s="30" t="str">
        <f>"－"</f>
        <v>－</v>
      </c>
      <c r="V124" s="30">
        <f>114524200</f>
        <v>114524200</v>
      </c>
      <c r="W124" s="30" t="str">
        <f>"－"</f>
        <v>－</v>
      </c>
      <c r="X124" s="34">
        <f>20</f>
        <v>20</v>
      </c>
    </row>
    <row r="125" spans="1:24" ht="13.5" customHeight="1" x14ac:dyDescent="0.15">
      <c r="A125" s="25" t="s">
        <v>1091</v>
      </c>
      <c r="B125" s="25" t="s">
        <v>402</v>
      </c>
      <c r="C125" s="25" t="s">
        <v>403</v>
      </c>
      <c r="D125" s="25" t="s">
        <v>404</v>
      </c>
      <c r="E125" s="26" t="s">
        <v>45</v>
      </c>
      <c r="F125" s="27" t="s">
        <v>45</v>
      </c>
      <c r="G125" s="28" t="s">
        <v>45</v>
      </c>
      <c r="H125" s="29"/>
      <c r="I125" s="29" t="s">
        <v>46</v>
      </c>
      <c r="J125" s="30">
        <v>1</v>
      </c>
      <c r="K125" s="31">
        <f>13870</f>
        <v>13870</v>
      </c>
      <c r="L125" s="32" t="s">
        <v>995</v>
      </c>
      <c r="M125" s="31">
        <f>14015</f>
        <v>14015</v>
      </c>
      <c r="N125" s="32" t="s">
        <v>789</v>
      </c>
      <c r="O125" s="31">
        <f>13330</f>
        <v>13330</v>
      </c>
      <c r="P125" s="32" t="s">
        <v>791</v>
      </c>
      <c r="Q125" s="31">
        <f>13390</f>
        <v>13390</v>
      </c>
      <c r="R125" s="32" t="s">
        <v>791</v>
      </c>
      <c r="S125" s="33">
        <f>13705.75</f>
        <v>13705.75</v>
      </c>
      <c r="T125" s="30">
        <f>7522</f>
        <v>7522</v>
      </c>
      <c r="U125" s="30" t="str">
        <f>"－"</f>
        <v>－</v>
      </c>
      <c r="V125" s="30">
        <f>103091605</f>
        <v>103091605</v>
      </c>
      <c r="W125" s="30" t="str">
        <f>"－"</f>
        <v>－</v>
      </c>
      <c r="X125" s="34">
        <f>20</f>
        <v>20</v>
      </c>
    </row>
    <row r="126" spans="1:24" ht="13.5" customHeight="1" x14ac:dyDescent="0.15">
      <c r="A126" s="25" t="s">
        <v>1091</v>
      </c>
      <c r="B126" s="25" t="s">
        <v>405</v>
      </c>
      <c r="C126" s="25" t="s">
        <v>406</v>
      </c>
      <c r="D126" s="25" t="s">
        <v>407</v>
      </c>
      <c r="E126" s="26" t="s">
        <v>45</v>
      </c>
      <c r="F126" s="27" t="s">
        <v>45</v>
      </c>
      <c r="G126" s="28" t="s">
        <v>45</v>
      </c>
      <c r="H126" s="29"/>
      <c r="I126" s="29" t="s">
        <v>46</v>
      </c>
      <c r="J126" s="30">
        <v>1</v>
      </c>
      <c r="K126" s="31">
        <f>23645</f>
        <v>23645</v>
      </c>
      <c r="L126" s="32" t="s">
        <v>995</v>
      </c>
      <c r="M126" s="31">
        <f>24695</f>
        <v>24695</v>
      </c>
      <c r="N126" s="32" t="s">
        <v>894</v>
      </c>
      <c r="O126" s="31">
        <f>23575</f>
        <v>23575</v>
      </c>
      <c r="P126" s="32" t="s">
        <v>995</v>
      </c>
      <c r="Q126" s="31">
        <f>23750</f>
        <v>23750</v>
      </c>
      <c r="R126" s="32" t="s">
        <v>791</v>
      </c>
      <c r="S126" s="33">
        <f>24155.5</f>
        <v>24155.5</v>
      </c>
      <c r="T126" s="30">
        <f>2433</f>
        <v>2433</v>
      </c>
      <c r="U126" s="30" t="str">
        <f>"－"</f>
        <v>－</v>
      </c>
      <c r="V126" s="30">
        <f>58878035</f>
        <v>58878035</v>
      </c>
      <c r="W126" s="30" t="str">
        <f>"－"</f>
        <v>－</v>
      </c>
      <c r="X126" s="34">
        <f>20</f>
        <v>20</v>
      </c>
    </row>
    <row r="127" spans="1:24" ht="13.5" customHeight="1" x14ac:dyDescent="0.15">
      <c r="A127" s="25" t="s">
        <v>1091</v>
      </c>
      <c r="B127" s="25" t="s">
        <v>408</v>
      </c>
      <c r="C127" s="25" t="s">
        <v>409</v>
      </c>
      <c r="D127" s="25" t="s">
        <v>410</v>
      </c>
      <c r="E127" s="26" t="s">
        <v>45</v>
      </c>
      <c r="F127" s="27" t="s">
        <v>45</v>
      </c>
      <c r="G127" s="28" t="s">
        <v>45</v>
      </c>
      <c r="H127" s="29"/>
      <c r="I127" s="29" t="s">
        <v>46</v>
      </c>
      <c r="J127" s="30">
        <v>1</v>
      </c>
      <c r="K127" s="31">
        <f>26520</f>
        <v>26520</v>
      </c>
      <c r="L127" s="32" t="s">
        <v>995</v>
      </c>
      <c r="M127" s="31">
        <f>27565</f>
        <v>27565</v>
      </c>
      <c r="N127" s="32" t="s">
        <v>894</v>
      </c>
      <c r="O127" s="31">
        <f>26260</f>
        <v>26260</v>
      </c>
      <c r="P127" s="32" t="s">
        <v>1004</v>
      </c>
      <c r="Q127" s="31">
        <f>26530</f>
        <v>26530</v>
      </c>
      <c r="R127" s="32" t="s">
        <v>791</v>
      </c>
      <c r="S127" s="33">
        <f>26791.25</f>
        <v>26791.25</v>
      </c>
      <c r="T127" s="30">
        <f>1603</f>
        <v>1603</v>
      </c>
      <c r="U127" s="30" t="str">
        <f>"－"</f>
        <v>－</v>
      </c>
      <c r="V127" s="30">
        <f>42899720</f>
        <v>42899720</v>
      </c>
      <c r="W127" s="30" t="str">
        <f>"－"</f>
        <v>－</v>
      </c>
      <c r="X127" s="34">
        <f>20</f>
        <v>20</v>
      </c>
    </row>
    <row r="128" spans="1:24" ht="13.5" customHeight="1" x14ac:dyDescent="0.15">
      <c r="A128" s="25" t="s">
        <v>1091</v>
      </c>
      <c r="B128" s="25" t="s">
        <v>411</v>
      </c>
      <c r="C128" s="25" t="s">
        <v>412</v>
      </c>
      <c r="D128" s="25" t="s">
        <v>413</v>
      </c>
      <c r="E128" s="26" t="s">
        <v>45</v>
      </c>
      <c r="F128" s="27" t="s">
        <v>45</v>
      </c>
      <c r="G128" s="28" t="s">
        <v>45</v>
      </c>
      <c r="H128" s="29"/>
      <c r="I128" s="29" t="s">
        <v>46</v>
      </c>
      <c r="J128" s="30">
        <v>1</v>
      </c>
      <c r="K128" s="31">
        <f>26850</f>
        <v>26850</v>
      </c>
      <c r="L128" s="32" t="s">
        <v>995</v>
      </c>
      <c r="M128" s="31">
        <f>28350</f>
        <v>28350</v>
      </c>
      <c r="N128" s="32" t="s">
        <v>894</v>
      </c>
      <c r="O128" s="31">
        <f>26490</f>
        <v>26490</v>
      </c>
      <c r="P128" s="32" t="s">
        <v>787</v>
      </c>
      <c r="Q128" s="31">
        <f>27240</f>
        <v>27240</v>
      </c>
      <c r="R128" s="32" t="s">
        <v>791</v>
      </c>
      <c r="S128" s="33">
        <f>27434.25</f>
        <v>27434.25</v>
      </c>
      <c r="T128" s="30">
        <f>3593</f>
        <v>3593</v>
      </c>
      <c r="U128" s="30" t="str">
        <f>"－"</f>
        <v>－</v>
      </c>
      <c r="V128" s="30">
        <f>98079895</f>
        <v>98079895</v>
      </c>
      <c r="W128" s="30" t="str">
        <f>"－"</f>
        <v>－</v>
      </c>
      <c r="X128" s="34">
        <f>20</f>
        <v>20</v>
      </c>
    </row>
    <row r="129" spans="1:24" ht="13.5" customHeight="1" x14ac:dyDescent="0.15">
      <c r="A129" s="25" t="s">
        <v>1091</v>
      </c>
      <c r="B129" s="25" t="s">
        <v>414</v>
      </c>
      <c r="C129" s="25" t="s">
        <v>415</v>
      </c>
      <c r="D129" s="25" t="s">
        <v>416</v>
      </c>
      <c r="E129" s="26" t="s">
        <v>45</v>
      </c>
      <c r="F129" s="27" t="s">
        <v>45</v>
      </c>
      <c r="G129" s="28" t="s">
        <v>45</v>
      </c>
      <c r="H129" s="29"/>
      <c r="I129" s="29" t="s">
        <v>46</v>
      </c>
      <c r="J129" s="30">
        <v>1</v>
      </c>
      <c r="K129" s="31">
        <f>23905</f>
        <v>23905</v>
      </c>
      <c r="L129" s="32" t="s">
        <v>995</v>
      </c>
      <c r="M129" s="31">
        <f>25265</f>
        <v>25265</v>
      </c>
      <c r="N129" s="32" t="s">
        <v>894</v>
      </c>
      <c r="O129" s="31">
        <f>23610</f>
        <v>23610</v>
      </c>
      <c r="P129" s="32" t="s">
        <v>1000</v>
      </c>
      <c r="Q129" s="31">
        <f>24570</f>
        <v>24570</v>
      </c>
      <c r="R129" s="32" t="s">
        <v>791</v>
      </c>
      <c r="S129" s="33">
        <f>24509.25</f>
        <v>24509.25</v>
      </c>
      <c r="T129" s="30">
        <f>5094</f>
        <v>5094</v>
      </c>
      <c r="U129" s="30">
        <f>4</f>
        <v>4</v>
      </c>
      <c r="V129" s="30">
        <f>125026200</f>
        <v>125026200</v>
      </c>
      <c r="W129" s="30">
        <f>97015</f>
        <v>97015</v>
      </c>
      <c r="X129" s="34">
        <f>20</f>
        <v>20</v>
      </c>
    </row>
    <row r="130" spans="1:24" ht="13.5" customHeight="1" x14ac:dyDescent="0.15">
      <c r="A130" s="25" t="s">
        <v>1091</v>
      </c>
      <c r="B130" s="25" t="s">
        <v>417</v>
      </c>
      <c r="C130" s="25" t="s">
        <v>418</v>
      </c>
      <c r="D130" s="25" t="s">
        <v>419</v>
      </c>
      <c r="E130" s="26" t="s">
        <v>45</v>
      </c>
      <c r="F130" s="27" t="s">
        <v>45</v>
      </c>
      <c r="G130" s="28" t="s">
        <v>45</v>
      </c>
      <c r="H130" s="29"/>
      <c r="I130" s="29" t="s">
        <v>46</v>
      </c>
      <c r="J130" s="30">
        <v>1</v>
      </c>
      <c r="K130" s="31">
        <f>20375</f>
        <v>20375</v>
      </c>
      <c r="L130" s="32" t="s">
        <v>995</v>
      </c>
      <c r="M130" s="31">
        <f>21600</f>
        <v>21600</v>
      </c>
      <c r="N130" s="32" t="s">
        <v>875</v>
      </c>
      <c r="O130" s="31">
        <f>19680</f>
        <v>19680</v>
      </c>
      <c r="P130" s="32" t="s">
        <v>791</v>
      </c>
      <c r="Q130" s="31">
        <f>19800</f>
        <v>19800</v>
      </c>
      <c r="R130" s="32" t="s">
        <v>791</v>
      </c>
      <c r="S130" s="33">
        <f>20338.5</f>
        <v>20338.5</v>
      </c>
      <c r="T130" s="30">
        <f>22011</f>
        <v>22011</v>
      </c>
      <c r="U130" s="30">
        <f>10000</f>
        <v>10000</v>
      </c>
      <c r="V130" s="30">
        <f>448052185</f>
        <v>448052185</v>
      </c>
      <c r="W130" s="30">
        <f>202870000</f>
        <v>202870000</v>
      </c>
      <c r="X130" s="34">
        <f>20</f>
        <v>20</v>
      </c>
    </row>
    <row r="131" spans="1:24" ht="13.5" customHeight="1" x14ac:dyDescent="0.15">
      <c r="A131" s="25" t="s">
        <v>1091</v>
      </c>
      <c r="B131" s="25" t="s">
        <v>420</v>
      </c>
      <c r="C131" s="25" t="s">
        <v>421</v>
      </c>
      <c r="D131" s="25" t="s">
        <v>422</v>
      </c>
      <c r="E131" s="26" t="s">
        <v>45</v>
      </c>
      <c r="F131" s="27" t="s">
        <v>45</v>
      </c>
      <c r="G131" s="28" t="s">
        <v>45</v>
      </c>
      <c r="H131" s="29"/>
      <c r="I131" s="29" t="s">
        <v>46</v>
      </c>
      <c r="J131" s="30">
        <v>1</v>
      </c>
      <c r="K131" s="31">
        <f>42760</f>
        <v>42760</v>
      </c>
      <c r="L131" s="32" t="s">
        <v>995</v>
      </c>
      <c r="M131" s="31">
        <f>46190</f>
        <v>46190</v>
      </c>
      <c r="N131" s="32" t="s">
        <v>1017</v>
      </c>
      <c r="O131" s="31">
        <f>42760</f>
        <v>42760</v>
      </c>
      <c r="P131" s="32" t="s">
        <v>995</v>
      </c>
      <c r="Q131" s="31">
        <f>44670</f>
        <v>44670</v>
      </c>
      <c r="R131" s="32" t="s">
        <v>791</v>
      </c>
      <c r="S131" s="33">
        <f>44469</f>
        <v>44469</v>
      </c>
      <c r="T131" s="30">
        <f>1125</f>
        <v>1125</v>
      </c>
      <c r="U131" s="30" t="str">
        <f>"－"</f>
        <v>－</v>
      </c>
      <c r="V131" s="30">
        <f>50232920</f>
        <v>50232920</v>
      </c>
      <c r="W131" s="30" t="str">
        <f>"－"</f>
        <v>－</v>
      </c>
      <c r="X131" s="34">
        <f>20</f>
        <v>20</v>
      </c>
    </row>
    <row r="132" spans="1:24" ht="13.5" customHeight="1" x14ac:dyDescent="0.15">
      <c r="A132" s="25" t="s">
        <v>1091</v>
      </c>
      <c r="B132" s="25" t="s">
        <v>423</v>
      </c>
      <c r="C132" s="25" t="s">
        <v>424</v>
      </c>
      <c r="D132" s="25" t="s">
        <v>425</v>
      </c>
      <c r="E132" s="26" t="s">
        <v>45</v>
      </c>
      <c r="F132" s="27" t="s">
        <v>45</v>
      </c>
      <c r="G132" s="28" t="s">
        <v>45</v>
      </c>
      <c r="H132" s="29"/>
      <c r="I132" s="29" t="s">
        <v>46</v>
      </c>
      <c r="J132" s="30">
        <v>1</v>
      </c>
      <c r="K132" s="31">
        <f>28860</f>
        <v>28860</v>
      </c>
      <c r="L132" s="32" t="s">
        <v>995</v>
      </c>
      <c r="M132" s="31">
        <f>32270</f>
        <v>32270</v>
      </c>
      <c r="N132" s="32" t="s">
        <v>1017</v>
      </c>
      <c r="O132" s="31">
        <f>28810</f>
        <v>28810</v>
      </c>
      <c r="P132" s="32" t="s">
        <v>995</v>
      </c>
      <c r="Q132" s="31">
        <f>31770</f>
        <v>31770</v>
      </c>
      <c r="R132" s="32" t="s">
        <v>791</v>
      </c>
      <c r="S132" s="33">
        <f>30524</f>
        <v>30524</v>
      </c>
      <c r="T132" s="30">
        <f>13863</f>
        <v>13863</v>
      </c>
      <c r="U132" s="30" t="str">
        <f>"－"</f>
        <v>－</v>
      </c>
      <c r="V132" s="30">
        <f>433039450</f>
        <v>433039450</v>
      </c>
      <c r="W132" s="30" t="str">
        <f>"－"</f>
        <v>－</v>
      </c>
      <c r="X132" s="34">
        <f>20</f>
        <v>20</v>
      </c>
    </row>
    <row r="133" spans="1:24" ht="13.5" customHeight="1" x14ac:dyDescent="0.15">
      <c r="A133" s="25" t="s">
        <v>1091</v>
      </c>
      <c r="B133" s="25" t="s">
        <v>426</v>
      </c>
      <c r="C133" s="25" t="s">
        <v>427</v>
      </c>
      <c r="D133" s="25" t="s">
        <v>428</v>
      </c>
      <c r="E133" s="26" t="s">
        <v>45</v>
      </c>
      <c r="F133" s="27" t="s">
        <v>45</v>
      </c>
      <c r="G133" s="28" t="s">
        <v>45</v>
      </c>
      <c r="H133" s="29"/>
      <c r="I133" s="29" t="s">
        <v>46</v>
      </c>
      <c r="J133" s="30">
        <v>1</v>
      </c>
      <c r="K133" s="31">
        <f>28985</f>
        <v>28985</v>
      </c>
      <c r="L133" s="32" t="s">
        <v>995</v>
      </c>
      <c r="M133" s="31">
        <f>30230</f>
        <v>30230</v>
      </c>
      <c r="N133" s="32" t="s">
        <v>894</v>
      </c>
      <c r="O133" s="31">
        <f>28785</f>
        <v>28785</v>
      </c>
      <c r="P133" s="32" t="s">
        <v>1000</v>
      </c>
      <c r="Q133" s="31">
        <f>29140</f>
        <v>29140</v>
      </c>
      <c r="R133" s="32" t="s">
        <v>791</v>
      </c>
      <c r="S133" s="33">
        <f>29352.5</f>
        <v>29352.5</v>
      </c>
      <c r="T133" s="30">
        <f>2081</f>
        <v>2081</v>
      </c>
      <c r="U133" s="30" t="str">
        <f>"－"</f>
        <v>－</v>
      </c>
      <c r="V133" s="30">
        <f>61459685</f>
        <v>61459685</v>
      </c>
      <c r="W133" s="30" t="str">
        <f>"－"</f>
        <v>－</v>
      </c>
      <c r="X133" s="34">
        <f>20</f>
        <v>20</v>
      </c>
    </row>
    <row r="134" spans="1:24" ht="13.5" customHeight="1" x14ac:dyDescent="0.15">
      <c r="A134" s="25" t="s">
        <v>1091</v>
      </c>
      <c r="B134" s="25" t="s">
        <v>429</v>
      </c>
      <c r="C134" s="25" t="s">
        <v>430</v>
      </c>
      <c r="D134" s="25" t="s">
        <v>431</v>
      </c>
      <c r="E134" s="26" t="s">
        <v>45</v>
      </c>
      <c r="F134" s="27" t="s">
        <v>45</v>
      </c>
      <c r="G134" s="28" t="s">
        <v>45</v>
      </c>
      <c r="H134" s="29"/>
      <c r="I134" s="29" t="s">
        <v>46</v>
      </c>
      <c r="J134" s="30">
        <v>1</v>
      </c>
      <c r="K134" s="31">
        <f>6600</f>
        <v>6600</v>
      </c>
      <c r="L134" s="32" t="s">
        <v>995</v>
      </c>
      <c r="M134" s="31">
        <f>7094</f>
        <v>7094</v>
      </c>
      <c r="N134" s="32" t="s">
        <v>793</v>
      </c>
      <c r="O134" s="31">
        <f>6575</f>
        <v>6575</v>
      </c>
      <c r="P134" s="32" t="s">
        <v>999</v>
      </c>
      <c r="Q134" s="31">
        <f>6920</f>
        <v>6920</v>
      </c>
      <c r="R134" s="32" t="s">
        <v>791</v>
      </c>
      <c r="S134" s="33">
        <f>6822.9</f>
        <v>6822.9</v>
      </c>
      <c r="T134" s="30">
        <f>104727</f>
        <v>104727</v>
      </c>
      <c r="U134" s="30">
        <f>44000</f>
        <v>44000</v>
      </c>
      <c r="V134" s="30">
        <f>717488840</f>
        <v>717488840</v>
      </c>
      <c r="W134" s="30">
        <f>299226400</f>
        <v>299226400</v>
      </c>
      <c r="X134" s="34">
        <f>20</f>
        <v>20</v>
      </c>
    </row>
    <row r="135" spans="1:24" ht="13.5" customHeight="1" x14ac:dyDescent="0.15">
      <c r="A135" s="25" t="s">
        <v>1091</v>
      </c>
      <c r="B135" s="25" t="s">
        <v>432</v>
      </c>
      <c r="C135" s="25" t="s">
        <v>433</v>
      </c>
      <c r="D135" s="25" t="s">
        <v>434</v>
      </c>
      <c r="E135" s="26" t="s">
        <v>45</v>
      </c>
      <c r="F135" s="27" t="s">
        <v>45</v>
      </c>
      <c r="G135" s="28" t="s">
        <v>45</v>
      </c>
      <c r="H135" s="29"/>
      <c r="I135" s="29" t="s">
        <v>46</v>
      </c>
      <c r="J135" s="30">
        <v>1</v>
      </c>
      <c r="K135" s="31">
        <f>17145</f>
        <v>17145</v>
      </c>
      <c r="L135" s="32" t="s">
        <v>995</v>
      </c>
      <c r="M135" s="31">
        <f>17935</f>
        <v>17935</v>
      </c>
      <c r="N135" s="32" t="s">
        <v>788</v>
      </c>
      <c r="O135" s="31">
        <f>17005</f>
        <v>17005</v>
      </c>
      <c r="P135" s="32" t="s">
        <v>791</v>
      </c>
      <c r="Q135" s="31">
        <f>17050</f>
        <v>17050</v>
      </c>
      <c r="R135" s="32" t="s">
        <v>791</v>
      </c>
      <c r="S135" s="33">
        <f>17461.25</f>
        <v>17461.25</v>
      </c>
      <c r="T135" s="30">
        <f>9429</f>
        <v>9429</v>
      </c>
      <c r="U135" s="30" t="str">
        <f>"－"</f>
        <v>－</v>
      </c>
      <c r="V135" s="30">
        <f>164548215</f>
        <v>164548215</v>
      </c>
      <c r="W135" s="30" t="str">
        <f>"－"</f>
        <v>－</v>
      </c>
      <c r="X135" s="34">
        <f>20</f>
        <v>20</v>
      </c>
    </row>
    <row r="136" spans="1:24" ht="13.5" customHeight="1" x14ac:dyDescent="0.15">
      <c r="A136" s="25" t="s">
        <v>1091</v>
      </c>
      <c r="B136" s="25" t="s">
        <v>435</v>
      </c>
      <c r="C136" s="25" t="s">
        <v>436</v>
      </c>
      <c r="D136" s="25" t="s">
        <v>437</v>
      </c>
      <c r="E136" s="26" t="s">
        <v>45</v>
      </c>
      <c r="F136" s="27" t="s">
        <v>45</v>
      </c>
      <c r="G136" s="28" t="s">
        <v>45</v>
      </c>
      <c r="H136" s="29"/>
      <c r="I136" s="29" t="s">
        <v>46</v>
      </c>
      <c r="J136" s="30">
        <v>1</v>
      </c>
      <c r="K136" s="31">
        <f>58110</f>
        <v>58110</v>
      </c>
      <c r="L136" s="32" t="s">
        <v>995</v>
      </c>
      <c r="M136" s="31">
        <f>63130</f>
        <v>63130</v>
      </c>
      <c r="N136" s="32" t="s">
        <v>1017</v>
      </c>
      <c r="O136" s="31">
        <f>57580</f>
        <v>57580</v>
      </c>
      <c r="P136" s="32" t="s">
        <v>999</v>
      </c>
      <c r="Q136" s="31">
        <f>61040</f>
        <v>61040</v>
      </c>
      <c r="R136" s="32" t="s">
        <v>791</v>
      </c>
      <c r="S136" s="33">
        <f>60336</f>
        <v>60336</v>
      </c>
      <c r="T136" s="30">
        <f>19943</f>
        <v>19943</v>
      </c>
      <c r="U136" s="30">
        <f>1004</f>
        <v>1004</v>
      </c>
      <c r="V136" s="30">
        <f>1204962950</f>
        <v>1204962950</v>
      </c>
      <c r="W136" s="30">
        <f>60140320</f>
        <v>60140320</v>
      </c>
      <c r="X136" s="34">
        <f>20</f>
        <v>20</v>
      </c>
    </row>
    <row r="137" spans="1:24" ht="13.5" customHeight="1" x14ac:dyDescent="0.15">
      <c r="A137" s="25" t="s">
        <v>1091</v>
      </c>
      <c r="B137" s="25" t="s">
        <v>438</v>
      </c>
      <c r="C137" s="25" t="s">
        <v>439</v>
      </c>
      <c r="D137" s="25" t="s">
        <v>440</v>
      </c>
      <c r="E137" s="26" t="s">
        <v>45</v>
      </c>
      <c r="F137" s="27" t="s">
        <v>45</v>
      </c>
      <c r="G137" s="28" t="s">
        <v>45</v>
      </c>
      <c r="H137" s="29"/>
      <c r="I137" s="29" t="s">
        <v>46</v>
      </c>
      <c r="J137" s="30">
        <v>1</v>
      </c>
      <c r="K137" s="31">
        <f>24790</f>
        <v>24790</v>
      </c>
      <c r="L137" s="32" t="s">
        <v>995</v>
      </c>
      <c r="M137" s="31">
        <f>25990</f>
        <v>25990</v>
      </c>
      <c r="N137" s="32" t="s">
        <v>788</v>
      </c>
      <c r="O137" s="31">
        <f>24450</f>
        <v>24450</v>
      </c>
      <c r="P137" s="32" t="s">
        <v>791</v>
      </c>
      <c r="Q137" s="31">
        <f>24450</f>
        <v>24450</v>
      </c>
      <c r="R137" s="32" t="s">
        <v>791</v>
      </c>
      <c r="S137" s="33">
        <f>25137.25</f>
        <v>25137.25</v>
      </c>
      <c r="T137" s="30">
        <f>5883</f>
        <v>5883</v>
      </c>
      <c r="U137" s="30" t="str">
        <f>"－"</f>
        <v>－</v>
      </c>
      <c r="V137" s="30">
        <f>147044260</f>
        <v>147044260</v>
      </c>
      <c r="W137" s="30" t="str">
        <f>"－"</f>
        <v>－</v>
      </c>
      <c r="X137" s="34">
        <f>20</f>
        <v>20</v>
      </c>
    </row>
    <row r="138" spans="1:24" ht="13.5" customHeight="1" x14ac:dyDescent="0.15">
      <c r="A138" s="25" t="s">
        <v>1091</v>
      </c>
      <c r="B138" s="25" t="s">
        <v>441</v>
      </c>
      <c r="C138" s="25" t="s">
        <v>442</v>
      </c>
      <c r="D138" s="25" t="s">
        <v>443</v>
      </c>
      <c r="E138" s="26" t="s">
        <v>45</v>
      </c>
      <c r="F138" s="27" t="s">
        <v>45</v>
      </c>
      <c r="G138" s="28" t="s">
        <v>45</v>
      </c>
      <c r="H138" s="29"/>
      <c r="I138" s="29" t="s">
        <v>46</v>
      </c>
      <c r="J138" s="30">
        <v>1</v>
      </c>
      <c r="K138" s="31">
        <f>10810</f>
        <v>10810</v>
      </c>
      <c r="L138" s="32" t="s">
        <v>995</v>
      </c>
      <c r="M138" s="31">
        <f>11425</f>
        <v>11425</v>
      </c>
      <c r="N138" s="32" t="s">
        <v>788</v>
      </c>
      <c r="O138" s="31">
        <f>10650</f>
        <v>10650</v>
      </c>
      <c r="P138" s="32" t="s">
        <v>1004</v>
      </c>
      <c r="Q138" s="31">
        <f>11135</f>
        <v>11135</v>
      </c>
      <c r="R138" s="32" t="s">
        <v>791</v>
      </c>
      <c r="S138" s="33">
        <f>11037.5</f>
        <v>11037.5</v>
      </c>
      <c r="T138" s="30">
        <f>49356</f>
        <v>49356</v>
      </c>
      <c r="U138" s="30">
        <f>18905</f>
        <v>18905</v>
      </c>
      <c r="V138" s="30">
        <f>547869715</f>
        <v>547869715</v>
      </c>
      <c r="W138" s="30">
        <f>210332150</f>
        <v>210332150</v>
      </c>
      <c r="X138" s="34">
        <f>20</f>
        <v>20</v>
      </c>
    </row>
    <row r="139" spans="1:24" ht="13.5" customHeight="1" x14ac:dyDescent="0.15">
      <c r="A139" s="25" t="s">
        <v>1091</v>
      </c>
      <c r="B139" s="25" t="s">
        <v>444</v>
      </c>
      <c r="C139" s="25" t="s">
        <v>445</v>
      </c>
      <c r="D139" s="25" t="s">
        <v>446</v>
      </c>
      <c r="E139" s="26" t="s">
        <v>45</v>
      </c>
      <c r="F139" s="27" t="s">
        <v>45</v>
      </c>
      <c r="G139" s="28" t="s">
        <v>45</v>
      </c>
      <c r="H139" s="29"/>
      <c r="I139" s="29" t="s">
        <v>46</v>
      </c>
      <c r="J139" s="30">
        <v>1</v>
      </c>
      <c r="K139" s="31">
        <f>15760</f>
        <v>15760</v>
      </c>
      <c r="L139" s="32" t="s">
        <v>995</v>
      </c>
      <c r="M139" s="31">
        <f>16765</f>
        <v>16765</v>
      </c>
      <c r="N139" s="32" t="s">
        <v>893</v>
      </c>
      <c r="O139" s="31">
        <f>15555</f>
        <v>15555</v>
      </c>
      <c r="P139" s="32" t="s">
        <v>1000</v>
      </c>
      <c r="Q139" s="31">
        <f>16230</f>
        <v>16230</v>
      </c>
      <c r="R139" s="32" t="s">
        <v>791</v>
      </c>
      <c r="S139" s="33">
        <f>16157.75</f>
        <v>16157.75</v>
      </c>
      <c r="T139" s="30">
        <f>8136</f>
        <v>8136</v>
      </c>
      <c r="U139" s="30">
        <f>1691</f>
        <v>1691</v>
      </c>
      <c r="V139" s="30">
        <f>131880019</f>
        <v>131880019</v>
      </c>
      <c r="W139" s="30">
        <f>27510979</f>
        <v>27510979</v>
      </c>
      <c r="X139" s="34">
        <f>20</f>
        <v>20</v>
      </c>
    </row>
    <row r="140" spans="1:24" ht="13.5" customHeight="1" x14ac:dyDescent="0.15">
      <c r="A140" s="25" t="s">
        <v>1091</v>
      </c>
      <c r="B140" s="25" t="s">
        <v>447</v>
      </c>
      <c r="C140" s="25" t="s">
        <v>448</v>
      </c>
      <c r="D140" s="25" t="s">
        <v>449</v>
      </c>
      <c r="E140" s="26" t="s">
        <v>45</v>
      </c>
      <c r="F140" s="27" t="s">
        <v>45</v>
      </c>
      <c r="G140" s="28" t="s">
        <v>45</v>
      </c>
      <c r="H140" s="29"/>
      <c r="I140" s="29" t="s">
        <v>46</v>
      </c>
      <c r="J140" s="30">
        <v>1</v>
      </c>
      <c r="K140" s="31">
        <f>29630</f>
        <v>29630</v>
      </c>
      <c r="L140" s="32" t="s">
        <v>995</v>
      </c>
      <c r="M140" s="31">
        <f>30550</f>
        <v>30550</v>
      </c>
      <c r="N140" s="32" t="s">
        <v>894</v>
      </c>
      <c r="O140" s="31">
        <f>29390</f>
        <v>29390</v>
      </c>
      <c r="P140" s="32" t="s">
        <v>789</v>
      </c>
      <c r="Q140" s="31">
        <f>29655</f>
        <v>29655</v>
      </c>
      <c r="R140" s="32" t="s">
        <v>791</v>
      </c>
      <c r="S140" s="33">
        <f>29877.5</f>
        <v>29877.5</v>
      </c>
      <c r="T140" s="30">
        <f>2067</f>
        <v>2067</v>
      </c>
      <c r="U140" s="30">
        <f>1</f>
        <v>1</v>
      </c>
      <c r="V140" s="30">
        <f>61940920</f>
        <v>61940920</v>
      </c>
      <c r="W140" s="30">
        <f>30110</f>
        <v>30110</v>
      </c>
      <c r="X140" s="34">
        <f>20</f>
        <v>20</v>
      </c>
    </row>
    <row r="141" spans="1:24" ht="13.5" customHeight="1" x14ac:dyDescent="0.15">
      <c r="A141" s="25" t="s">
        <v>1091</v>
      </c>
      <c r="B141" s="25" t="s">
        <v>450</v>
      </c>
      <c r="C141" s="25" t="s">
        <v>1063</v>
      </c>
      <c r="D141" s="25" t="s">
        <v>1064</v>
      </c>
      <c r="E141" s="26" t="s">
        <v>45</v>
      </c>
      <c r="F141" s="27" t="s">
        <v>45</v>
      </c>
      <c r="G141" s="28" t="s">
        <v>45</v>
      </c>
      <c r="H141" s="29"/>
      <c r="I141" s="29" t="s">
        <v>46</v>
      </c>
      <c r="J141" s="30">
        <v>10</v>
      </c>
      <c r="K141" s="31">
        <f>1390</f>
        <v>1390</v>
      </c>
      <c r="L141" s="32" t="s">
        <v>995</v>
      </c>
      <c r="M141" s="31">
        <f>1438</f>
        <v>1438</v>
      </c>
      <c r="N141" s="32" t="s">
        <v>894</v>
      </c>
      <c r="O141" s="31">
        <f>1370</f>
        <v>1370</v>
      </c>
      <c r="P141" s="32" t="s">
        <v>787</v>
      </c>
      <c r="Q141" s="31">
        <f>1407</f>
        <v>1407</v>
      </c>
      <c r="R141" s="32" t="s">
        <v>791</v>
      </c>
      <c r="S141" s="33">
        <f>1408.08</f>
        <v>1408.08</v>
      </c>
      <c r="T141" s="30">
        <f>582300</f>
        <v>582300</v>
      </c>
      <c r="U141" s="30">
        <f>210020</f>
        <v>210020</v>
      </c>
      <c r="V141" s="30">
        <f>815717690</f>
        <v>815717690</v>
      </c>
      <c r="W141" s="30">
        <f>294669500</f>
        <v>294669500</v>
      </c>
      <c r="X141" s="34">
        <f>20</f>
        <v>20</v>
      </c>
    </row>
    <row r="142" spans="1:24" ht="13.5" customHeight="1" x14ac:dyDescent="0.15">
      <c r="A142" s="25" t="s">
        <v>1091</v>
      </c>
      <c r="B142" s="25" t="s">
        <v>453</v>
      </c>
      <c r="C142" s="25" t="s">
        <v>1065</v>
      </c>
      <c r="D142" s="25" t="s">
        <v>1066</v>
      </c>
      <c r="E142" s="26" t="s">
        <v>45</v>
      </c>
      <c r="F142" s="27" t="s">
        <v>45</v>
      </c>
      <c r="G142" s="28" t="s">
        <v>45</v>
      </c>
      <c r="H142" s="29"/>
      <c r="I142" s="29" t="s">
        <v>46</v>
      </c>
      <c r="J142" s="30">
        <v>10</v>
      </c>
      <c r="K142" s="31">
        <f>2420</f>
        <v>2420</v>
      </c>
      <c r="L142" s="32" t="s">
        <v>995</v>
      </c>
      <c r="M142" s="31">
        <f>2590</f>
        <v>2590</v>
      </c>
      <c r="N142" s="32" t="s">
        <v>1017</v>
      </c>
      <c r="O142" s="31">
        <f>2420</f>
        <v>2420</v>
      </c>
      <c r="P142" s="32" t="s">
        <v>995</v>
      </c>
      <c r="Q142" s="31">
        <f>2547</f>
        <v>2547</v>
      </c>
      <c r="R142" s="32" t="s">
        <v>791</v>
      </c>
      <c r="S142" s="33">
        <f>2503.03</f>
        <v>2503.0300000000002</v>
      </c>
      <c r="T142" s="30">
        <f>2030</f>
        <v>2030</v>
      </c>
      <c r="U142" s="30" t="str">
        <f>"－"</f>
        <v>－</v>
      </c>
      <c r="V142" s="30">
        <f>5045140</f>
        <v>5045140</v>
      </c>
      <c r="W142" s="30" t="str">
        <f>"－"</f>
        <v>－</v>
      </c>
      <c r="X142" s="34">
        <f>16</f>
        <v>16</v>
      </c>
    </row>
    <row r="143" spans="1:24" ht="13.5" customHeight="1" x14ac:dyDescent="0.15">
      <c r="A143" s="25" t="s">
        <v>1091</v>
      </c>
      <c r="B143" s="25" t="s">
        <v>456</v>
      </c>
      <c r="C143" s="25" t="s">
        <v>1067</v>
      </c>
      <c r="D143" s="25" t="s">
        <v>1068</v>
      </c>
      <c r="E143" s="26" t="s">
        <v>45</v>
      </c>
      <c r="F143" s="27" t="s">
        <v>45</v>
      </c>
      <c r="G143" s="28" t="s">
        <v>45</v>
      </c>
      <c r="H143" s="29"/>
      <c r="I143" s="29" t="s">
        <v>46</v>
      </c>
      <c r="J143" s="30">
        <v>10</v>
      </c>
      <c r="K143" s="31">
        <f>2622</f>
        <v>2622</v>
      </c>
      <c r="L143" s="32" t="s">
        <v>995</v>
      </c>
      <c r="M143" s="31">
        <f>2793</f>
        <v>2793</v>
      </c>
      <c r="N143" s="32" t="s">
        <v>894</v>
      </c>
      <c r="O143" s="31">
        <f>2622</f>
        <v>2622</v>
      </c>
      <c r="P143" s="32" t="s">
        <v>995</v>
      </c>
      <c r="Q143" s="31">
        <f>2737.5</f>
        <v>2737.5</v>
      </c>
      <c r="R143" s="32" t="s">
        <v>791</v>
      </c>
      <c r="S143" s="33">
        <f>2708.53</f>
        <v>2708.53</v>
      </c>
      <c r="T143" s="30">
        <f>44490</f>
        <v>44490</v>
      </c>
      <c r="U143" s="30" t="str">
        <f>"－"</f>
        <v>－</v>
      </c>
      <c r="V143" s="30">
        <f>119567665</f>
        <v>119567665</v>
      </c>
      <c r="W143" s="30" t="str">
        <f>"－"</f>
        <v>－</v>
      </c>
      <c r="X143" s="34">
        <f>17</f>
        <v>17</v>
      </c>
    </row>
    <row r="144" spans="1:24" ht="13.5" customHeight="1" x14ac:dyDescent="0.15">
      <c r="A144" s="25" t="s">
        <v>1091</v>
      </c>
      <c r="B144" s="25" t="s">
        <v>459</v>
      </c>
      <c r="C144" s="25" t="s">
        <v>1069</v>
      </c>
      <c r="D144" s="25" t="s">
        <v>1070</v>
      </c>
      <c r="E144" s="26" t="s">
        <v>45</v>
      </c>
      <c r="F144" s="27" t="s">
        <v>45</v>
      </c>
      <c r="G144" s="28" t="s">
        <v>45</v>
      </c>
      <c r="H144" s="29"/>
      <c r="I144" s="29" t="s">
        <v>46</v>
      </c>
      <c r="J144" s="30">
        <v>10</v>
      </c>
      <c r="K144" s="31">
        <f>1652</f>
        <v>1652</v>
      </c>
      <c r="L144" s="32" t="s">
        <v>999</v>
      </c>
      <c r="M144" s="31">
        <f>1718</f>
        <v>1718</v>
      </c>
      <c r="N144" s="32" t="s">
        <v>788</v>
      </c>
      <c r="O144" s="31">
        <f>1641.5</f>
        <v>1641.5</v>
      </c>
      <c r="P144" s="32" t="s">
        <v>1000</v>
      </c>
      <c r="Q144" s="31">
        <f>1716.5</f>
        <v>1716.5</v>
      </c>
      <c r="R144" s="32" t="s">
        <v>791</v>
      </c>
      <c r="S144" s="33">
        <f>1672.39</f>
        <v>1672.39</v>
      </c>
      <c r="T144" s="30">
        <f>4590</f>
        <v>4590</v>
      </c>
      <c r="U144" s="30" t="str">
        <f>"－"</f>
        <v>－</v>
      </c>
      <c r="V144" s="30">
        <f>7793755</f>
        <v>7793755</v>
      </c>
      <c r="W144" s="30" t="str">
        <f>"－"</f>
        <v>－</v>
      </c>
      <c r="X144" s="34">
        <f>9</f>
        <v>9</v>
      </c>
    </row>
    <row r="145" spans="1:24" ht="13.5" customHeight="1" x14ac:dyDescent="0.15">
      <c r="A145" s="25" t="s">
        <v>1091</v>
      </c>
      <c r="B145" s="25" t="s">
        <v>462</v>
      </c>
      <c r="C145" s="25" t="s">
        <v>463</v>
      </c>
      <c r="D145" s="25" t="s">
        <v>464</v>
      </c>
      <c r="E145" s="26" t="s">
        <v>45</v>
      </c>
      <c r="F145" s="27" t="s">
        <v>45</v>
      </c>
      <c r="G145" s="28" t="s">
        <v>45</v>
      </c>
      <c r="H145" s="29"/>
      <c r="I145" s="29" t="s">
        <v>46</v>
      </c>
      <c r="J145" s="30">
        <v>10</v>
      </c>
      <c r="K145" s="31">
        <f>408.7</f>
        <v>408.7</v>
      </c>
      <c r="L145" s="32" t="s">
        <v>995</v>
      </c>
      <c r="M145" s="31">
        <f>429</f>
        <v>429</v>
      </c>
      <c r="N145" s="32" t="s">
        <v>1017</v>
      </c>
      <c r="O145" s="31">
        <f>399.7</f>
        <v>399.7</v>
      </c>
      <c r="P145" s="32" t="s">
        <v>794</v>
      </c>
      <c r="Q145" s="31">
        <f>421.2</f>
        <v>421.2</v>
      </c>
      <c r="R145" s="32" t="s">
        <v>791</v>
      </c>
      <c r="S145" s="33">
        <f>411.56</f>
        <v>411.56</v>
      </c>
      <c r="T145" s="30">
        <f>40975020</f>
        <v>40975020</v>
      </c>
      <c r="U145" s="30">
        <f>995880</f>
        <v>995880</v>
      </c>
      <c r="V145" s="30">
        <f>16802564651</f>
        <v>16802564651</v>
      </c>
      <c r="W145" s="30">
        <f>407906145</f>
        <v>407906145</v>
      </c>
      <c r="X145" s="34">
        <f>20</f>
        <v>20</v>
      </c>
    </row>
    <row r="146" spans="1:24" ht="13.5" customHeight="1" x14ac:dyDescent="0.15">
      <c r="A146" s="25" t="s">
        <v>1091</v>
      </c>
      <c r="B146" s="25" t="s">
        <v>465</v>
      </c>
      <c r="C146" s="25" t="s">
        <v>466</v>
      </c>
      <c r="D146" s="25" t="s">
        <v>467</v>
      </c>
      <c r="E146" s="26" t="s">
        <v>45</v>
      </c>
      <c r="F146" s="27" t="s">
        <v>45</v>
      </c>
      <c r="G146" s="28" t="s">
        <v>45</v>
      </c>
      <c r="H146" s="29"/>
      <c r="I146" s="29" t="s">
        <v>46</v>
      </c>
      <c r="J146" s="30">
        <v>10</v>
      </c>
      <c r="K146" s="31">
        <f>280.5</f>
        <v>280.5</v>
      </c>
      <c r="L146" s="32" t="s">
        <v>995</v>
      </c>
      <c r="M146" s="31">
        <f>290.1</f>
        <v>290.10000000000002</v>
      </c>
      <c r="N146" s="32" t="s">
        <v>1017</v>
      </c>
      <c r="O146" s="31">
        <f>276.7</f>
        <v>276.7</v>
      </c>
      <c r="P146" s="32" t="s">
        <v>794</v>
      </c>
      <c r="Q146" s="31">
        <f>283.1</f>
        <v>283.10000000000002</v>
      </c>
      <c r="R146" s="32" t="s">
        <v>791</v>
      </c>
      <c r="S146" s="33">
        <f>280.58</f>
        <v>280.58</v>
      </c>
      <c r="T146" s="30">
        <f>12689010</f>
        <v>12689010</v>
      </c>
      <c r="U146" s="30">
        <f>10834460</f>
        <v>10834460</v>
      </c>
      <c r="V146" s="30">
        <f>3560144567</f>
        <v>3560144567</v>
      </c>
      <c r="W146" s="30">
        <f>3040210588</f>
        <v>3040210588</v>
      </c>
      <c r="X146" s="34">
        <f>20</f>
        <v>20</v>
      </c>
    </row>
    <row r="147" spans="1:24" ht="13.5" customHeight="1" x14ac:dyDescent="0.15">
      <c r="A147" s="25" t="s">
        <v>1091</v>
      </c>
      <c r="B147" s="25" t="s">
        <v>468</v>
      </c>
      <c r="C147" s="25" t="s">
        <v>469</v>
      </c>
      <c r="D147" s="25" t="s">
        <v>470</v>
      </c>
      <c r="E147" s="26" t="s">
        <v>45</v>
      </c>
      <c r="F147" s="27" t="s">
        <v>45</v>
      </c>
      <c r="G147" s="28" t="s">
        <v>45</v>
      </c>
      <c r="H147" s="29"/>
      <c r="I147" s="29" t="s">
        <v>46</v>
      </c>
      <c r="J147" s="30">
        <v>1</v>
      </c>
      <c r="K147" s="31">
        <f>3600</f>
        <v>3600</v>
      </c>
      <c r="L147" s="32" t="s">
        <v>995</v>
      </c>
      <c r="M147" s="31">
        <f>3740</f>
        <v>3740</v>
      </c>
      <c r="N147" s="32" t="s">
        <v>1017</v>
      </c>
      <c r="O147" s="31">
        <f>3530</f>
        <v>3530</v>
      </c>
      <c r="P147" s="32" t="s">
        <v>794</v>
      </c>
      <c r="Q147" s="31">
        <f>3655</f>
        <v>3655</v>
      </c>
      <c r="R147" s="32" t="s">
        <v>791</v>
      </c>
      <c r="S147" s="33">
        <f>3617.25</f>
        <v>3617.25</v>
      </c>
      <c r="T147" s="30">
        <f>98113</f>
        <v>98113</v>
      </c>
      <c r="U147" s="30">
        <f>37845</f>
        <v>37845</v>
      </c>
      <c r="V147" s="30">
        <f>356462295</f>
        <v>356462295</v>
      </c>
      <c r="W147" s="30">
        <f>137464395</f>
        <v>137464395</v>
      </c>
      <c r="X147" s="34">
        <f>20</f>
        <v>20</v>
      </c>
    </row>
    <row r="148" spans="1:24" ht="13.5" customHeight="1" x14ac:dyDescent="0.15">
      <c r="A148" s="25" t="s">
        <v>1091</v>
      </c>
      <c r="B148" s="25" t="s">
        <v>471</v>
      </c>
      <c r="C148" s="25" t="s">
        <v>472</v>
      </c>
      <c r="D148" s="25" t="s">
        <v>473</v>
      </c>
      <c r="E148" s="26" t="s">
        <v>45</v>
      </c>
      <c r="F148" s="27" t="s">
        <v>45</v>
      </c>
      <c r="G148" s="28" t="s">
        <v>45</v>
      </c>
      <c r="H148" s="29"/>
      <c r="I148" s="29" t="s">
        <v>46</v>
      </c>
      <c r="J148" s="30">
        <v>1</v>
      </c>
      <c r="K148" s="31">
        <f>2210</f>
        <v>2210</v>
      </c>
      <c r="L148" s="32" t="s">
        <v>995</v>
      </c>
      <c r="M148" s="31">
        <f>2290</f>
        <v>2290</v>
      </c>
      <c r="N148" s="32" t="s">
        <v>1017</v>
      </c>
      <c r="O148" s="31">
        <f>2173</f>
        <v>2173</v>
      </c>
      <c r="P148" s="32" t="s">
        <v>787</v>
      </c>
      <c r="Q148" s="31">
        <f>2212</f>
        <v>2212</v>
      </c>
      <c r="R148" s="32" t="s">
        <v>791</v>
      </c>
      <c r="S148" s="33">
        <f>2226.05</f>
        <v>2226.0500000000002</v>
      </c>
      <c r="T148" s="30">
        <f>73113</f>
        <v>73113</v>
      </c>
      <c r="U148" s="30" t="str">
        <f>"－"</f>
        <v>－</v>
      </c>
      <c r="V148" s="30">
        <f>162777963</f>
        <v>162777963</v>
      </c>
      <c r="W148" s="30" t="str">
        <f>"－"</f>
        <v>－</v>
      </c>
      <c r="X148" s="34">
        <f>20</f>
        <v>20</v>
      </c>
    </row>
    <row r="149" spans="1:24" ht="13.5" customHeight="1" x14ac:dyDescent="0.15">
      <c r="A149" s="25" t="s">
        <v>1091</v>
      </c>
      <c r="B149" s="25" t="s">
        <v>474</v>
      </c>
      <c r="C149" s="25" t="s">
        <v>475</v>
      </c>
      <c r="D149" s="25" t="s">
        <v>476</v>
      </c>
      <c r="E149" s="26" t="s">
        <v>45</v>
      </c>
      <c r="F149" s="27" t="s">
        <v>45</v>
      </c>
      <c r="G149" s="28" t="s">
        <v>45</v>
      </c>
      <c r="H149" s="29"/>
      <c r="I149" s="29" t="s">
        <v>46</v>
      </c>
      <c r="J149" s="30">
        <v>1</v>
      </c>
      <c r="K149" s="31">
        <f>2568</f>
        <v>2568</v>
      </c>
      <c r="L149" s="32" t="s">
        <v>995</v>
      </c>
      <c r="M149" s="31">
        <f>2590</f>
        <v>2590</v>
      </c>
      <c r="N149" s="32" t="s">
        <v>995</v>
      </c>
      <c r="O149" s="31">
        <f>2471</f>
        <v>2471</v>
      </c>
      <c r="P149" s="32" t="s">
        <v>792</v>
      </c>
      <c r="Q149" s="31">
        <f>2513</f>
        <v>2513</v>
      </c>
      <c r="R149" s="32" t="s">
        <v>791</v>
      </c>
      <c r="S149" s="33">
        <f>2525.35</f>
        <v>2525.35</v>
      </c>
      <c r="T149" s="30">
        <f>495142</f>
        <v>495142</v>
      </c>
      <c r="U149" s="30">
        <f>345000</f>
        <v>345000</v>
      </c>
      <c r="V149" s="30">
        <f>1256693460</f>
        <v>1256693460</v>
      </c>
      <c r="W149" s="30">
        <f>875196000</f>
        <v>875196000</v>
      </c>
      <c r="X149" s="34">
        <f>20</f>
        <v>20</v>
      </c>
    </row>
    <row r="150" spans="1:24" ht="13.5" customHeight="1" x14ac:dyDescent="0.15">
      <c r="A150" s="25" t="s">
        <v>1091</v>
      </c>
      <c r="B150" s="25" t="s">
        <v>477</v>
      </c>
      <c r="C150" s="25" t="s">
        <v>478</v>
      </c>
      <c r="D150" s="25" t="s">
        <v>479</v>
      </c>
      <c r="E150" s="26" t="s">
        <v>45</v>
      </c>
      <c r="F150" s="27" t="s">
        <v>45</v>
      </c>
      <c r="G150" s="28" t="s">
        <v>45</v>
      </c>
      <c r="H150" s="29"/>
      <c r="I150" s="29" t="s">
        <v>46</v>
      </c>
      <c r="J150" s="30">
        <v>1</v>
      </c>
      <c r="K150" s="31">
        <f>10475</f>
        <v>10475</v>
      </c>
      <c r="L150" s="32" t="s">
        <v>995</v>
      </c>
      <c r="M150" s="31">
        <f>10645</f>
        <v>10645</v>
      </c>
      <c r="N150" s="32" t="s">
        <v>791</v>
      </c>
      <c r="O150" s="31">
        <f>10315</f>
        <v>10315</v>
      </c>
      <c r="P150" s="32" t="s">
        <v>787</v>
      </c>
      <c r="Q150" s="31">
        <f>10555</f>
        <v>10555</v>
      </c>
      <c r="R150" s="32" t="s">
        <v>791</v>
      </c>
      <c r="S150" s="33">
        <f>10467.25</f>
        <v>10467.25</v>
      </c>
      <c r="T150" s="30">
        <f>189374</f>
        <v>189374</v>
      </c>
      <c r="U150" s="30">
        <f>163187</f>
        <v>163187</v>
      </c>
      <c r="V150" s="30">
        <f>1991408740</f>
        <v>1991408740</v>
      </c>
      <c r="W150" s="30">
        <f>1716985450</f>
        <v>1716985450</v>
      </c>
      <c r="X150" s="34">
        <f>20</f>
        <v>20</v>
      </c>
    </row>
    <row r="151" spans="1:24" ht="13.5" customHeight="1" x14ac:dyDescent="0.15">
      <c r="A151" s="25" t="s">
        <v>1091</v>
      </c>
      <c r="B151" s="25" t="s">
        <v>480</v>
      </c>
      <c r="C151" s="25" t="s">
        <v>481</v>
      </c>
      <c r="D151" s="25" t="s">
        <v>482</v>
      </c>
      <c r="E151" s="26" t="s">
        <v>45</v>
      </c>
      <c r="F151" s="27" t="s">
        <v>45</v>
      </c>
      <c r="G151" s="28" t="s">
        <v>45</v>
      </c>
      <c r="H151" s="29"/>
      <c r="I151" s="29" t="s">
        <v>46</v>
      </c>
      <c r="J151" s="30">
        <v>1</v>
      </c>
      <c r="K151" s="31">
        <f>2504</f>
        <v>2504</v>
      </c>
      <c r="L151" s="32" t="s">
        <v>995</v>
      </c>
      <c r="M151" s="31">
        <f>2521</f>
        <v>2521</v>
      </c>
      <c r="N151" s="32" t="s">
        <v>995</v>
      </c>
      <c r="O151" s="31">
        <f>2288</f>
        <v>2288</v>
      </c>
      <c r="P151" s="32" t="s">
        <v>1002</v>
      </c>
      <c r="Q151" s="31">
        <f>2357</f>
        <v>2357</v>
      </c>
      <c r="R151" s="32" t="s">
        <v>791</v>
      </c>
      <c r="S151" s="33">
        <f>2411.95</f>
        <v>2411.9499999999998</v>
      </c>
      <c r="T151" s="30">
        <f>6690354</f>
        <v>6690354</v>
      </c>
      <c r="U151" s="30">
        <f>1660</f>
        <v>1660</v>
      </c>
      <c r="V151" s="30">
        <f>16078701399</f>
        <v>16078701399</v>
      </c>
      <c r="W151" s="30">
        <f>3942287</f>
        <v>3942287</v>
      </c>
      <c r="X151" s="34">
        <f>20</f>
        <v>20</v>
      </c>
    </row>
    <row r="152" spans="1:24" ht="13.5" customHeight="1" x14ac:dyDescent="0.15">
      <c r="A152" s="25" t="s">
        <v>1091</v>
      </c>
      <c r="B152" s="25" t="s">
        <v>483</v>
      </c>
      <c r="C152" s="25" t="s">
        <v>484</v>
      </c>
      <c r="D152" s="25" t="s">
        <v>485</v>
      </c>
      <c r="E152" s="26" t="s">
        <v>45</v>
      </c>
      <c r="F152" s="27" t="s">
        <v>45</v>
      </c>
      <c r="G152" s="28" t="s">
        <v>45</v>
      </c>
      <c r="H152" s="29"/>
      <c r="I152" s="29" t="s">
        <v>46</v>
      </c>
      <c r="J152" s="30">
        <v>1</v>
      </c>
      <c r="K152" s="31">
        <f>25480</f>
        <v>25480</v>
      </c>
      <c r="L152" s="32" t="s">
        <v>995</v>
      </c>
      <c r="M152" s="31">
        <f>25890</f>
        <v>25890</v>
      </c>
      <c r="N152" s="32" t="s">
        <v>875</v>
      </c>
      <c r="O152" s="31">
        <f>25405</f>
        <v>25405</v>
      </c>
      <c r="P152" s="32" t="s">
        <v>787</v>
      </c>
      <c r="Q152" s="31">
        <f>25700</f>
        <v>25700</v>
      </c>
      <c r="R152" s="32" t="s">
        <v>791</v>
      </c>
      <c r="S152" s="33">
        <f>25621</f>
        <v>25621</v>
      </c>
      <c r="T152" s="30">
        <f>5113</f>
        <v>5113</v>
      </c>
      <c r="U152" s="30" t="str">
        <f>"－"</f>
        <v>－</v>
      </c>
      <c r="V152" s="30">
        <f>130912130</f>
        <v>130912130</v>
      </c>
      <c r="W152" s="30" t="str">
        <f>"－"</f>
        <v>－</v>
      </c>
      <c r="X152" s="34">
        <f>20</f>
        <v>20</v>
      </c>
    </row>
    <row r="153" spans="1:24" ht="13.5" customHeight="1" x14ac:dyDescent="0.15">
      <c r="A153" s="25" t="s">
        <v>1091</v>
      </c>
      <c r="B153" s="25" t="s">
        <v>486</v>
      </c>
      <c r="C153" s="25" t="s">
        <v>487</v>
      </c>
      <c r="D153" s="25" t="s">
        <v>488</v>
      </c>
      <c r="E153" s="26" t="s">
        <v>45</v>
      </c>
      <c r="F153" s="27" t="s">
        <v>45</v>
      </c>
      <c r="G153" s="28" t="s">
        <v>45</v>
      </c>
      <c r="H153" s="29"/>
      <c r="I153" s="29" t="s">
        <v>46</v>
      </c>
      <c r="J153" s="30">
        <v>10</v>
      </c>
      <c r="K153" s="31">
        <f>3176</f>
        <v>3176</v>
      </c>
      <c r="L153" s="32" t="s">
        <v>995</v>
      </c>
      <c r="M153" s="31">
        <f>3255</f>
        <v>3255</v>
      </c>
      <c r="N153" s="32" t="s">
        <v>1000</v>
      </c>
      <c r="O153" s="31">
        <f>2924</f>
        <v>2924</v>
      </c>
      <c r="P153" s="32" t="s">
        <v>786</v>
      </c>
      <c r="Q153" s="31">
        <f>3002</f>
        <v>3002</v>
      </c>
      <c r="R153" s="32" t="s">
        <v>791</v>
      </c>
      <c r="S153" s="33">
        <f>3056.53</f>
        <v>3056.53</v>
      </c>
      <c r="T153" s="30">
        <f>20060</f>
        <v>20060</v>
      </c>
      <c r="U153" s="30" t="str">
        <f>"－"</f>
        <v>－</v>
      </c>
      <c r="V153" s="30">
        <f>61504810</f>
        <v>61504810</v>
      </c>
      <c r="W153" s="30" t="str">
        <f>"－"</f>
        <v>－</v>
      </c>
      <c r="X153" s="34">
        <f>20</f>
        <v>20</v>
      </c>
    </row>
    <row r="154" spans="1:24" ht="13.5" customHeight="1" x14ac:dyDescent="0.15">
      <c r="A154" s="25" t="s">
        <v>1091</v>
      </c>
      <c r="B154" s="25" t="s">
        <v>489</v>
      </c>
      <c r="C154" s="25" t="s">
        <v>490</v>
      </c>
      <c r="D154" s="25" t="s">
        <v>491</v>
      </c>
      <c r="E154" s="26" t="s">
        <v>45</v>
      </c>
      <c r="F154" s="27" t="s">
        <v>45</v>
      </c>
      <c r="G154" s="28" t="s">
        <v>45</v>
      </c>
      <c r="H154" s="29"/>
      <c r="I154" s="29" t="s">
        <v>46</v>
      </c>
      <c r="J154" s="30">
        <v>1</v>
      </c>
      <c r="K154" s="31">
        <f>13480</f>
        <v>13480</v>
      </c>
      <c r="L154" s="32" t="s">
        <v>995</v>
      </c>
      <c r="M154" s="31">
        <f>13980</f>
        <v>13980</v>
      </c>
      <c r="N154" s="32" t="s">
        <v>794</v>
      </c>
      <c r="O154" s="31">
        <f>13085</f>
        <v>13085</v>
      </c>
      <c r="P154" s="32" t="s">
        <v>789</v>
      </c>
      <c r="Q154" s="31">
        <f>13155</f>
        <v>13155</v>
      </c>
      <c r="R154" s="32" t="s">
        <v>791</v>
      </c>
      <c r="S154" s="33">
        <f>13465</f>
        <v>13465</v>
      </c>
      <c r="T154" s="30">
        <f>3033</f>
        <v>3033</v>
      </c>
      <c r="U154" s="30" t="str">
        <f>"－"</f>
        <v>－</v>
      </c>
      <c r="V154" s="30">
        <f>40901060</f>
        <v>40901060</v>
      </c>
      <c r="W154" s="30" t="str">
        <f>"－"</f>
        <v>－</v>
      </c>
      <c r="X154" s="34">
        <f>20</f>
        <v>20</v>
      </c>
    </row>
    <row r="155" spans="1:24" ht="13.5" customHeight="1" x14ac:dyDescent="0.15">
      <c r="A155" s="25" t="s">
        <v>1091</v>
      </c>
      <c r="B155" s="25" t="s">
        <v>492</v>
      </c>
      <c r="C155" s="25" t="s">
        <v>493</v>
      </c>
      <c r="D155" s="25" t="s">
        <v>494</v>
      </c>
      <c r="E155" s="26" t="s">
        <v>45</v>
      </c>
      <c r="F155" s="27" t="s">
        <v>45</v>
      </c>
      <c r="G155" s="28" t="s">
        <v>45</v>
      </c>
      <c r="H155" s="29"/>
      <c r="I155" s="29" t="s">
        <v>46</v>
      </c>
      <c r="J155" s="30">
        <v>1</v>
      </c>
      <c r="K155" s="31">
        <f>19115</f>
        <v>19115</v>
      </c>
      <c r="L155" s="32" t="s">
        <v>995</v>
      </c>
      <c r="M155" s="31">
        <f>20000</f>
        <v>20000</v>
      </c>
      <c r="N155" s="32" t="s">
        <v>794</v>
      </c>
      <c r="O155" s="31">
        <f>18330</f>
        <v>18330</v>
      </c>
      <c r="P155" s="32" t="s">
        <v>789</v>
      </c>
      <c r="Q155" s="31">
        <f>18630</f>
        <v>18630</v>
      </c>
      <c r="R155" s="32" t="s">
        <v>791</v>
      </c>
      <c r="S155" s="33">
        <f>19073.75</f>
        <v>19073.75</v>
      </c>
      <c r="T155" s="30">
        <f>1523</f>
        <v>1523</v>
      </c>
      <c r="U155" s="30" t="str">
        <f>"－"</f>
        <v>－</v>
      </c>
      <c r="V155" s="30">
        <f>29148330</f>
        <v>29148330</v>
      </c>
      <c r="W155" s="30" t="str">
        <f>"－"</f>
        <v>－</v>
      </c>
      <c r="X155" s="34">
        <f>20</f>
        <v>20</v>
      </c>
    </row>
    <row r="156" spans="1:24" ht="13.5" customHeight="1" x14ac:dyDescent="0.15">
      <c r="A156" s="25" t="s">
        <v>1091</v>
      </c>
      <c r="B156" s="25" t="s">
        <v>495</v>
      </c>
      <c r="C156" s="25" t="s">
        <v>496</v>
      </c>
      <c r="D156" s="25" t="s">
        <v>497</v>
      </c>
      <c r="E156" s="26" t="s">
        <v>45</v>
      </c>
      <c r="F156" s="27" t="s">
        <v>45</v>
      </c>
      <c r="G156" s="28" t="s">
        <v>45</v>
      </c>
      <c r="H156" s="29"/>
      <c r="I156" s="29" t="s">
        <v>46</v>
      </c>
      <c r="J156" s="30">
        <v>1</v>
      </c>
      <c r="K156" s="31">
        <f>18960</f>
        <v>18960</v>
      </c>
      <c r="L156" s="32" t="s">
        <v>995</v>
      </c>
      <c r="M156" s="31">
        <f>19690</f>
        <v>19690</v>
      </c>
      <c r="N156" s="32" t="s">
        <v>1004</v>
      </c>
      <c r="O156" s="31">
        <f>18565</f>
        <v>18565</v>
      </c>
      <c r="P156" s="32" t="s">
        <v>789</v>
      </c>
      <c r="Q156" s="31">
        <f>18800</f>
        <v>18800</v>
      </c>
      <c r="R156" s="32" t="s">
        <v>1017</v>
      </c>
      <c r="S156" s="33">
        <f>19169.5</f>
        <v>19169.5</v>
      </c>
      <c r="T156" s="30">
        <f>164</f>
        <v>164</v>
      </c>
      <c r="U156" s="30" t="str">
        <f>"－"</f>
        <v>－</v>
      </c>
      <c r="V156" s="30">
        <f>3199305</f>
        <v>3199305</v>
      </c>
      <c r="W156" s="30" t="str">
        <f>"－"</f>
        <v>－</v>
      </c>
      <c r="X156" s="34">
        <f>10</f>
        <v>10</v>
      </c>
    </row>
    <row r="157" spans="1:24" ht="13.5" customHeight="1" x14ac:dyDescent="0.15">
      <c r="A157" s="25" t="s">
        <v>1091</v>
      </c>
      <c r="B157" s="25" t="s">
        <v>498</v>
      </c>
      <c r="C157" s="25" t="s">
        <v>499</v>
      </c>
      <c r="D157" s="25" t="s">
        <v>500</v>
      </c>
      <c r="E157" s="26" t="s">
        <v>45</v>
      </c>
      <c r="F157" s="27" t="s">
        <v>45</v>
      </c>
      <c r="G157" s="28" t="s">
        <v>45</v>
      </c>
      <c r="H157" s="29"/>
      <c r="I157" s="29" t="s">
        <v>46</v>
      </c>
      <c r="J157" s="30">
        <v>10</v>
      </c>
      <c r="K157" s="31">
        <f>50990</f>
        <v>50990</v>
      </c>
      <c r="L157" s="32" t="s">
        <v>995</v>
      </c>
      <c r="M157" s="31">
        <f>51280</f>
        <v>51280</v>
      </c>
      <c r="N157" s="32" t="s">
        <v>999</v>
      </c>
      <c r="O157" s="31">
        <f>50110</f>
        <v>50110</v>
      </c>
      <c r="P157" s="32" t="s">
        <v>794</v>
      </c>
      <c r="Q157" s="31">
        <f>51140</f>
        <v>51140</v>
      </c>
      <c r="R157" s="32" t="s">
        <v>791</v>
      </c>
      <c r="S157" s="33">
        <f>50780.5</f>
        <v>50780.5</v>
      </c>
      <c r="T157" s="30">
        <f>14380</f>
        <v>14380</v>
      </c>
      <c r="U157" s="30">
        <f>10020</f>
        <v>10020</v>
      </c>
      <c r="V157" s="30">
        <f>724736900</f>
        <v>724736900</v>
      </c>
      <c r="W157" s="30">
        <f>503027200</f>
        <v>503027200</v>
      </c>
      <c r="X157" s="34">
        <f>20</f>
        <v>20</v>
      </c>
    </row>
    <row r="158" spans="1:24" ht="13.5" customHeight="1" x14ac:dyDescent="0.15">
      <c r="A158" s="25" t="s">
        <v>1091</v>
      </c>
      <c r="B158" s="25" t="s">
        <v>501</v>
      </c>
      <c r="C158" s="25" t="s">
        <v>502</v>
      </c>
      <c r="D158" s="25" t="s">
        <v>503</v>
      </c>
      <c r="E158" s="26" t="s">
        <v>45</v>
      </c>
      <c r="F158" s="27" t="s">
        <v>45</v>
      </c>
      <c r="G158" s="28" t="s">
        <v>45</v>
      </c>
      <c r="H158" s="29"/>
      <c r="I158" s="29" t="s">
        <v>46</v>
      </c>
      <c r="J158" s="30">
        <v>100</v>
      </c>
      <c r="K158" s="31">
        <f>269.5</f>
        <v>269.5</v>
      </c>
      <c r="L158" s="32" t="s">
        <v>995</v>
      </c>
      <c r="M158" s="31">
        <f>283.9</f>
        <v>283.89999999999998</v>
      </c>
      <c r="N158" s="32" t="s">
        <v>1017</v>
      </c>
      <c r="O158" s="31">
        <f>266.6</f>
        <v>266.60000000000002</v>
      </c>
      <c r="P158" s="32" t="s">
        <v>1000</v>
      </c>
      <c r="Q158" s="31">
        <f>280.6</f>
        <v>280.60000000000002</v>
      </c>
      <c r="R158" s="32" t="s">
        <v>791</v>
      </c>
      <c r="S158" s="33">
        <f>273.69</f>
        <v>273.69</v>
      </c>
      <c r="T158" s="30">
        <f>17879000</f>
        <v>17879000</v>
      </c>
      <c r="U158" s="30">
        <f>679100</f>
        <v>679100</v>
      </c>
      <c r="V158" s="30">
        <f>4885436335</f>
        <v>4885436335</v>
      </c>
      <c r="W158" s="30">
        <f>184798265</f>
        <v>184798265</v>
      </c>
      <c r="X158" s="34">
        <f>20</f>
        <v>20</v>
      </c>
    </row>
    <row r="159" spans="1:24" ht="13.5" customHeight="1" x14ac:dyDescent="0.15">
      <c r="A159" s="25" t="s">
        <v>1091</v>
      </c>
      <c r="B159" s="25" t="s">
        <v>504</v>
      </c>
      <c r="C159" s="25" t="s">
        <v>505</v>
      </c>
      <c r="D159" s="25" t="s">
        <v>506</v>
      </c>
      <c r="E159" s="26" t="s">
        <v>45</v>
      </c>
      <c r="F159" s="27" t="s">
        <v>45</v>
      </c>
      <c r="G159" s="28" t="s">
        <v>45</v>
      </c>
      <c r="H159" s="29"/>
      <c r="I159" s="29" t="s">
        <v>46</v>
      </c>
      <c r="J159" s="30">
        <v>10</v>
      </c>
      <c r="K159" s="31">
        <f>39490</f>
        <v>39490</v>
      </c>
      <c r="L159" s="32" t="s">
        <v>995</v>
      </c>
      <c r="M159" s="31">
        <f>39860</f>
        <v>39860</v>
      </c>
      <c r="N159" s="32" t="s">
        <v>999</v>
      </c>
      <c r="O159" s="31">
        <f>38100</f>
        <v>38100</v>
      </c>
      <c r="P159" s="32" t="s">
        <v>787</v>
      </c>
      <c r="Q159" s="31">
        <f>39050</f>
        <v>39050</v>
      </c>
      <c r="R159" s="32" t="s">
        <v>791</v>
      </c>
      <c r="S159" s="33">
        <f>38951</f>
        <v>38951</v>
      </c>
      <c r="T159" s="30">
        <f>5130</f>
        <v>5130</v>
      </c>
      <c r="U159" s="30">
        <f>10</f>
        <v>10</v>
      </c>
      <c r="V159" s="30">
        <f>201073500</f>
        <v>201073500</v>
      </c>
      <c r="W159" s="30">
        <f>397900</f>
        <v>397900</v>
      </c>
      <c r="X159" s="34">
        <f>20</f>
        <v>20</v>
      </c>
    </row>
    <row r="160" spans="1:24" ht="13.5" customHeight="1" x14ac:dyDescent="0.15">
      <c r="A160" s="25" t="s">
        <v>1091</v>
      </c>
      <c r="B160" s="25" t="s">
        <v>507</v>
      </c>
      <c r="C160" s="25" t="s">
        <v>508</v>
      </c>
      <c r="D160" s="25" t="s">
        <v>509</v>
      </c>
      <c r="E160" s="26" t="s">
        <v>45</v>
      </c>
      <c r="F160" s="27" t="s">
        <v>45</v>
      </c>
      <c r="G160" s="28" t="s">
        <v>45</v>
      </c>
      <c r="H160" s="29"/>
      <c r="I160" s="29" t="s">
        <v>46</v>
      </c>
      <c r="J160" s="30">
        <v>10</v>
      </c>
      <c r="K160" s="31">
        <f>4087</f>
        <v>4087</v>
      </c>
      <c r="L160" s="32" t="s">
        <v>995</v>
      </c>
      <c r="M160" s="31">
        <f>4236</f>
        <v>4236</v>
      </c>
      <c r="N160" s="32" t="s">
        <v>1017</v>
      </c>
      <c r="O160" s="31">
        <f>4000</f>
        <v>4000</v>
      </c>
      <c r="P160" s="32" t="s">
        <v>794</v>
      </c>
      <c r="Q160" s="31">
        <f>4150</f>
        <v>4150</v>
      </c>
      <c r="R160" s="32" t="s">
        <v>791</v>
      </c>
      <c r="S160" s="33">
        <f>4101.95</f>
        <v>4101.95</v>
      </c>
      <c r="T160" s="30">
        <f>67110</f>
        <v>67110</v>
      </c>
      <c r="U160" s="30">
        <f>10</f>
        <v>10</v>
      </c>
      <c r="V160" s="30">
        <f>276752250</f>
        <v>276752250</v>
      </c>
      <c r="W160" s="30">
        <f>41240</f>
        <v>41240</v>
      </c>
      <c r="X160" s="34">
        <f>20</f>
        <v>20</v>
      </c>
    </row>
    <row r="161" spans="1:24" ht="13.5" customHeight="1" x14ac:dyDescent="0.15">
      <c r="A161" s="25" t="s">
        <v>1091</v>
      </c>
      <c r="B161" s="25" t="s">
        <v>510</v>
      </c>
      <c r="C161" s="25" t="s">
        <v>511</v>
      </c>
      <c r="D161" s="25" t="s">
        <v>512</v>
      </c>
      <c r="E161" s="26" t="s">
        <v>45</v>
      </c>
      <c r="F161" s="27" t="s">
        <v>45</v>
      </c>
      <c r="G161" s="28" t="s">
        <v>45</v>
      </c>
      <c r="H161" s="29"/>
      <c r="I161" s="29" t="s">
        <v>46</v>
      </c>
      <c r="J161" s="30">
        <v>10</v>
      </c>
      <c r="K161" s="31">
        <f>1675</f>
        <v>1675</v>
      </c>
      <c r="L161" s="32" t="s">
        <v>995</v>
      </c>
      <c r="M161" s="31">
        <f>1728</f>
        <v>1728</v>
      </c>
      <c r="N161" s="32" t="s">
        <v>1017</v>
      </c>
      <c r="O161" s="31">
        <f>1648</f>
        <v>1648</v>
      </c>
      <c r="P161" s="32" t="s">
        <v>1002</v>
      </c>
      <c r="Q161" s="31">
        <f>1675</f>
        <v>1675</v>
      </c>
      <c r="R161" s="32" t="s">
        <v>791</v>
      </c>
      <c r="S161" s="33">
        <f>1682.78</f>
        <v>1682.78</v>
      </c>
      <c r="T161" s="30">
        <f>96950</f>
        <v>96950</v>
      </c>
      <c r="U161" s="30" t="str">
        <f t="shared" ref="U161:U176" si="2">"－"</f>
        <v>－</v>
      </c>
      <c r="V161" s="30">
        <f>163553805</f>
        <v>163553805</v>
      </c>
      <c r="W161" s="30" t="str">
        <f t="shared" ref="W161:W176" si="3">"－"</f>
        <v>－</v>
      </c>
      <c r="X161" s="34">
        <f>20</f>
        <v>20</v>
      </c>
    </row>
    <row r="162" spans="1:24" ht="13.5" customHeight="1" x14ac:dyDescent="0.15">
      <c r="A162" s="25" t="s">
        <v>1091</v>
      </c>
      <c r="B162" s="25" t="s">
        <v>513</v>
      </c>
      <c r="C162" s="25" t="s">
        <v>514</v>
      </c>
      <c r="D162" s="25" t="s">
        <v>515</v>
      </c>
      <c r="E162" s="26" t="s">
        <v>45</v>
      </c>
      <c r="F162" s="27" t="s">
        <v>45</v>
      </c>
      <c r="G162" s="28" t="s">
        <v>45</v>
      </c>
      <c r="H162" s="29"/>
      <c r="I162" s="29" t="s">
        <v>46</v>
      </c>
      <c r="J162" s="30">
        <v>100</v>
      </c>
      <c r="K162" s="31">
        <f>246</f>
        <v>246</v>
      </c>
      <c r="L162" s="32" t="s">
        <v>995</v>
      </c>
      <c r="M162" s="31">
        <f>258.2</f>
        <v>258.2</v>
      </c>
      <c r="N162" s="32" t="s">
        <v>794</v>
      </c>
      <c r="O162" s="31">
        <f>240.5</f>
        <v>240.5</v>
      </c>
      <c r="P162" s="32" t="s">
        <v>791</v>
      </c>
      <c r="Q162" s="31">
        <f>241</f>
        <v>241</v>
      </c>
      <c r="R162" s="32" t="s">
        <v>791</v>
      </c>
      <c r="S162" s="33">
        <f>246.65</f>
        <v>246.65</v>
      </c>
      <c r="T162" s="30">
        <f>200300</f>
        <v>200300</v>
      </c>
      <c r="U162" s="30" t="str">
        <f t="shared" si="2"/>
        <v>－</v>
      </c>
      <c r="V162" s="30">
        <f>49645770</f>
        <v>49645770</v>
      </c>
      <c r="W162" s="30" t="str">
        <f t="shared" si="3"/>
        <v>－</v>
      </c>
      <c r="X162" s="34">
        <f>20</f>
        <v>20</v>
      </c>
    </row>
    <row r="163" spans="1:24" ht="13.5" customHeight="1" x14ac:dyDescent="0.15">
      <c r="A163" s="25" t="s">
        <v>1091</v>
      </c>
      <c r="B163" s="25" t="s">
        <v>516</v>
      </c>
      <c r="C163" s="25" t="s">
        <v>517</v>
      </c>
      <c r="D163" s="25" t="s">
        <v>518</v>
      </c>
      <c r="E163" s="26" t="s">
        <v>45</v>
      </c>
      <c r="F163" s="27" t="s">
        <v>45</v>
      </c>
      <c r="G163" s="28" t="s">
        <v>45</v>
      </c>
      <c r="H163" s="29"/>
      <c r="I163" s="29" t="s">
        <v>46</v>
      </c>
      <c r="J163" s="30">
        <v>10</v>
      </c>
      <c r="K163" s="31">
        <f>1446</f>
        <v>1446</v>
      </c>
      <c r="L163" s="32" t="s">
        <v>995</v>
      </c>
      <c r="M163" s="31">
        <f>1487</f>
        <v>1487</v>
      </c>
      <c r="N163" s="32" t="s">
        <v>786</v>
      </c>
      <c r="O163" s="31">
        <f>1419.5</f>
        <v>1419.5</v>
      </c>
      <c r="P163" s="32" t="s">
        <v>1002</v>
      </c>
      <c r="Q163" s="31">
        <f>1441.5</f>
        <v>1441.5</v>
      </c>
      <c r="R163" s="32" t="s">
        <v>791</v>
      </c>
      <c r="S163" s="33">
        <f>1455.34</f>
        <v>1455.34</v>
      </c>
      <c r="T163" s="30">
        <f>3450</f>
        <v>3450</v>
      </c>
      <c r="U163" s="30" t="str">
        <f t="shared" si="2"/>
        <v>－</v>
      </c>
      <c r="V163" s="30">
        <f>5002350</f>
        <v>5002350</v>
      </c>
      <c r="W163" s="30" t="str">
        <f t="shared" si="3"/>
        <v>－</v>
      </c>
      <c r="X163" s="34">
        <f>16</f>
        <v>16</v>
      </c>
    </row>
    <row r="164" spans="1:24" ht="13.5" customHeight="1" x14ac:dyDescent="0.15">
      <c r="A164" s="25" t="s">
        <v>1091</v>
      </c>
      <c r="B164" s="25" t="s">
        <v>519</v>
      </c>
      <c r="C164" s="25" t="s">
        <v>520</v>
      </c>
      <c r="D164" s="25" t="s">
        <v>521</v>
      </c>
      <c r="E164" s="26" t="s">
        <v>45</v>
      </c>
      <c r="F164" s="27" t="s">
        <v>45</v>
      </c>
      <c r="G164" s="28" t="s">
        <v>45</v>
      </c>
      <c r="H164" s="29"/>
      <c r="I164" s="29" t="s">
        <v>46</v>
      </c>
      <c r="J164" s="30">
        <v>10</v>
      </c>
      <c r="K164" s="31">
        <f>490.4</f>
        <v>490.4</v>
      </c>
      <c r="L164" s="32" t="s">
        <v>995</v>
      </c>
      <c r="M164" s="31">
        <f>505.2</f>
        <v>505.2</v>
      </c>
      <c r="N164" s="32" t="s">
        <v>789</v>
      </c>
      <c r="O164" s="31">
        <f>454.7</f>
        <v>454.7</v>
      </c>
      <c r="P164" s="32" t="s">
        <v>787</v>
      </c>
      <c r="Q164" s="31">
        <f>466.1</f>
        <v>466.1</v>
      </c>
      <c r="R164" s="32" t="s">
        <v>791</v>
      </c>
      <c r="S164" s="33">
        <f>477.41</f>
        <v>477.41</v>
      </c>
      <c r="T164" s="30">
        <f>39380</f>
        <v>39380</v>
      </c>
      <c r="U164" s="30" t="str">
        <f t="shared" si="2"/>
        <v>－</v>
      </c>
      <c r="V164" s="30">
        <f>18694842</f>
        <v>18694842</v>
      </c>
      <c r="W164" s="30" t="str">
        <f t="shared" si="3"/>
        <v>－</v>
      </c>
      <c r="X164" s="34">
        <f>20</f>
        <v>20</v>
      </c>
    </row>
    <row r="165" spans="1:24" ht="13.5" customHeight="1" x14ac:dyDescent="0.15">
      <c r="A165" s="25" t="s">
        <v>1091</v>
      </c>
      <c r="B165" s="25" t="s">
        <v>522</v>
      </c>
      <c r="C165" s="25" t="s">
        <v>523</v>
      </c>
      <c r="D165" s="25" t="s">
        <v>524</v>
      </c>
      <c r="E165" s="26" t="s">
        <v>45</v>
      </c>
      <c r="F165" s="27" t="s">
        <v>45</v>
      </c>
      <c r="G165" s="28" t="s">
        <v>45</v>
      </c>
      <c r="H165" s="29"/>
      <c r="I165" s="29" t="s">
        <v>46</v>
      </c>
      <c r="J165" s="30">
        <v>10</v>
      </c>
      <c r="K165" s="31">
        <f>2078.5</f>
        <v>2078.5</v>
      </c>
      <c r="L165" s="32" t="s">
        <v>995</v>
      </c>
      <c r="M165" s="31">
        <f>2090.5</f>
        <v>2090.5</v>
      </c>
      <c r="N165" s="32" t="s">
        <v>999</v>
      </c>
      <c r="O165" s="31">
        <f>1851.5</f>
        <v>1851.5</v>
      </c>
      <c r="P165" s="32" t="s">
        <v>791</v>
      </c>
      <c r="Q165" s="31">
        <f>1925.5</f>
        <v>1925.5</v>
      </c>
      <c r="R165" s="32" t="s">
        <v>791</v>
      </c>
      <c r="S165" s="33">
        <f>1973.6</f>
        <v>1973.6</v>
      </c>
      <c r="T165" s="30">
        <f>4780</f>
        <v>4780</v>
      </c>
      <c r="U165" s="30" t="str">
        <f t="shared" si="2"/>
        <v>－</v>
      </c>
      <c r="V165" s="30">
        <f>9316010</f>
        <v>9316010</v>
      </c>
      <c r="W165" s="30" t="str">
        <f t="shared" si="3"/>
        <v>－</v>
      </c>
      <c r="X165" s="34">
        <f>20</f>
        <v>20</v>
      </c>
    </row>
    <row r="166" spans="1:24" ht="13.5" customHeight="1" x14ac:dyDescent="0.15">
      <c r="A166" s="25" t="s">
        <v>1091</v>
      </c>
      <c r="B166" s="25" t="s">
        <v>525</v>
      </c>
      <c r="C166" s="25" t="s">
        <v>526</v>
      </c>
      <c r="D166" s="25" t="s">
        <v>527</v>
      </c>
      <c r="E166" s="26" t="s">
        <v>45</v>
      </c>
      <c r="F166" s="27" t="s">
        <v>45</v>
      </c>
      <c r="G166" s="28" t="s">
        <v>45</v>
      </c>
      <c r="H166" s="29"/>
      <c r="I166" s="29" t="s">
        <v>46</v>
      </c>
      <c r="J166" s="30">
        <v>10</v>
      </c>
      <c r="K166" s="31">
        <f>897.3</f>
        <v>897.3</v>
      </c>
      <c r="L166" s="32" t="s">
        <v>995</v>
      </c>
      <c r="M166" s="31">
        <f>907.9</f>
        <v>907.9</v>
      </c>
      <c r="N166" s="32" t="s">
        <v>1000</v>
      </c>
      <c r="O166" s="31">
        <f>867.5</f>
        <v>867.5</v>
      </c>
      <c r="P166" s="32" t="s">
        <v>791</v>
      </c>
      <c r="Q166" s="31">
        <f>867.5</f>
        <v>867.5</v>
      </c>
      <c r="R166" s="32" t="s">
        <v>791</v>
      </c>
      <c r="S166" s="33">
        <f>893.15</f>
        <v>893.15</v>
      </c>
      <c r="T166" s="30">
        <f>34200</f>
        <v>34200</v>
      </c>
      <c r="U166" s="30" t="str">
        <f t="shared" si="2"/>
        <v>－</v>
      </c>
      <c r="V166" s="30">
        <f>30551759</f>
        <v>30551759</v>
      </c>
      <c r="W166" s="30" t="str">
        <f t="shared" si="3"/>
        <v>－</v>
      </c>
      <c r="X166" s="34">
        <f>20</f>
        <v>20</v>
      </c>
    </row>
    <row r="167" spans="1:24" ht="13.5" customHeight="1" x14ac:dyDescent="0.15">
      <c r="A167" s="25" t="s">
        <v>1091</v>
      </c>
      <c r="B167" s="25" t="s">
        <v>528</v>
      </c>
      <c r="C167" s="25" t="s">
        <v>529</v>
      </c>
      <c r="D167" s="25" t="s">
        <v>530</v>
      </c>
      <c r="E167" s="26" t="s">
        <v>45</v>
      </c>
      <c r="F167" s="27" t="s">
        <v>45</v>
      </c>
      <c r="G167" s="28" t="s">
        <v>45</v>
      </c>
      <c r="H167" s="29"/>
      <c r="I167" s="29" t="s">
        <v>46</v>
      </c>
      <c r="J167" s="30">
        <v>10</v>
      </c>
      <c r="K167" s="31">
        <f>606.2</f>
        <v>606.20000000000005</v>
      </c>
      <c r="L167" s="32" t="s">
        <v>995</v>
      </c>
      <c r="M167" s="31">
        <f>624.7</f>
        <v>624.70000000000005</v>
      </c>
      <c r="N167" s="32" t="s">
        <v>1017</v>
      </c>
      <c r="O167" s="31">
        <f>582.6</f>
        <v>582.6</v>
      </c>
      <c r="P167" s="32" t="s">
        <v>1001</v>
      </c>
      <c r="Q167" s="31">
        <f>594</f>
        <v>594</v>
      </c>
      <c r="R167" s="32" t="s">
        <v>791</v>
      </c>
      <c r="S167" s="33">
        <f>608.07</f>
        <v>608.07000000000005</v>
      </c>
      <c r="T167" s="30">
        <f>149440</f>
        <v>149440</v>
      </c>
      <c r="U167" s="30" t="str">
        <f t="shared" si="2"/>
        <v>－</v>
      </c>
      <c r="V167" s="30">
        <f>90178757</f>
        <v>90178757</v>
      </c>
      <c r="W167" s="30" t="str">
        <f t="shared" si="3"/>
        <v>－</v>
      </c>
      <c r="X167" s="34">
        <f>20</f>
        <v>20</v>
      </c>
    </row>
    <row r="168" spans="1:24" ht="13.5" customHeight="1" x14ac:dyDescent="0.15">
      <c r="A168" s="25" t="s">
        <v>1091</v>
      </c>
      <c r="B168" s="25" t="s">
        <v>531</v>
      </c>
      <c r="C168" s="25" t="s">
        <v>532</v>
      </c>
      <c r="D168" s="25" t="s">
        <v>533</v>
      </c>
      <c r="E168" s="26" t="s">
        <v>45</v>
      </c>
      <c r="F168" s="27" t="s">
        <v>45</v>
      </c>
      <c r="G168" s="28" t="s">
        <v>45</v>
      </c>
      <c r="H168" s="29"/>
      <c r="I168" s="29" t="s">
        <v>46</v>
      </c>
      <c r="J168" s="30">
        <v>100</v>
      </c>
      <c r="K168" s="31">
        <f>1.2</f>
        <v>1.2</v>
      </c>
      <c r="L168" s="32" t="s">
        <v>995</v>
      </c>
      <c r="M168" s="31">
        <f>1.3</f>
        <v>1.3</v>
      </c>
      <c r="N168" s="32" t="s">
        <v>790</v>
      </c>
      <c r="O168" s="31">
        <f>1</f>
        <v>1</v>
      </c>
      <c r="P168" s="32" t="s">
        <v>1000</v>
      </c>
      <c r="Q168" s="31">
        <f>1.1</f>
        <v>1.1000000000000001</v>
      </c>
      <c r="R168" s="32" t="s">
        <v>791</v>
      </c>
      <c r="S168" s="33">
        <f>1.13</f>
        <v>1.1299999999999999</v>
      </c>
      <c r="T168" s="30">
        <f>1880261300</f>
        <v>1880261300</v>
      </c>
      <c r="U168" s="30" t="str">
        <f t="shared" si="2"/>
        <v>－</v>
      </c>
      <c r="V168" s="30">
        <f>2132524410</f>
        <v>2132524410</v>
      </c>
      <c r="W168" s="30" t="str">
        <f t="shared" si="3"/>
        <v>－</v>
      </c>
      <c r="X168" s="34">
        <f>20</f>
        <v>20</v>
      </c>
    </row>
    <row r="169" spans="1:24" ht="13.5" customHeight="1" x14ac:dyDescent="0.15">
      <c r="A169" s="25" t="s">
        <v>1091</v>
      </c>
      <c r="B169" s="25" t="s">
        <v>534</v>
      </c>
      <c r="C169" s="25" t="s">
        <v>535</v>
      </c>
      <c r="D169" s="25" t="s">
        <v>536</v>
      </c>
      <c r="E169" s="26" t="s">
        <v>45</v>
      </c>
      <c r="F169" s="27" t="s">
        <v>45</v>
      </c>
      <c r="G169" s="28" t="s">
        <v>45</v>
      </c>
      <c r="H169" s="29"/>
      <c r="I169" s="29" t="s">
        <v>46</v>
      </c>
      <c r="J169" s="30">
        <v>10</v>
      </c>
      <c r="K169" s="31">
        <f>1203</f>
        <v>1203</v>
      </c>
      <c r="L169" s="32" t="s">
        <v>995</v>
      </c>
      <c r="M169" s="31">
        <f>1213</f>
        <v>1213</v>
      </c>
      <c r="N169" s="32" t="s">
        <v>789</v>
      </c>
      <c r="O169" s="31">
        <f>1100.5</f>
        <v>1100.5</v>
      </c>
      <c r="P169" s="32" t="s">
        <v>1002</v>
      </c>
      <c r="Q169" s="31">
        <f>1136.5</f>
        <v>1136.5</v>
      </c>
      <c r="R169" s="32" t="s">
        <v>791</v>
      </c>
      <c r="S169" s="33">
        <f>1160.63</f>
        <v>1160.6300000000001</v>
      </c>
      <c r="T169" s="30">
        <f>51840</f>
        <v>51840</v>
      </c>
      <c r="U169" s="30" t="str">
        <f t="shared" si="2"/>
        <v>－</v>
      </c>
      <c r="V169" s="30">
        <f>59754820</f>
        <v>59754820</v>
      </c>
      <c r="W169" s="30" t="str">
        <f t="shared" si="3"/>
        <v>－</v>
      </c>
      <c r="X169" s="34">
        <f>20</f>
        <v>20</v>
      </c>
    </row>
    <row r="170" spans="1:24" ht="13.5" customHeight="1" x14ac:dyDescent="0.15">
      <c r="A170" s="25" t="s">
        <v>1091</v>
      </c>
      <c r="B170" s="25" t="s">
        <v>537</v>
      </c>
      <c r="C170" s="25" t="s">
        <v>538</v>
      </c>
      <c r="D170" s="25" t="s">
        <v>539</v>
      </c>
      <c r="E170" s="26" t="s">
        <v>45</v>
      </c>
      <c r="F170" s="27" t="s">
        <v>45</v>
      </c>
      <c r="G170" s="28" t="s">
        <v>45</v>
      </c>
      <c r="H170" s="29"/>
      <c r="I170" s="29" t="s">
        <v>46</v>
      </c>
      <c r="J170" s="30">
        <v>1</v>
      </c>
      <c r="K170" s="31">
        <f>6236</f>
        <v>6236</v>
      </c>
      <c r="L170" s="32" t="s">
        <v>995</v>
      </c>
      <c r="M170" s="31">
        <f>6759</f>
        <v>6759</v>
      </c>
      <c r="N170" s="32" t="s">
        <v>1017</v>
      </c>
      <c r="O170" s="31">
        <f>5860</f>
        <v>5860</v>
      </c>
      <c r="P170" s="32" t="s">
        <v>1000</v>
      </c>
      <c r="Q170" s="31">
        <f>6320</f>
        <v>6320</v>
      </c>
      <c r="R170" s="32" t="s">
        <v>791</v>
      </c>
      <c r="S170" s="33">
        <f>6285.05</f>
        <v>6285.05</v>
      </c>
      <c r="T170" s="30">
        <f>2226</f>
        <v>2226</v>
      </c>
      <c r="U170" s="30" t="str">
        <f t="shared" si="2"/>
        <v>－</v>
      </c>
      <c r="V170" s="30">
        <f>14000912</f>
        <v>14000912</v>
      </c>
      <c r="W170" s="30" t="str">
        <f t="shared" si="3"/>
        <v>－</v>
      </c>
      <c r="X170" s="34">
        <f>20</f>
        <v>20</v>
      </c>
    </row>
    <row r="171" spans="1:24" ht="13.5" customHeight="1" x14ac:dyDescent="0.15">
      <c r="A171" s="25" t="s">
        <v>1091</v>
      </c>
      <c r="B171" s="25" t="s">
        <v>540</v>
      </c>
      <c r="C171" s="25" t="s">
        <v>541</v>
      </c>
      <c r="D171" s="25" t="s">
        <v>542</v>
      </c>
      <c r="E171" s="26" t="s">
        <v>45</v>
      </c>
      <c r="F171" s="27" t="s">
        <v>45</v>
      </c>
      <c r="G171" s="28" t="s">
        <v>45</v>
      </c>
      <c r="H171" s="29"/>
      <c r="I171" s="29" t="s">
        <v>46</v>
      </c>
      <c r="J171" s="30">
        <v>100</v>
      </c>
      <c r="K171" s="31">
        <f>428.5</f>
        <v>428.5</v>
      </c>
      <c r="L171" s="32" t="s">
        <v>995</v>
      </c>
      <c r="M171" s="31">
        <f>444.1</f>
        <v>444.1</v>
      </c>
      <c r="N171" s="32" t="s">
        <v>999</v>
      </c>
      <c r="O171" s="31">
        <f>401.5</f>
        <v>401.5</v>
      </c>
      <c r="P171" s="32" t="s">
        <v>787</v>
      </c>
      <c r="Q171" s="31">
        <f>418.3</f>
        <v>418.3</v>
      </c>
      <c r="R171" s="32" t="s">
        <v>791</v>
      </c>
      <c r="S171" s="33">
        <f>420.48</f>
        <v>420.48</v>
      </c>
      <c r="T171" s="30">
        <f>86800</f>
        <v>86800</v>
      </c>
      <c r="U171" s="30" t="str">
        <f t="shared" si="2"/>
        <v>－</v>
      </c>
      <c r="V171" s="30">
        <f>36384590</f>
        <v>36384590</v>
      </c>
      <c r="W171" s="30" t="str">
        <f t="shared" si="3"/>
        <v>－</v>
      </c>
      <c r="X171" s="34">
        <f>19</f>
        <v>19</v>
      </c>
    </row>
    <row r="172" spans="1:24" ht="13.5" customHeight="1" x14ac:dyDescent="0.15">
      <c r="A172" s="25" t="s">
        <v>1091</v>
      </c>
      <c r="B172" s="25" t="s">
        <v>543</v>
      </c>
      <c r="C172" s="25" t="s">
        <v>544</v>
      </c>
      <c r="D172" s="25" t="s">
        <v>545</v>
      </c>
      <c r="E172" s="26" t="s">
        <v>45</v>
      </c>
      <c r="F172" s="27" t="s">
        <v>45</v>
      </c>
      <c r="G172" s="28" t="s">
        <v>45</v>
      </c>
      <c r="H172" s="29"/>
      <c r="I172" s="29" t="s">
        <v>46</v>
      </c>
      <c r="J172" s="30">
        <v>10</v>
      </c>
      <c r="K172" s="31">
        <f>4699</f>
        <v>4699</v>
      </c>
      <c r="L172" s="32" t="s">
        <v>995</v>
      </c>
      <c r="M172" s="31">
        <f>4800</f>
        <v>4800</v>
      </c>
      <c r="N172" s="32" t="s">
        <v>999</v>
      </c>
      <c r="O172" s="31">
        <f>4390</f>
        <v>4390</v>
      </c>
      <c r="P172" s="32" t="s">
        <v>787</v>
      </c>
      <c r="Q172" s="31">
        <f>4520</f>
        <v>4520</v>
      </c>
      <c r="R172" s="32" t="s">
        <v>791</v>
      </c>
      <c r="S172" s="33">
        <f>4552.65</f>
        <v>4552.6499999999996</v>
      </c>
      <c r="T172" s="30">
        <f>50270</f>
        <v>50270</v>
      </c>
      <c r="U172" s="30" t="str">
        <f t="shared" si="2"/>
        <v>－</v>
      </c>
      <c r="V172" s="30">
        <f>229057870</f>
        <v>229057870</v>
      </c>
      <c r="W172" s="30" t="str">
        <f t="shared" si="3"/>
        <v>－</v>
      </c>
      <c r="X172" s="34">
        <f>20</f>
        <v>20</v>
      </c>
    </row>
    <row r="173" spans="1:24" ht="13.5" customHeight="1" x14ac:dyDescent="0.15">
      <c r="A173" s="25" t="s">
        <v>1091</v>
      </c>
      <c r="B173" s="25" t="s">
        <v>546</v>
      </c>
      <c r="C173" s="25" t="s">
        <v>547</v>
      </c>
      <c r="D173" s="25" t="s">
        <v>548</v>
      </c>
      <c r="E173" s="26" t="s">
        <v>45</v>
      </c>
      <c r="F173" s="27" t="s">
        <v>45</v>
      </c>
      <c r="G173" s="28" t="s">
        <v>45</v>
      </c>
      <c r="H173" s="29"/>
      <c r="I173" s="29" t="s">
        <v>46</v>
      </c>
      <c r="J173" s="30">
        <v>10</v>
      </c>
      <c r="K173" s="31">
        <f>3069</f>
        <v>3069</v>
      </c>
      <c r="L173" s="32" t="s">
        <v>995</v>
      </c>
      <c r="M173" s="31">
        <f>3091</f>
        <v>3091</v>
      </c>
      <c r="N173" s="32" t="s">
        <v>1004</v>
      </c>
      <c r="O173" s="31">
        <f>2653</f>
        <v>2653</v>
      </c>
      <c r="P173" s="32" t="s">
        <v>791</v>
      </c>
      <c r="Q173" s="31">
        <f>2681</f>
        <v>2681</v>
      </c>
      <c r="R173" s="32" t="s">
        <v>791</v>
      </c>
      <c r="S173" s="33">
        <f>2809</f>
        <v>2809</v>
      </c>
      <c r="T173" s="30">
        <f>27970</f>
        <v>27970</v>
      </c>
      <c r="U173" s="30" t="str">
        <f t="shared" si="2"/>
        <v>－</v>
      </c>
      <c r="V173" s="30">
        <f>78272140</f>
        <v>78272140</v>
      </c>
      <c r="W173" s="30" t="str">
        <f t="shared" si="3"/>
        <v>－</v>
      </c>
      <c r="X173" s="34">
        <f>20</f>
        <v>20</v>
      </c>
    </row>
    <row r="174" spans="1:24" ht="13.5" customHeight="1" x14ac:dyDescent="0.15">
      <c r="A174" s="25" t="s">
        <v>1091</v>
      </c>
      <c r="B174" s="25" t="s">
        <v>549</v>
      </c>
      <c r="C174" s="25" t="s">
        <v>550</v>
      </c>
      <c r="D174" s="25" t="s">
        <v>551</v>
      </c>
      <c r="E174" s="26" t="s">
        <v>45</v>
      </c>
      <c r="F174" s="27" t="s">
        <v>45</v>
      </c>
      <c r="G174" s="28" t="s">
        <v>45</v>
      </c>
      <c r="H174" s="29"/>
      <c r="I174" s="29" t="s">
        <v>46</v>
      </c>
      <c r="J174" s="30">
        <v>100</v>
      </c>
      <c r="K174" s="31">
        <f>83.2</f>
        <v>83.2</v>
      </c>
      <c r="L174" s="32" t="s">
        <v>995</v>
      </c>
      <c r="M174" s="31">
        <f>87.3</f>
        <v>87.3</v>
      </c>
      <c r="N174" s="32" t="s">
        <v>876</v>
      </c>
      <c r="O174" s="31">
        <f>78.7</f>
        <v>78.7</v>
      </c>
      <c r="P174" s="32" t="s">
        <v>791</v>
      </c>
      <c r="Q174" s="31">
        <f>78.8</f>
        <v>78.8</v>
      </c>
      <c r="R174" s="32" t="s">
        <v>791</v>
      </c>
      <c r="S174" s="33">
        <f>82.92</f>
        <v>82.92</v>
      </c>
      <c r="T174" s="30">
        <f>6463400</f>
        <v>6463400</v>
      </c>
      <c r="U174" s="30" t="str">
        <f t="shared" si="2"/>
        <v>－</v>
      </c>
      <c r="V174" s="30">
        <f>533501510</f>
        <v>533501510</v>
      </c>
      <c r="W174" s="30" t="str">
        <f t="shared" si="3"/>
        <v>－</v>
      </c>
      <c r="X174" s="34">
        <f>20</f>
        <v>20</v>
      </c>
    </row>
    <row r="175" spans="1:24" ht="13.5" customHeight="1" x14ac:dyDescent="0.15">
      <c r="A175" s="25" t="s">
        <v>1091</v>
      </c>
      <c r="B175" s="25" t="s">
        <v>552</v>
      </c>
      <c r="C175" s="25" t="s">
        <v>553</v>
      </c>
      <c r="D175" s="25" t="s">
        <v>554</v>
      </c>
      <c r="E175" s="26" t="s">
        <v>45</v>
      </c>
      <c r="F175" s="27" t="s">
        <v>45</v>
      </c>
      <c r="G175" s="28" t="s">
        <v>45</v>
      </c>
      <c r="H175" s="29"/>
      <c r="I175" s="29" t="s">
        <v>46</v>
      </c>
      <c r="J175" s="30">
        <v>100</v>
      </c>
      <c r="K175" s="31">
        <f>166.1</f>
        <v>166.1</v>
      </c>
      <c r="L175" s="32" t="s">
        <v>995</v>
      </c>
      <c r="M175" s="31">
        <f>179.1</f>
        <v>179.1</v>
      </c>
      <c r="N175" s="32" t="s">
        <v>1017</v>
      </c>
      <c r="O175" s="31">
        <f>159.2</f>
        <v>159.19999999999999</v>
      </c>
      <c r="P175" s="32" t="s">
        <v>1001</v>
      </c>
      <c r="Q175" s="31">
        <f>171.5</f>
        <v>171.5</v>
      </c>
      <c r="R175" s="32" t="s">
        <v>791</v>
      </c>
      <c r="S175" s="33">
        <f>167.27</f>
        <v>167.27</v>
      </c>
      <c r="T175" s="30">
        <f>868700</f>
        <v>868700</v>
      </c>
      <c r="U175" s="30" t="str">
        <f t="shared" si="2"/>
        <v>－</v>
      </c>
      <c r="V175" s="30">
        <f>145515660</f>
        <v>145515660</v>
      </c>
      <c r="W175" s="30" t="str">
        <f t="shared" si="3"/>
        <v>－</v>
      </c>
      <c r="X175" s="34">
        <f>20</f>
        <v>20</v>
      </c>
    </row>
    <row r="176" spans="1:24" ht="13.5" customHeight="1" x14ac:dyDescent="0.15">
      <c r="A176" s="25" t="s">
        <v>1091</v>
      </c>
      <c r="B176" s="25" t="s">
        <v>555</v>
      </c>
      <c r="C176" s="25" t="s">
        <v>556</v>
      </c>
      <c r="D176" s="25" t="s">
        <v>557</v>
      </c>
      <c r="E176" s="26" t="s">
        <v>45</v>
      </c>
      <c r="F176" s="27" t="s">
        <v>45</v>
      </c>
      <c r="G176" s="28" t="s">
        <v>45</v>
      </c>
      <c r="H176" s="29"/>
      <c r="I176" s="29" t="s">
        <v>46</v>
      </c>
      <c r="J176" s="30">
        <v>10</v>
      </c>
      <c r="K176" s="31">
        <f>4018</f>
        <v>4018</v>
      </c>
      <c r="L176" s="32" t="s">
        <v>995</v>
      </c>
      <c r="M176" s="31">
        <f>4110</f>
        <v>4110</v>
      </c>
      <c r="N176" s="32" t="s">
        <v>999</v>
      </c>
      <c r="O176" s="31">
        <f>3780</f>
        <v>3780</v>
      </c>
      <c r="P176" s="32" t="s">
        <v>1001</v>
      </c>
      <c r="Q176" s="31">
        <f>3785</f>
        <v>3785</v>
      </c>
      <c r="R176" s="32" t="s">
        <v>791</v>
      </c>
      <c r="S176" s="33">
        <f>3933.65</f>
        <v>3933.65</v>
      </c>
      <c r="T176" s="30">
        <f>9450</f>
        <v>9450</v>
      </c>
      <c r="U176" s="30" t="str">
        <f t="shared" si="2"/>
        <v>－</v>
      </c>
      <c r="V176" s="30">
        <f>37138920</f>
        <v>37138920</v>
      </c>
      <c r="W176" s="30" t="str">
        <f t="shared" si="3"/>
        <v>－</v>
      </c>
      <c r="X176" s="34">
        <f>20</f>
        <v>20</v>
      </c>
    </row>
    <row r="177" spans="1:24" ht="13.5" customHeight="1" x14ac:dyDescent="0.15">
      <c r="A177" s="25" t="s">
        <v>1091</v>
      </c>
      <c r="B177" s="25" t="s">
        <v>558</v>
      </c>
      <c r="C177" s="25" t="s">
        <v>559</v>
      </c>
      <c r="D177" s="25" t="s">
        <v>560</v>
      </c>
      <c r="E177" s="26" t="s">
        <v>45</v>
      </c>
      <c r="F177" s="27" t="s">
        <v>45</v>
      </c>
      <c r="G177" s="28" t="s">
        <v>45</v>
      </c>
      <c r="H177" s="29"/>
      <c r="I177" s="29" t="s">
        <v>46</v>
      </c>
      <c r="J177" s="30">
        <v>10</v>
      </c>
      <c r="K177" s="31">
        <f>2229</f>
        <v>2229</v>
      </c>
      <c r="L177" s="32" t="s">
        <v>995</v>
      </c>
      <c r="M177" s="31">
        <f>2357.5</f>
        <v>2357.5</v>
      </c>
      <c r="N177" s="32" t="s">
        <v>1017</v>
      </c>
      <c r="O177" s="31">
        <f>2226</f>
        <v>2226</v>
      </c>
      <c r="P177" s="32" t="s">
        <v>999</v>
      </c>
      <c r="Q177" s="31">
        <f>2292</f>
        <v>2292</v>
      </c>
      <c r="R177" s="32" t="s">
        <v>791</v>
      </c>
      <c r="S177" s="33">
        <f>2280.05</f>
        <v>2280.0500000000002</v>
      </c>
      <c r="T177" s="30">
        <f>234390</f>
        <v>234390</v>
      </c>
      <c r="U177" s="30">
        <f>17290</f>
        <v>17290</v>
      </c>
      <c r="V177" s="30">
        <f>535702379</f>
        <v>535702379</v>
      </c>
      <c r="W177" s="30">
        <f>39993219</f>
        <v>39993219</v>
      </c>
      <c r="X177" s="34">
        <f>20</f>
        <v>20</v>
      </c>
    </row>
    <row r="178" spans="1:24" ht="13.5" customHeight="1" x14ac:dyDescent="0.15">
      <c r="A178" s="25" t="s">
        <v>1091</v>
      </c>
      <c r="B178" s="25" t="s">
        <v>561</v>
      </c>
      <c r="C178" s="25" t="s">
        <v>562</v>
      </c>
      <c r="D178" s="25" t="s">
        <v>563</v>
      </c>
      <c r="E178" s="26" t="s">
        <v>45</v>
      </c>
      <c r="F178" s="27" t="s">
        <v>45</v>
      </c>
      <c r="G178" s="28" t="s">
        <v>45</v>
      </c>
      <c r="H178" s="29"/>
      <c r="I178" s="29" t="s">
        <v>46</v>
      </c>
      <c r="J178" s="30">
        <v>10</v>
      </c>
      <c r="K178" s="31">
        <f>329.4</f>
        <v>329.4</v>
      </c>
      <c r="L178" s="32" t="s">
        <v>995</v>
      </c>
      <c r="M178" s="31">
        <f>333.3</f>
        <v>333.3</v>
      </c>
      <c r="N178" s="32" t="s">
        <v>789</v>
      </c>
      <c r="O178" s="31">
        <f>301.9</f>
        <v>301.89999999999998</v>
      </c>
      <c r="P178" s="32" t="s">
        <v>1002</v>
      </c>
      <c r="Q178" s="31">
        <f>312.8</f>
        <v>312.8</v>
      </c>
      <c r="R178" s="32" t="s">
        <v>791</v>
      </c>
      <c r="S178" s="33">
        <f>318.49</f>
        <v>318.49</v>
      </c>
      <c r="T178" s="30">
        <f>20446370</f>
        <v>20446370</v>
      </c>
      <c r="U178" s="30">
        <f>74600</f>
        <v>74600</v>
      </c>
      <c r="V178" s="30">
        <f>6483596050</f>
        <v>6483596050</v>
      </c>
      <c r="W178" s="30">
        <f>23628393</f>
        <v>23628393</v>
      </c>
      <c r="X178" s="34">
        <f>20</f>
        <v>20</v>
      </c>
    </row>
    <row r="179" spans="1:24" ht="13.5" customHeight="1" x14ac:dyDescent="0.15">
      <c r="A179" s="25" t="s">
        <v>1091</v>
      </c>
      <c r="B179" s="25" t="s">
        <v>564</v>
      </c>
      <c r="C179" s="25" t="s">
        <v>565</v>
      </c>
      <c r="D179" s="25" t="s">
        <v>566</v>
      </c>
      <c r="E179" s="26" t="s">
        <v>45</v>
      </c>
      <c r="F179" s="27" t="s">
        <v>45</v>
      </c>
      <c r="G179" s="28" t="s">
        <v>45</v>
      </c>
      <c r="H179" s="29"/>
      <c r="I179" s="29" t="s">
        <v>567</v>
      </c>
      <c r="J179" s="30">
        <v>1</v>
      </c>
      <c r="K179" s="31">
        <f>5800</f>
        <v>5800</v>
      </c>
      <c r="L179" s="32" t="s">
        <v>995</v>
      </c>
      <c r="M179" s="31">
        <f>6080</f>
        <v>6080</v>
      </c>
      <c r="N179" s="32" t="s">
        <v>999</v>
      </c>
      <c r="O179" s="31">
        <f>4860</f>
        <v>4860</v>
      </c>
      <c r="P179" s="32" t="s">
        <v>791</v>
      </c>
      <c r="Q179" s="31">
        <f>4889</f>
        <v>4889</v>
      </c>
      <c r="R179" s="32" t="s">
        <v>791</v>
      </c>
      <c r="S179" s="33">
        <f>5579.8</f>
        <v>5579.8</v>
      </c>
      <c r="T179" s="30">
        <f>39737</f>
        <v>39737</v>
      </c>
      <c r="U179" s="30" t="str">
        <f>"－"</f>
        <v>－</v>
      </c>
      <c r="V179" s="30">
        <f>222251497</f>
        <v>222251497</v>
      </c>
      <c r="W179" s="30" t="str">
        <f>"－"</f>
        <v>－</v>
      </c>
      <c r="X179" s="34">
        <f>20</f>
        <v>20</v>
      </c>
    </row>
    <row r="180" spans="1:24" ht="13.5" customHeight="1" x14ac:dyDescent="0.15">
      <c r="A180" s="25" t="s">
        <v>1091</v>
      </c>
      <c r="B180" s="25" t="s">
        <v>568</v>
      </c>
      <c r="C180" s="25" t="s">
        <v>569</v>
      </c>
      <c r="D180" s="25" t="s">
        <v>570</v>
      </c>
      <c r="E180" s="26" t="s">
        <v>45</v>
      </c>
      <c r="F180" s="27" t="s">
        <v>45</v>
      </c>
      <c r="G180" s="28" t="s">
        <v>45</v>
      </c>
      <c r="H180" s="29"/>
      <c r="I180" s="29" t="s">
        <v>567</v>
      </c>
      <c r="J180" s="30">
        <v>1</v>
      </c>
      <c r="K180" s="31">
        <f>7453</f>
        <v>7453</v>
      </c>
      <c r="L180" s="32" t="s">
        <v>995</v>
      </c>
      <c r="M180" s="31">
        <f>8527</f>
        <v>8527</v>
      </c>
      <c r="N180" s="32" t="s">
        <v>791</v>
      </c>
      <c r="O180" s="31">
        <f>7382</f>
        <v>7382</v>
      </c>
      <c r="P180" s="32" t="s">
        <v>1000</v>
      </c>
      <c r="Q180" s="31">
        <f>8527</f>
        <v>8527</v>
      </c>
      <c r="R180" s="32" t="s">
        <v>791</v>
      </c>
      <c r="S180" s="33">
        <f>7843.95</f>
        <v>7843.95</v>
      </c>
      <c r="T180" s="30">
        <f>8389</f>
        <v>8389</v>
      </c>
      <c r="U180" s="30" t="str">
        <f>"－"</f>
        <v>－</v>
      </c>
      <c r="V180" s="30">
        <f>67050570</f>
        <v>67050570</v>
      </c>
      <c r="W180" s="30" t="str">
        <f>"－"</f>
        <v>－</v>
      </c>
      <c r="X180" s="34">
        <f>20</f>
        <v>20</v>
      </c>
    </row>
    <row r="181" spans="1:24" ht="13.5" customHeight="1" x14ac:dyDescent="0.15">
      <c r="A181" s="25" t="s">
        <v>1091</v>
      </c>
      <c r="B181" s="25" t="s">
        <v>571</v>
      </c>
      <c r="C181" s="25" t="s">
        <v>572</v>
      </c>
      <c r="D181" s="25" t="s">
        <v>573</v>
      </c>
      <c r="E181" s="26" t="s">
        <v>45</v>
      </c>
      <c r="F181" s="27" t="s">
        <v>45</v>
      </c>
      <c r="G181" s="28" t="s">
        <v>45</v>
      </c>
      <c r="H181" s="29"/>
      <c r="I181" s="29" t="s">
        <v>567</v>
      </c>
      <c r="J181" s="30">
        <v>1</v>
      </c>
      <c r="K181" s="31">
        <f>11175</f>
        <v>11175</v>
      </c>
      <c r="L181" s="32" t="s">
        <v>995</v>
      </c>
      <c r="M181" s="31">
        <f>12425</f>
        <v>12425</v>
      </c>
      <c r="N181" s="32" t="s">
        <v>1017</v>
      </c>
      <c r="O181" s="31">
        <f>10500</f>
        <v>10500</v>
      </c>
      <c r="P181" s="32" t="s">
        <v>1002</v>
      </c>
      <c r="Q181" s="31">
        <f>12250</f>
        <v>12250</v>
      </c>
      <c r="R181" s="32" t="s">
        <v>791</v>
      </c>
      <c r="S181" s="33">
        <f>11565.91</f>
        <v>11565.91</v>
      </c>
      <c r="T181" s="30">
        <f>258</f>
        <v>258</v>
      </c>
      <c r="U181" s="30" t="str">
        <f>"－"</f>
        <v>－</v>
      </c>
      <c r="V181" s="30">
        <f>2989075</f>
        <v>2989075</v>
      </c>
      <c r="W181" s="30" t="str">
        <f>"－"</f>
        <v>－</v>
      </c>
      <c r="X181" s="34">
        <f>11</f>
        <v>11</v>
      </c>
    </row>
    <row r="182" spans="1:24" ht="13.5" customHeight="1" x14ac:dyDescent="0.15">
      <c r="A182" s="25" t="s">
        <v>1091</v>
      </c>
      <c r="B182" s="25" t="s">
        <v>574</v>
      </c>
      <c r="C182" s="25" t="s">
        <v>575</v>
      </c>
      <c r="D182" s="25" t="s">
        <v>576</v>
      </c>
      <c r="E182" s="26" t="s">
        <v>45</v>
      </c>
      <c r="F182" s="27" t="s">
        <v>45</v>
      </c>
      <c r="G182" s="28" t="s">
        <v>45</v>
      </c>
      <c r="H182" s="29"/>
      <c r="I182" s="29" t="s">
        <v>567</v>
      </c>
      <c r="J182" s="30">
        <v>1</v>
      </c>
      <c r="K182" s="31">
        <f>7561</f>
        <v>7561</v>
      </c>
      <c r="L182" s="32" t="s">
        <v>995</v>
      </c>
      <c r="M182" s="31">
        <f>7747</f>
        <v>7747</v>
      </c>
      <c r="N182" s="32" t="s">
        <v>786</v>
      </c>
      <c r="O182" s="31">
        <f>7508</f>
        <v>7508</v>
      </c>
      <c r="P182" s="32" t="s">
        <v>1001</v>
      </c>
      <c r="Q182" s="31">
        <f>7618</f>
        <v>7618</v>
      </c>
      <c r="R182" s="32" t="s">
        <v>791</v>
      </c>
      <c r="S182" s="33">
        <f>7631.05</f>
        <v>7631.05</v>
      </c>
      <c r="T182" s="30">
        <f>6684</f>
        <v>6684</v>
      </c>
      <c r="U182" s="30" t="str">
        <f>"－"</f>
        <v>－</v>
      </c>
      <c r="V182" s="30">
        <f>50886975</f>
        <v>50886975</v>
      </c>
      <c r="W182" s="30" t="str">
        <f>"－"</f>
        <v>－</v>
      </c>
      <c r="X182" s="34">
        <f>20</f>
        <v>20</v>
      </c>
    </row>
    <row r="183" spans="1:24" ht="13.5" customHeight="1" x14ac:dyDescent="0.15">
      <c r="A183" s="25" t="s">
        <v>1091</v>
      </c>
      <c r="B183" s="25" t="s">
        <v>577</v>
      </c>
      <c r="C183" s="25" t="s">
        <v>578</v>
      </c>
      <c r="D183" s="25" t="s">
        <v>579</v>
      </c>
      <c r="E183" s="26" t="s">
        <v>45</v>
      </c>
      <c r="F183" s="27" t="s">
        <v>45</v>
      </c>
      <c r="G183" s="28" t="s">
        <v>45</v>
      </c>
      <c r="H183" s="29"/>
      <c r="I183" s="29" t="s">
        <v>567</v>
      </c>
      <c r="J183" s="30">
        <v>1</v>
      </c>
      <c r="K183" s="31">
        <f>31830</f>
        <v>31830</v>
      </c>
      <c r="L183" s="32" t="s">
        <v>995</v>
      </c>
      <c r="M183" s="31">
        <f>33370</f>
        <v>33370</v>
      </c>
      <c r="N183" s="32" t="s">
        <v>875</v>
      </c>
      <c r="O183" s="31">
        <f>31710</f>
        <v>31710</v>
      </c>
      <c r="P183" s="32" t="s">
        <v>995</v>
      </c>
      <c r="Q183" s="31">
        <f>32370</f>
        <v>32370</v>
      </c>
      <c r="R183" s="32" t="s">
        <v>791</v>
      </c>
      <c r="S183" s="33">
        <f>32475</f>
        <v>32475</v>
      </c>
      <c r="T183" s="30">
        <f>32239</f>
        <v>32239</v>
      </c>
      <c r="U183" s="30">
        <f>3</f>
        <v>3</v>
      </c>
      <c r="V183" s="30">
        <f>1048341440</f>
        <v>1048341440</v>
      </c>
      <c r="W183" s="30">
        <f>96930</f>
        <v>96930</v>
      </c>
      <c r="X183" s="34">
        <f>20</f>
        <v>20</v>
      </c>
    </row>
    <row r="184" spans="1:24" ht="13.5" customHeight="1" x14ac:dyDescent="0.15">
      <c r="A184" s="25" t="s">
        <v>1091</v>
      </c>
      <c r="B184" s="25" t="s">
        <v>580</v>
      </c>
      <c r="C184" s="25" t="s">
        <v>581</v>
      </c>
      <c r="D184" s="25" t="s">
        <v>582</v>
      </c>
      <c r="E184" s="26" t="s">
        <v>45</v>
      </c>
      <c r="F184" s="27" t="s">
        <v>45</v>
      </c>
      <c r="G184" s="28" t="s">
        <v>45</v>
      </c>
      <c r="H184" s="29"/>
      <c r="I184" s="29" t="s">
        <v>567</v>
      </c>
      <c r="J184" s="30">
        <v>1</v>
      </c>
      <c r="K184" s="31">
        <f>3910</f>
        <v>3910</v>
      </c>
      <c r="L184" s="32" t="s">
        <v>995</v>
      </c>
      <c r="M184" s="31">
        <f>3920</f>
        <v>3920</v>
      </c>
      <c r="N184" s="32" t="s">
        <v>995</v>
      </c>
      <c r="O184" s="31">
        <f>3815</f>
        <v>3815</v>
      </c>
      <c r="P184" s="32" t="s">
        <v>791</v>
      </c>
      <c r="Q184" s="31">
        <f>3820</f>
        <v>3820</v>
      </c>
      <c r="R184" s="32" t="s">
        <v>791</v>
      </c>
      <c r="S184" s="33">
        <f>3871.5</f>
        <v>3871.5</v>
      </c>
      <c r="T184" s="30">
        <f>9882</f>
        <v>9882</v>
      </c>
      <c r="U184" s="30" t="str">
        <f>"－"</f>
        <v>－</v>
      </c>
      <c r="V184" s="30">
        <f>38258130</f>
        <v>38258130</v>
      </c>
      <c r="W184" s="30" t="str">
        <f>"－"</f>
        <v>－</v>
      </c>
      <c r="X184" s="34">
        <f>20</f>
        <v>20</v>
      </c>
    </row>
    <row r="185" spans="1:24" ht="13.5" customHeight="1" x14ac:dyDescent="0.15">
      <c r="A185" s="25" t="s">
        <v>1091</v>
      </c>
      <c r="B185" s="25" t="s">
        <v>583</v>
      </c>
      <c r="C185" s="25" t="s">
        <v>584</v>
      </c>
      <c r="D185" s="25" t="s">
        <v>585</v>
      </c>
      <c r="E185" s="26" t="s">
        <v>45</v>
      </c>
      <c r="F185" s="27" t="s">
        <v>45</v>
      </c>
      <c r="G185" s="28" t="s">
        <v>45</v>
      </c>
      <c r="H185" s="29"/>
      <c r="I185" s="29" t="s">
        <v>567</v>
      </c>
      <c r="J185" s="30">
        <v>1</v>
      </c>
      <c r="K185" s="31">
        <f>1296</f>
        <v>1296</v>
      </c>
      <c r="L185" s="32" t="s">
        <v>995</v>
      </c>
      <c r="M185" s="31">
        <f>1324</f>
        <v>1324</v>
      </c>
      <c r="N185" s="32" t="s">
        <v>1017</v>
      </c>
      <c r="O185" s="31">
        <f>1117</f>
        <v>1117</v>
      </c>
      <c r="P185" s="32" t="s">
        <v>1002</v>
      </c>
      <c r="Q185" s="31">
        <f>1189</f>
        <v>1189</v>
      </c>
      <c r="R185" s="32" t="s">
        <v>791</v>
      </c>
      <c r="S185" s="33">
        <f>1223.2</f>
        <v>1223.2</v>
      </c>
      <c r="T185" s="30">
        <f>41453415</f>
        <v>41453415</v>
      </c>
      <c r="U185" s="30">
        <f>42655</f>
        <v>42655</v>
      </c>
      <c r="V185" s="30">
        <f>50570851717</f>
        <v>50570851717</v>
      </c>
      <c r="W185" s="30">
        <f>53078924</f>
        <v>53078924</v>
      </c>
      <c r="X185" s="34">
        <f>20</f>
        <v>20</v>
      </c>
    </row>
    <row r="186" spans="1:24" ht="13.5" customHeight="1" x14ac:dyDescent="0.15">
      <c r="A186" s="25" t="s">
        <v>1091</v>
      </c>
      <c r="B186" s="25" t="s">
        <v>586</v>
      </c>
      <c r="C186" s="25" t="s">
        <v>587</v>
      </c>
      <c r="D186" s="25" t="s">
        <v>588</v>
      </c>
      <c r="E186" s="26" t="s">
        <v>45</v>
      </c>
      <c r="F186" s="27" t="s">
        <v>45</v>
      </c>
      <c r="G186" s="28" t="s">
        <v>45</v>
      </c>
      <c r="H186" s="29"/>
      <c r="I186" s="29" t="s">
        <v>567</v>
      </c>
      <c r="J186" s="30">
        <v>1</v>
      </c>
      <c r="K186" s="31">
        <f>1387</f>
        <v>1387</v>
      </c>
      <c r="L186" s="32" t="s">
        <v>995</v>
      </c>
      <c r="M186" s="31">
        <f>1492</f>
        <v>1492</v>
      </c>
      <c r="N186" s="32" t="s">
        <v>1002</v>
      </c>
      <c r="O186" s="31">
        <f>1353</f>
        <v>1353</v>
      </c>
      <c r="P186" s="32" t="s">
        <v>1017</v>
      </c>
      <c r="Q186" s="31">
        <f>1429</f>
        <v>1429</v>
      </c>
      <c r="R186" s="32" t="s">
        <v>791</v>
      </c>
      <c r="S186" s="33">
        <f>1420.6</f>
        <v>1420.6</v>
      </c>
      <c r="T186" s="30">
        <f>1791343</f>
        <v>1791343</v>
      </c>
      <c r="U186" s="30">
        <f>2986</f>
        <v>2986</v>
      </c>
      <c r="V186" s="30">
        <f>2540985395</f>
        <v>2540985395</v>
      </c>
      <c r="W186" s="30">
        <f>4275965</f>
        <v>4275965</v>
      </c>
      <c r="X186" s="34">
        <f>20</f>
        <v>20</v>
      </c>
    </row>
    <row r="187" spans="1:24" ht="13.5" customHeight="1" x14ac:dyDescent="0.15">
      <c r="A187" s="25" t="s">
        <v>1091</v>
      </c>
      <c r="B187" s="25" t="s">
        <v>589</v>
      </c>
      <c r="C187" s="25" t="s">
        <v>590</v>
      </c>
      <c r="D187" s="25" t="s">
        <v>591</v>
      </c>
      <c r="E187" s="26" t="s">
        <v>45</v>
      </c>
      <c r="F187" s="27" t="s">
        <v>45</v>
      </c>
      <c r="G187" s="28" t="s">
        <v>45</v>
      </c>
      <c r="H187" s="29"/>
      <c r="I187" s="29" t="s">
        <v>567</v>
      </c>
      <c r="J187" s="30">
        <v>1</v>
      </c>
      <c r="K187" s="31">
        <f>25040</f>
        <v>25040</v>
      </c>
      <c r="L187" s="32" t="s">
        <v>995</v>
      </c>
      <c r="M187" s="31">
        <f>25145</f>
        <v>25145</v>
      </c>
      <c r="N187" s="32" t="s">
        <v>995</v>
      </c>
      <c r="O187" s="31">
        <f>23165</f>
        <v>23165</v>
      </c>
      <c r="P187" s="32" t="s">
        <v>789</v>
      </c>
      <c r="Q187" s="31">
        <f>23500</f>
        <v>23500</v>
      </c>
      <c r="R187" s="32" t="s">
        <v>791</v>
      </c>
      <c r="S187" s="33">
        <f>24026.5</f>
        <v>24026.5</v>
      </c>
      <c r="T187" s="30">
        <f>70609</f>
        <v>70609</v>
      </c>
      <c r="U187" s="30">
        <f>46</f>
        <v>46</v>
      </c>
      <c r="V187" s="30">
        <f>1697842060</f>
        <v>1697842060</v>
      </c>
      <c r="W187" s="30">
        <f>1086320</f>
        <v>1086320</v>
      </c>
      <c r="X187" s="34">
        <f>20</f>
        <v>20</v>
      </c>
    </row>
    <row r="188" spans="1:24" ht="13.5" customHeight="1" x14ac:dyDescent="0.15">
      <c r="A188" s="25" t="s">
        <v>1091</v>
      </c>
      <c r="B188" s="25" t="s">
        <v>592</v>
      </c>
      <c r="C188" s="25" t="s">
        <v>593</v>
      </c>
      <c r="D188" s="25" t="s">
        <v>594</v>
      </c>
      <c r="E188" s="26" t="s">
        <v>45</v>
      </c>
      <c r="F188" s="27" t="s">
        <v>45</v>
      </c>
      <c r="G188" s="28" t="s">
        <v>45</v>
      </c>
      <c r="H188" s="29"/>
      <c r="I188" s="29" t="s">
        <v>567</v>
      </c>
      <c r="J188" s="30">
        <v>1</v>
      </c>
      <c r="K188" s="31">
        <f>2892</f>
        <v>2892</v>
      </c>
      <c r="L188" s="32" t="s">
        <v>995</v>
      </c>
      <c r="M188" s="31">
        <f>2983</f>
        <v>2983</v>
      </c>
      <c r="N188" s="32" t="s">
        <v>789</v>
      </c>
      <c r="O188" s="31">
        <f>2875</f>
        <v>2875</v>
      </c>
      <c r="P188" s="32" t="s">
        <v>999</v>
      </c>
      <c r="Q188" s="31">
        <f>2956</f>
        <v>2956</v>
      </c>
      <c r="R188" s="32" t="s">
        <v>791</v>
      </c>
      <c r="S188" s="33">
        <f>2926.05</f>
        <v>2926.05</v>
      </c>
      <c r="T188" s="30">
        <f>391674</f>
        <v>391674</v>
      </c>
      <c r="U188" s="30" t="str">
        <f t="shared" ref="U188:U196" si="4">"－"</f>
        <v>－</v>
      </c>
      <c r="V188" s="30">
        <f>1146868877</f>
        <v>1146868877</v>
      </c>
      <c r="W188" s="30" t="str">
        <f t="shared" ref="W188:W196" si="5">"－"</f>
        <v>－</v>
      </c>
      <c r="X188" s="34">
        <f>20</f>
        <v>20</v>
      </c>
    </row>
    <row r="189" spans="1:24" ht="13.5" customHeight="1" x14ac:dyDescent="0.15">
      <c r="A189" s="25" t="s">
        <v>1091</v>
      </c>
      <c r="B189" s="25" t="s">
        <v>595</v>
      </c>
      <c r="C189" s="25" t="s">
        <v>596</v>
      </c>
      <c r="D189" s="25" t="s">
        <v>597</v>
      </c>
      <c r="E189" s="26" t="s">
        <v>45</v>
      </c>
      <c r="F189" s="27" t="s">
        <v>45</v>
      </c>
      <c r="G189" s="28" t="s">
        <v>45</v>
      </c>
      <c r="H189" s="29"/>
      <c r="I189" s="29" t="s">
        <v>567</v>
      </c>
      <c r="J189" s="30">
        <v>1</v>
      </c>
      <c r="K189" s="31">
        <f>7949</f>
        <v>7949</v>
      </c>
      <c r="L189" s="32" t="s">
        <v>995</v>
      </c>
      <c r="M189" s="31">
        <f>8188</f>
        <v>8188</v>
      </c>
      <c r="N189" s="32" t="s">
        <v>894</v>
      </c>
      <c r="O189" s="31">
        <f>7778</f>
        <v>7778</v>
      </c>
      <c r="P189" s="32" t="s">
        <v>893</v>
      </c>
      <c r="Q189" s="31">
        <f>7959</f>
        <v>7959</v>
      </c>
      <c r="R189" s="32" t="s">
        <v>791</v>
      </c>
      <c r="S189" s="33">
        <f>7935.4</f>
        <v>7935.4</v>
      </c>
      <c r="T189" s="30">
        <f>21826</f>
        <v>21826</v>
      </c>
      <c r="U189" s="30" t="str">
        <f t="shared" si="4"/>
        <v>－</v>
      </c>
      <c r="V189" s="30">
        <f>174331574</f>
        <v>174331574</v>
      </c>
      <c r="W189" s="30" t="str">
        <f t="shared" si="5"/>
        <v>－</v>
      </c>
      <c r="X189" s="34">
        <f>20</f>
        <v>20</v>
      </c>
    </row>
    <row r="190" spans="1:24" ht="13.5" customHeight="1" x14ac:dyDescent="0.15">
      <c r="A190" s="25" t="s">
        <v>1091</v>
      </c>
      <c r="B190" s="25" t="s">
        <v>598</v>
      </c>
      <c r="C190" s="25" t="s">
        <v>599</v>
      </c>
      <c r="D190" s="25" t="s">
        <v>600</v>
      </c>
      <c r="E190" s="26" t="s">
        <v>45</v>
      </c>
      <c r="F190" s="27" t="s">
        <v>45</v>
      </c>
      <c r="G190" s="28" t="s">
        <v>45</v>
      </c>
      <c r="H190" s="29"/>
      <c r="I190" s="29" t="s">
        <v>567</v>
      </c>
      <c r="J190" s="30">
        <v>1</v>
      </c>
      <c r="K190" s="31">
        <f>17000</f>
        <v>17000</v>
      </c>
      <c r="L190" s="32" t="s">
        <v>995</v>
      </c>
      <c r="M190" s="31">
        <f>17050</f>
        <v>17050</v>
      </c>
      <c r="N190" s="32" t="s">
        <v>995</v>
      </c>
      <c r="O190" s="31">
        <f>16255</f>
        <v>16255</v>
      </c>
      <c r="P190" s="32" t="s">
        <v>1002</v>
      </c>
      <c r="Q190" s="31">
        <f>16625</f>
        <v>16625</v>
      </c>
      <c r="R190" s="32" t="s">
        <v>791</v>
      </c>
      <c r="S190" s="33">
        <f>16553.85</f>
        <v>16553.849999999999</v>
      </c>
      <c r="T190" s="30">
        <f>193</f>
        <v>193</v>
      </c>
      <c r="U190" s="30" t="str">
        <f t="shared" si="4"/>
        <v>－</v>
      </c>
      <c r="V190" s="30">
        <f>3213195</f>
        <v>3213195</v>
      </c>
      <c r="W190" s="30" t="str">
        <f t="shared" si="5"/>
        <v>－</v>
      </c>
      <c r="X190" s="34">
        <f>13</f>
        <v>13</v>
      </c>
    </row>
    <row r="191" spans="1:24" ht="13.5" customHeight="1" x14ac:dyDescent="0.15">
      <c r="A191" s="25" t="s">
        <v>1091</v>
      </c>
      <c r="B191" s="25" t="s">
        <v>601</v>
      </c>
      <c r="C191" s="25" t="s">
        <v>602</v>
      </c>
      <c r="D191" s="25" t="s">
        <v>603</v>
      </c>
      <c r="E191" s="26" t="s">
        <v>45</v>
      </c>
      <c r="F191" s="27" t="s">
        <v>45</v>
      </c>
      <c r="G191" s="28" t="s">
        <v>45</v>
      </c>
      <c r="H191" s="29"/>
      <c r="I191" s="29" t="s">
        <v>567</v>
      </c>
      <c r="J191" s="30">
        <v>1</v>
      </c>
      <c r="K191" s="31">
        <f>23775</f>
        <v>23775</v>
      </c>
      <c r="L191" s="32" t="s">
        <v>995</v>
      </c>
      <c r="M191" s="31">
        <f>24090</f>
        <v>24090</v>
      </c>
      <c r="N191" s="32" t="s">
        <v>999</v>
      </c>
      <c r="O191" s="31">
        <f>23050</f>
        <v>23050</v>
      </c>
      <c r="P191" s="32" t="s">
        <v>787</v>
      </c>
      <c r="Q191" s="31">
        <f>23175</f>
        <v>23175</v>
      </c>
      <c r="R191" s="32" t="s">
        <v>791</v>
      </c>
      <c r="S191" s="33">
        <f>23433</f>
        <v>23433</v>
      </c>
      <c r="T191" s="30">
        <f>32359</f>
        <v>32359</v>
      </c>
      <c r="U191" s="30" t="str">
        <f t="shared" si="4"/>
        <v>－</v>
      </c>
      <c r="V191" s="30">
        <f>765062010</f>
        <v>765062010</v>
      </c>
      <c r="W191" s="30" t="str">
        <f t="shared" si="5"/>
        <v>－</v>
      </c>
      <c r="X191" s="34">
        <f>20</f>
        <v>20</v>
      </c>
    </row>
    <row r="192" spans="1:24" ht="13.5" customHeight="1" x14ac:dyDescent="0.15">
      <c r="A192" s="25" t="s">
        <v>1091</v>
      </c>
      <c r="B192" s="25" t="s">
        <v>604</v>
      </c>
      <c r="C192" s="25" t="s">
        <v>605</v>
      </c>
      <c r="D192" s="25" t="s">
        <v>606</v>
      </c>
      <c r="E192" s="26" t="s">
        <v>45</v>
      </c>
      <c r="F192" s="27" t="s">
        <v>45</v>
      </c>
      <c r="G192" s="28" t="s">
        <v>45</v>
      </c>
      <c r="H192" s="29"/>
      <c r="I192" s="29" t="s">
        <v>567</v>
      </c>
      <c r="J192" s="30">
        <v>1</v>
      </c>
      <c r="K192" s="31">
        <f>15670</f>
        <v>15670</v>
      </c>
      <c r="L192" s="32" t="s">
        <v>995</v>
      </c>
      <c r="M192" s="31">
        <f>16065</f>
        <v>16065</v>
      </c>
      <c r="N192" s="32" t="s">
        <v>1002</v>
      </c>
      <c r="O192" s="31">
        <f>15430</f>
        <v>15430</v>
      </c>
      <c r="P192" s="32" t="s">
        <v>794</v>
      </c>
      <c r="Q192" s="31">
        <f>15670</f>
        <v>15670</v>
      </c>
      <c r="R192" s="32" t="s">
        <v>791</v>
      </c>
      <c r="S192" s="33">
        <f>15763.67</f>
        <v>15763.67</v>
      </c>
      <c r="T192" s="30">
        <f>101</f>
        <v>101</v>
      </c>
      <c r="U192" s="30" t="str">
        <f t="shared" si="4"/>
        <v>－</v>
      </c>
      <c r="V192" s="30">
        <f>1593830</f>
        <v>1593830</v>
      </c>
      <c r="W192" s="30" t="str">
        <f t="shared" si="5"/>
        <v>－</v>
      </c>
      <c r="X192" s="34">
        <f>15</f>
        <v>15</v>
      </c>
    </row>
    <row r="193" spans="1:24" ht="13.5" customHeight="1" x14ac:dyDescent="0.15">
      <c r="A193" s="25" t="s">
        <v>1091</v>
      </c>
      <c r="B193" s="25" t="s">
        <v>607</v>
      </c>
      <c r="C193" s="25" t="s">
        <v>608</v>
      </c>
      <c r="D193" s="25" t="s">
        <v>609</v>
      </c>
      <c r="E193" s="26" t="s">
        <v>45</v>
      </c>
      <c r="F193" s="27" t="s">
        <v>45</v>
      </c>
      <c r="G193" s="28" t="s">
        <v>45</v>
      </c>
      <c r="H193" s="29"/>
      <c r="I193" s="29" t="s">
        <v>567</v>
      </c>
      <c r="J193" s="30">
        <v>1</v>
      </c>
      <c r="K193" s="31">
        <f>18650</f>
        <v>18650</v>
      </c>
      <c r="L193" s="32" t="s">
        <v>995</v>
      </c>
      <c r="M193" s="31">
        <f>20185</f>
        <v>20185</v>
      </c>
      <c r="N193" s="32" t="s">
        <v>893</v>
      </c>
      <c r="O193" s="31">
        <f>18430</f>
        <v>18430</v>
      </c>
      <c r="P193" s="32" t="s">
        <v>1002</v>
      </c>
      <c r="Q193" s="31">
        <f>19795</f>
        <v>19795</v>
      </c>
      <c r="R193" s="32" t="s">
        <v>791</v>
      </c>
      <c r="S193" s="33">
        <f>19122.25</f>
        <v>19122.25</v>
      </c>
      <c r="T193" s="30">
        <f>40813</f>
        <v>40813</v>
      </c>
      <c r="U193" s="30" t="str">
        <f t="shared" si="4"/>
        <v>－</v>
      </c>
      <c r="V193" s="30">
        <f>779566485</f>
        <v>779566485</v>
      </c>
      <c r="W193" s="30" t="str">
        <f t="shared" si="5"/>
        <v>－</v>
      </c>
      <c r="X193" s="34">
        <f>20</f>
        <v>20</v>
      </c>
    </row>
    <row r="194" spans="1:24" ht="13.5" customHeight="1" x14ac:dyDescent="0.15">
      <c r="A194" s="25" t="s">
        <v>1091</v>
      </c>
      <c r="B194" s="25" t="s">
        <v>610</v>
      </c>
      <c r="C194" s="25" t="s">
        <v>611</v>
      </c>
      <c r="D194" s="25" t="s">
        <v>612</v>
      </c>
      <c r="E194" s="26" t="s">
        <v>45</v>
      </c>
      <c r="F194" s="27" t="s">
        <v>45</v>
      </c>
      <c r="G194" s="28" t="s">
        <v>45</v>
      </c>
      <c r="H194" s="29"/>
      <c r="I194" s="29" t="s">
        <v>567</v>
      </c>
      <c r="J194" s="30">
        <v>1</v>
      </c>
      <c r="K194" s="31">
        <f>4270</f>
        <v>4270</v>
      </c>
      <c r="L194" s="32" t="s">
        <v>995</v>
      </c>
      <c r="M194" s="31">
        <f>4295</f>
        <v>4295</v>
      </c>
      <c r="N194" s="32" t="s">
        <v>999</v>
      </c>
      <c r="O194" s="31">
        <f>4105</f>
        <v>4105</v>
      </c>
      <c r="P194" s="32" t="s">
        <v>794</v>
      </c>
      <c r="Q194" s="31">
        <f>4195</f>
        <v>4195</v>
      </c>
      <c r="R194" s="32" t="s">
        <v>791</v>
      </c>
      <c r="S194" s="33">
        <f>4197.75</f>
        <v>4197.75</v>
      </c>
      <c r="T194" s="30">
        <f>5633</f>
        <v>5633</v>
      </c>
      <c r="U194" s="30" t="str">
        <f t="shared" si="4"/>
        <v>－</v>
      </c>
      <c r="V194" s="30">
        <f>23697025</f>
        <v>23697025</v>
      </c>
      <c r="W194" s="30" t="str">
        <f t="shared" si="5"/>
        <v>－</v>
      </c>
      <c r="X194" s="34">
        <f>20</f>
        <v>20</v>
      </c>
    </row>
    <row r="195" spans="1:24" ht="13.5" customHeight="1" x14ac:dyDescent="0.15">
      <c r="A195" s="25" t="s">
        <v>1091</v>
      </c>
      <c r="B195" s="25" t="s">
        <v>613</v>
      </c>
      <c r="C195" s="25" t="s">
        <v>614</v>
      </c>
      <c r="D195" s="25" t="s">
        <v>615</v>
      </c>
      <c r="E195" s="26" t="s">
        <v>45</v>
      </c>
      <c r="F195" s="27" t="s">
        <v>45</v>
      </c>
      <c r="G195" s="28" t="s">
        <v>45</v>
      </c>
      <c r="H195" s="29"/>
      <c r="I195" s="29" t="s">
        <v>567</v>
      </c>
      <c r="J195" s="30">
        <v>1</v>
      </c>
      <c r="K195" s="31">
        <f>17770</f>
        <v>17770</v>
      </c>
      <c r="L195" s="32" t="s">
        <v>995</v>
      </c>
      <c r="M195" s="31">
        <f>18775</f>
        <v>18775</v>
      </c>
      <c r="N195" s="32" t="s">
        <v>1017</v>
      </c>
      <c r="O195" s="31">
        <f>17100</f>
        <v>17100</v>
      </c>
      <c r="P195" s="32" t="s">
        <v>787</v>
      </c>
      <c r="Q195" s="31">
        <f>18235</f>
        <v>18235</v>
      </c>
      <c r="R195" s="32" t="s">
        <v>791</v>
      </c>
      <c r="S195" s="33">
        <f>17836.56</f>
        <v>17836.560000000001</v>
      </c>
      <c r="T195" s="30">
        <f>5506</f>
        <v>5506</v>
      </c>
      <c r="U195" s="30" t="str">
        <f t="shared" si="4"/>
        <v>－</v>
      </c>
      <c r="V195" s="30">
        <f>98586040</f>
        <v>98586040</v>
      </c>
      <c r="W195" s="30" t="str">
        <f t="shared" si="5"/>
        <v>－</v>
      </c>
      <c r="X195" s="34">
        <f>16</f>
        <v>16</v>
      </c>
    </row>
    <row r="196" spans="1:24" ht="13.5" customHeight="1" x14ac:dyDescent="0.15">
      <c r="A196" s="25" t="s">
        <v>1091</v>
      </c>
      <c r="B196" s="25" t="s">
        <v>616</v>
      </c>
      <c r="C196" s="25" t="s">
        <v>617</v>
      </c>
      <c r="D196" s="25" t="s">
        <v>618</v>
      </c>
      <c r="E196" s="26" t="s">
        <v>45</v>
      </c>
      <c r="F196" s="27" t="s">
        <v>45</v>
      </c>
      <c r="G196" s="28" t="s">
        <v>45</v>
      </c>
      <c r="H196" s="29"/>
      <c r="I196" s="29" t="s">
        <v>567</v>
      </c>
      <c r="J196" s="30">
        <v>1</v>
      </c>
      <c r="K196" s="31">
        <f>14430</f>
        <v>14430</v>
      </c>
      <c r="L196" s="32" t="s">
        <v>1000</v>
      </c>
      <c r="M196" s="31">
        <f>14965</f>
        <v>14965</v>
      </c>
      <c r="N196" s="32" t="s">
        <v>1017</v>
      </c>
      <c r="O196" s="31">
        <f>14430</f>
        <v>14430</v>
      </c>
      <c r="P196" s="32" t="s">
        <v>1000</v>
      </c>
      <c r="Q196" s="31">
        <f>14555</f>
        <v>14555</v>
      </c>
      <c r="R196" s="32" t="s">
        <v>791</v>
      </c>
      <c r="S196" s="33">
        <f>14655.63</f>
        <v>14655.63</v>
      </c>
      <c r="T196" s="30">
        <f>13</f>
        <v>13</v>
      </c>
      <c r="U196" s="30" t="str">
        <f t="shared" si="4"/>
        <v>－</v>
      </c>
      <c r="V196" s="30">
        <f>190410</f>
        <v>190410</v>
      </c>
      <c r="W196" s="30" t="str">
        <f t="shared" si="5"/>
        <v>－</v>
      </c>
      <c r="X196" s="34">
        <f>8</f>
        <v>8</v>
      </c>
    </row>
    <row r="197" spans="1:24" ht="13.5" customHeight="1" x14ac:dyDescent="0.15">
      <c r="A197" s="25" t="s">
        <v>1091</v>
      </c>
      <c r="B197" s="25" t="s">
        <v>619</v>
      </c>
      <c r="C197" s="25" t="s">
        <v>620</v>
      </c>
      <c r="D197" s="25" t="s">
        <v>621</v>
      </c>
      <c r="E197" s="26" t="s">
        <v>45</v>
      </c>
      <c r="F197" s="27" t="s">
        <v>45</v>
      </c>
      <c r="G197" s="28" t="s">
        <v>45</v>
      </c>
      <c r="H197" s="29"/>
      <c r="I197" s="29" t="s">
        <v>567</v>
      </c>
      <c r="J197" s="30">
        <v>1</v>
      </c>
      <c r="K197" s="31">
        <f>20565</f>
        <v>20565</v>
      </c>
      <c r="L197" s="32" t="s">
        <v>995</v>
      </c>
      <c r="M197" s="31">
        <f>22170</f>
        <v>22170</v>
      </c>
      <c r="N197" s="32" t="s">
        <v>1017</v>
      </c>
      <c r="O197" s="31">
        <f>20510</f>
        <v>20510</v>
      </c>
      <c r="P197" s="32" t="s">
        <v>1004</v>
      </c>
      <c r="Q197" s="31">
        <f>21765</f>
        <v>21765</v>
      </c>
      <c r="R197" s="32" t="s">
        <v>791</v>
      </c>
      <c r="S197" s="33">
        <f>21416.43</f>
        <v>21416.43</v>
      </c>
      <c r="T197" s="30">
        <f>1440</f>
        <v>1440</v>
      </c>
      <c r="U197" s="30">
        <f>600</f>
        <v>600</v>
      </c>
      <c r="V197" s="30">
        <f>30872725</f>
        <v>30872725</v>
      </c>
      <c r="W197" s="30">
        <f>12774000</f>
        <v>12774000</v>
      </c>
      <c r="X197" s="34">
        <f>14</f>
        <v>14</v>
      </c>
    </row>
    <row r="198" spans="1:24" ht="13.5" customHeight="1" x14ac:dyDescent="0.15">
      <c r="A198" s="25" t="s">
        <v>1091</v>
      </c>
      <c r="B198" s="25" t="s">
        <v>622</v>
      </c>
      <c r="C198" s="25" t="s">
        <v>623</v>
      </c>
      <c r="D198" s="25" t="s">
        <v>624</v>
      </c>
      <c r="E198" s="26" t="s">
        <v>45</v>
      </c>
      <c r="F198" s="27" t="s">
        <v>45</v>
      </c>
      <c r="G198" s="28" t="s">
        <v>45</v>
      </c>
      <c r="H198" s="29"/>
      <c r="I198" s="29" t="s">
        <v>567</v>
      </c>
      <c r="J198" s="30">
        <v>1</v>
      </c>
      <c r="K198" s="31">
        <f>16625</f>
        <v>16625</v>
      </c>
      <c r="L198" s="32" t="s">
        <v>999</v>
      </c>
      <c r="M198" s="31">
        <f>17100</f>
        <v>17100</v>
      </c>
      <c r="N198" s="32" t="s">
        <v>1017</v>
      </c>
      <c r="O198" s="31">
        <f>16490</f>
        <v>16490</v>
      </c>
      <c r="P198" s="32" t="s">
        <v>794</v>
      </c>
      <c r="Q198" s="31">
        <f>17100</f>
        <v>17100</v>
      </c>
      <c r="R198" s="32" t="s">
        <v>1017</v>
      </c>
      <c r="S198" s="33">
        <f>16745.71</f>
        <v>16745.71</v>
      </c>
      <c r="T198" s="30">
        <f>15</f>
        <v>15</v>
      </c>
      <c r="U198" s="30" t="str">
        <f t="shared" ref="U198:U208" si="6">"－"</f>
        <v>－</v>
      </c>
      <c r="V198" s="30">
        <f>250530</f>
        <v>250530</v>
      </c>
      <c r="W198" s="30" t="str">
        <f t="shared" ref="W198:W208" si="7">"－"</f>
        <v>－</v>
      </c>
      <c r="X198" s="34">
        <f>7</f>
        <v>7</v>
      </c>
    </row>
    <row r="199" spans="1:24" ht="13.5" customHeight="1" x14ac:dyDescent="0.15">
      <c r="A199" s="25" t="s">
        <v>1091</v>
      </c>
      <c r="B199" s="25" t="s">
        <v>625</v>
      </c>
      <c r="C199" s="25" t="s">
        <v>626</v>
      </c>
      <c r="D199" s="25" t="s">
        <v>627</v>
      </c>
      <c r="E199" s="26" t="s">
        <v>45</v>
      </c>
      <c r="F199" s="27" t="s">
        <v>45</v>
      </c>
      <c r="G199" s="28" t="s">
        <v>45</v>
      </c>
      <c r="H199" s="29"/>
      <c r="I199" s="29" t="s">
        <v>567</v>
      </c>
      <c r="J199" s="30">
        <v>1</v>
      </c>
      <c r="K199" s="31">
        <f>14425</f>
        <v>14425</v>
      </c>
      <c r="L199" s="32" t="s">
        <v>995</v>
      </c>
      <c r="M199" s="31">
        <f>15170</f>
        <v>15170</v>
      </c>
      <c r="N199" s="32" t="s">
        <v>894</v>
      </c>
      <c r="O199" s="31">
        <f>14400</f>
        <v>14400</v>
      </c>
      <c r="P199" s="32" t="s">
        <v>787</v>
      </c>
      <c r="Q199" s="31">
        <f>14750</f>
        <v>14750</v>
      </c>
      <c r="R199" s="32" t="s">
        <v>791</v>
      </c>
      <c r="S199" s="33">
        <f>14752.11</f>
        <v>14752.11</v>
      </c>
      <c r="T199" s="30">
        <f>1543</f>
        <v>1543</v>
      </c>
      <c r="U199" s="30" t="str">
        <f t="shared" si="6"/>
        <v>－</v>
      </c>
      <c r="V199" s="30">
        <f>22785670</f>
        <v>22785670</v>
      </c>
      <c r="W199" s="30" t="str">
        <f t="shared" si="7"/>
        <v>－</v>
      </c>
      <c r="X199" s="34">
        <f>19</f>
        <v>19</v>
      </c>
    </row>
    <row r="200" spans="1:24" ht="13.5" customHeight="1" x14ac:dyDescent="0.15">
      <c r="A200" s="25" t="s">
        <v>1091</v>
      </c>
      <c r="B200" s="25" t="s">
        <v>628</v>
      </c>
      <c r="C200" s="25" t="s">
        <v>629</v>
      </c>
      <c r="D200" s="25" t="s">
        <v>630</v>
      </c>
      <c r="E200" s="26" t="s">
        <v>45</v>
      </c>
      <c r="F200" s="27" t="s">
        <v>45</v>
      </c>
      <c r="G200" s="28" t="s">
        <v>45</v>
      </c>
      <c r="H200" s="29"/>
      <c r="I200" s="29" t="s">
        <v>567</v>
      </c>
      <c r="J200" s="30">
        <v>1</v>
      </c>
      <c r="K200" s="31">
        <f>16645</f>
        <v>16645</v>
      </c>
      <c r="L200" s="32" t="s">
        <v>1004</v>
      </c>
      <c r="M200" s="31">
        <f>16910</f>
        <v>16910</v>
      </c>
      <c r="N200" s="32" t="s">
        <v>793</v>
      </c>
      <c r="O200" s="31">
        <f>16605</f>
        <v>16605</v>
      </c>
      <c r="P200" s="32" t="s">
        <v>789</v>
      </c>
      <c r="Q200" s="31">
        <f>16695</f>
        <v>16695</v>
      </c>
      <c r="R200" s="32" t="s">
        <v>893</v>
      </c>
      <c r="S200" s="33">
        <f>16713.75</f>
        <v>16713.75</v>
      </c>
      <c r="T200" s="30">
        <f>38</f>
        <v>38</v>
      </c>
      <c r="U200" s="30" t="str">
        <f t="shared" si="6"/>
        <v>－</v>
      </c>
      <c r="V200" s="30">
        <f>635500</f>
        <v>635500</v>
      </c>
      <c r="W200" s="30" t="str">
        <f t="shared" si="7"/>
        <v>－</v>
      </c>
      <c r="X200" s="34">
        <f>4</f>
        <v>4</v>
      </c>
    </row>
    <row r="201" spans="1:24" ht="13.5" customHeight="1" x14ac:dyDescent="0.15">
      <c r="A201" s="25" t="s">
        <v>1091</v>
      </c>
      <c r="B201" s="25" t="s">
        <v>631</v>
      </c>
      <c r="C201" s="25" t="s">
        <v>632</v>
      </c>
      <c r="D201" s="25" t="s">
        <v>633</v>
      </c>
      <c r="E201" s="26" t="s">
        <v>45</v>
      </c>
      <c r="F201" s="27" t="s">
        <v>45</v>
      </c>
      <c r="G201" s="28" t="s">
        <v>45</v>
      </c>
      <c r="H201" s="29"/>
      <c r="I201" s="29" t="s">
        <v>567</v>
      </c>
      <c r="J201" s="30">
        <v>1</v>
      </c>
      <c r="K201" s="31">
        <f>14600</f>
        <v>14600</v>
      </c>
      <c r="L201" s="32" t="s">
        <v>794</v>
      </c>
      <c r="M201" s="31">
        <f>15055</f>
        <v>15055</v>
      </c>
      <c r="N201" s="32" t="s">
        <v>893</v>
      </c>
      <c r="O201" s="31">
        <f>14600</f>
        <v>14600</v>
      </c>
      <c r="P201" s="32" t="s">
        <v>794</v>
      </c>
      <c r="Q201" s="31">
        <f>15055</f>
        <v>15055</v>
      </c>
      <c r="R201" s="32" t="s">
        <v>893</v>
      </c>
      <c r="S201" s="33">
        <f>14891.67</f>
        <v>14891.67</v>
      </c>
      <c r="T201" s="30">
        <f>29</f>
        <v>29</v>
      </c>
      <c r="U201" s="30" t="str">
        <f t="shared" si="6"/>
        <v>－</v>
      </c>
      <c r="V201" s="30">
        <f>435475</f>
        <v>435475</v>
      </c>
      <c r="W201" s="30" t="str">
        <f t="shared" si="7"/>
        <v>－</v>
      </c>
      <c r="X201" s="34">
        <f>3</f>
        <v>3</v>
      </c>
    </row>
    <row r="202" spans="1:24" ht="13.5" customHeight="1" x14ac:dyDescent="0.15">
      <c r="A202" s="25" t="s">
        <v>1091</v>
      </c>
      <c r="B202" s="25" t="s">
        <v>634</v>
      </c>
      <c r="C202" s="25" t="s">
        <v>635</v>
      </c>
      <c r="D202" s="25" t="s">
        <v>636</v>
      </c>
      <c r="E202" s="26" t="s">
        <v>45</v>
      </c>
      <c r="F202" s="27" t="s">
        <v>45</v>
      </c>
      <c r="G202" s="28" t="s">
        <v>45</v>
      </c>
      <c r="H202" s="29"/>
      <c r="I202" s="29" t="s">
        <v>567</v>
      </c>
      <c r="J202" s="30">
        <v>1</v>
      </c>
      <c r="K202" s="31">
        <f>9935</f>
        <v>9935</v>
      </c>
      <c r="L202" s="32" t="s">
        <v>1004</v>
      </c>
      <c r="M202" s="31">
        <f>10450</f>
        <v>10450</v>
      </c>
      <c r="N202" s="32" t="s">
        <v>894</v>
      </c>
      <c r="O202" s="31">
        <f>9902</f>
        <v>9902</v>
      </c>
      <c r="P202" s="32" t="s">
        <v>794</v>
      </c>
      <c r="Q202" s="31">
        <f>10245</f>
        <v>10245</v>
      </c>
      <c r="R202" s="32" t="s">
        <v>893</v>
      </c>
      <c r="S202" s="33">
        <f>10178.42</f>
        <v>10178.42</v>
      </c>
      <c r="T202" s="30">
        <f>20804</f>
        <v>20804</v>
      </c>
      <c r="U202" s="30" t="str">
        <f t="shared" si="6"/>
        <v>－</v>
      </c>
      <c r="V202" s="30">
        <f>214681381</f>
        <v>214681381</v>
      </c>
      <c r="W202" s="30" t="str">
        <f t="shared" si="7"/>
        <v>－</v>
      </c>
      <c r="X202" s="34">
        <f>12</f>
        <v>12</v>
      </c>
    </row>
    <row r="203" spans="1:24" ht="13.5" customHeight="1" x14ac:dyDescent="0.15">
      <c r="A203" s="25" t="s">
        <v>1091</v>
      </c>
      <c r="B203" s="25" t="s">
        <v>637</v>
      </c>
      <c r="C203" s="25" t="s">
        <v>638</v>
      </c>
      <c r="D203" s="25" t="s">
        <v>639</v>
      </c>
      <c r="E203" s="26" t="s">
        <v>45</v>
      </c>
      <c r="F203" s="27" t="s">
        <v>45</v>
      </c>
      <c r="G203" s="28" t="s">
        <v>45</v>
      </c>
      <c r="H203" s="29"/>
      <c r="I203" s="29" t="s">
        <v>567</v>
      </c>
      <c r="J203" s="30">
        <v>1</v>
      </c>
      <c r="K203" s="31">
        <f>10700</f>
        <v>10700</v>
      </c>
      <c r="L203" s="32" t="s">
        <v>995</v>
      </c>
      <c r="M203" s="31">
        <f>11370</f>
        <v>11370</v>
      </c>
      <c r="N203" s="32" t="s">
        <v>1017</v>
      </c>
      <c r="O203" s="31">
        <f>10625</f>
        <v>10625</v>
      </c>
      <c r="P203" s="32" t="s">
        <v>999</v>
      </c>
      <c r="Q203" s="31">
        <f>11065</f>
        <v>11065</v>
      </c>
      <c r="R203" s="32" t="s">
        <v>791</v>
      </c>
      <c r="S203" s="33">
        <f>10996.84</f>
        <v>10996.84</v>
      </c>
      <c r="T203" s="30">
        <f>43689</f>
        <v>43689</v>
      </c>
      <c r="U203" s="30" t="str">
        <f t="shared" si="6"/>
        <v>－</v>
      </c>
      <c r="V203" s="30">
        <f>484050225</f>
        <v>484050225</v>
      </c>
      <c r="W203" s="30" t="str">
        <f t="shared" si="7"/>
        <v>－</v>
      </c>
      <c r="X203" s="34">
        <f>19</f>
        <v>19</v>
      </c>
    </row>
    <row r="204" spans="1:24" ht="13.5" customHeight="1" x14ac:dyDescent="0.15">
      <c r="A204" s="25" t="s">
        <v>1091</v>
      </c>
      <c r="B204" s="25" t="s">
        <v>640</v>
      </c>
      <c r="C204" s="25" t="s">
        <v>641</v>
      </c>
      <c r="D204" s="25" t="s">
        <v>642</v>
      </c>
      <c r="E204" s="26" t="s">
        <v>45</v>
      </c>
      <c r="F204" s="27" t="s">
        <v>45</v>
      </c>
      <c r="G204" s="28" t="s">
        <v>45</v>
      </c>
      <c r="H204" s="29"/>
      <c r="I204" s="29" t="s">
        <v>567</v>
      </c>
      <c r="J204" s="30">
        <v>1</v>
      </c>
      <c r="K204" s="31">
        <f>10745</f>
        <v>10745</v>
      </c>
      <c r="L204" s="32" t="s">
        <v>995</v>
      </c>
      <c r="M204" s="31">
        <f>11075</f>
        <v>11075</v>
      </c>
      <c r="N204" s="32" t="s">
        <v>894</v>
      </c>
      <c r="O204" s="31">
        <f>10585</f>
        <v>10585</v>
      </c>
      <c r="P204" s="32" t="s">
        <v>791</v>
      </c>
      <c r="Q204" s="31">
        <f>10585</f>
        <v>10585</v>
      </c>
      <c r="R204" s="32" t="s">
        <v>791</v>
      </c>
      <c r="S204" s="33">
        <f>10820.88</f>
        <v>10820.88</v>
      </c>
      <c r="T204" s="30">
        <f>7945</f>
        <v>7945</v>
      </c>
      <c r="U204" s="30" t="str">
        <f t="shared" si="6"/>
        <v>－</v>
      </c>
      <c r="V204" s="30">
        <f>86343440</f>
        <v>86343440</v>
      </c>
      <c r="W204" s="30" t="str">
        <f t="shared" si="7"/>
        <v>－</v>
      </c>
      <c r="X204" s="34">
        <f>17</f>
        <v>17</v>
      </c>
    </row>
    <row r="205" spans="1:24" ht="13.5" customHeight="1" x14ac:dyDescent="0.15">
      <c r="A205" s="25" t="s">
        <v>1091</v>
      </c>
      <c r="B205" s="25" t="s">
        <v>899</v>
      </c>
      <c r="C205" s="25" t="s">
        <v>900</v>
      </c>
      <c r="D205" s="25" t="s">
        <v>901</v>
      </c>
      <c r="E205" s="26" t="s">
        <v>45</v>
      </c>
      <c r="F205" s="27" t="s">
        <v>45</v>
      </c>
      <c r="G205" s="28" t="s">
        <v>45</v>
      </c>
      <c r="H205" s="29"/>
      <c r="I205" s="29" t="s">
        <v>567</v>
      </c>
      <c r="J205" s="30">
        <v>1</v>
      </c>
      <c r="K205" s="31">
        <f>10425</f>
        <v>10425</v>
      </c>
      <c r="L205" s="32" t="s">
        <v>999</v>
      </c>
      <c r="M205" s="31">
        <f>11225</f>
        <v>11225</v>
      </c>
      <c r="N205" s="32" t="s">
        <v>894</v>
      </c>
      <c r="O205" s="31">
        <f>10405</f>
        <v>10405</v>
      </c>
      <c r="P205" s="32" t="s">
        <v>999</v>
      </c>
      <c r="Q205" s="31">
        <f>10930</f>
        <v>10930</v>
      </c>
      <c r="R205" s="32" t="s">
        <v>1017</v>
      </c>
      <c r="S205" s="33">
        <f>10827.78</f>
        <v>10827.78</v>
      </c>
      <c r="T205" s="30">
        <f>4149</f>
        <v>4149</v>
      </c>
      <c r="U205" s="30" t="str">
        <f t="shared" si="6"/>
        <v>－</v>
      </c>
      <c r="V205" s="30">
        <f>44591995</f>
        <v>44591995</v>
      </c>
      <c r="W205" s="30" t="str">
        <f t="shared" si="7"/>
        <v>－</v>
      </c>
      <c r="X205" s="34">
        <f>9</f>
        <v>9</v>
      </c>
    </row>
    <row r="206" spans="1:24" ht="13.5" customHeight="1" x14ac:dyDescent="0.15">
      <c r="A206" s="25" t="s">
        <v>1091</v>
      </c>
      <c r="B206" s="25" t="s">
        <v>986</v>
      </c>
      <c r="C206" s="25" t="s">
        <v>987</v>
      </c>
      <c r="D206" s="25" t="s">
        <v>988</v>
      </c>
      <c r="E206" s="26" t="s">
        <v>45</v>
      </c>
      <c r="F206" s="27" t="s">
        <v>45</v>
      </c>
      <c r="G206" s="28" t="s">
        <v>45</v>
      </c>
      <c r="H206" s="29"/>
      <c r="I206" s="29" t="s">
        <v>46</v>
      </c>
      <c r="J206" s="30">
        <v>10</v>
      </c>
      <c r="K206" s="31">
        <f>2022.5</f>
        <v>2022.5</v>
      </c>
      <c r="L206" s="32" t="s">
        <v>995</v>
      </c>
      <c r="M206" s="31">
        <f>2045</f>
        <v>2045</v>
      </c>
      <c r="N206" s="32" t="s">
        <v>893</v>
      </c>
      <c r="O206" s="31">
        <f>1950</f>
        <v>1950</v>
      </c>
      <c r="P206" s="32" t="s">
        <v>787</v>
      </c>
      <c r="Q206" s="31">
        <f>1999</f>
        <v>1999</v>
      </c>
      <c r="R206" s="32" t="s">
        <v>791</v>
      </c>
      <c r="S206" s="33">
        <f>1993.53</f>
        <v>1993.53</v>
      </c>
      <c r="T206" s="30">
        <f>15820</f>
        <v>15820</v>
      </c>
      <c r="U206" s="30" t="str">
        <f t="shared" si="6"/>
        <v>－</v>
      </c>
      <c r="V206" s="30">
        <f>31702410</f>
        <v>31702410</v>
      </c>
      <c r="W206" s="30" t="str">
        <f t="shared" si="7"/>
        <v>－</v>
      </c>
      <c r="X206" s="34">
        <f>20</f>
        <v>20</v>
      </c>
    </row>
    <row r="207" spans="1:24" ht="13.5" customHeight="1" x14ac:dyDescent="0.15">
      <c r="A207" s="25" t="s">
        <v>1091</v>
      </c>
      <c r="B207" s="25" t="s">
        <v>990</v>
      </c>
      <c r="C207" s="25" t="s">
        <v>991</v>
      </c>
      <c r="D207" s="25" t="s">
        <v>992</v>
      </c>
      <c r="E207" s="26" t="s">
        <v>45</v>
      </c>
      <c r="F207" s="27" t="s">
        <v>45</v>
      </c>
      <c r="G207" s="28" t="s">
        <v>45</v>
      </c>
      <c r="H207" s="29"/>
      <c r="I207" s="29" t="s">
        <v>46</v>
      </c>
      <c r="J207" s="30">
        <v>1</v>
      </c>
      <c r="K207" s="31">
        <f>1031</f>
        <v>1031</v>
      </c>
      <c r="L207" s="32" t="s">
        <v>995</v>
      </c>
      <c r="M207" s="31">
        <f>1046</f>
        <v>1046</v>
      </c>
      <c r="N207" s="32" t="s">
        <v>999</v>
      </c>
      <c r="O207" s="31">
        <f>997</f>
        <v>997</v>
      </c>
      <c r="P207" s="32" t="s">
        <v>791</v>
      </c>
      <c r="Q207" s="31">
        <f>999</f>
        <v>999</v>
      </c>
      <c r="R207" s="32" t="s">
        <v>791</v>
      </c>
      <c r="S207" s="33">
        <f>1016.65</f>
        <v>1016.65</v>
      </c>
      <c r="T207" s="30">
        <f>908127</f>
        <v>908127</v>
      </c>
      <c r="U207" s="30" t="str">
        <f t="shared" si="6"/>
        <v>－</v>
      </c>
      <c r="V207" s="30">
        <f>922374673</f>
        <v>922374673</v>
      </c>
      <c r="W207" s="30" t="str">
        <f t="shared" si="7"/>
        <v>－</v>
      </c>
      <c r="X207" s="34">
        <f>20</f>
        <v>20</v>
      </c>
    </row>
    <row r="208" spans="1:24" ht="13.5" customHeight="1" x14ac:dyDescent="0.15">
      <c r="A208" s="25" t="s">
        <v>1091</v>
      </c>
      <c r="B208" s="25" t="s">
        <v>1006</v>
      </c>
      <c r="C208" s="25" t="s">
        <v>1007</v>
      </c>
      <c r="D208" s="25" t="s">
        <v>1008</v>
      </c>
      <c r="E208" s="26" t="s">
        <v>45</v>
      </c>
      <c r="F208" s="27" t="s">
        <v>45</v>
      </c>
      <c r="G208" s="28" t="s">
        <v>45</v>
      </c>
      <c r="H208" s="29"/>
      <c r="I208" s="29" t="s">
        <v>46</v>
      </c>
      <c r="J208" s="30">
        <v>1</v>
      </c>
      <c r="K208" s="31">
        <f>52420</f>
        <v>52420</v>
      </c>
      <c r="L208" s="32" t="s">
        <v>995</v>
      </c>
      <c r="M208" s="31">
        <f>53700</f>
        <v>53700</v>
      </c>
      <c r="N208" s="32" t="s">
        <v>1017</v>
      </c>
      <c r="O208" s="31">
        <f>51090</f>
        <v>51090</v>
      </c>
      <c r="P208" s="32" t="s">
        <v>792</v>
      </c>
      <c r="Q208" s="31">
        <f>52870</f>
        <v>52870</v>
      </c>
      <c r="R208" s="32" t="s">
        <v>791</v>
      </c>
      <c r="S208" s="33">
        <f>52200.5</f>
        <v>52200.5</v>
      </c>
      <c r="T208" s="30">
        <f>29334</f>
        <v>29334</v>
      </c>
      <c r="U208" s="30" t="str">
        <f t="shared" si="6"/>
        <v>－</v>
      </c>
      <c r="V208" s="30">
        <f>1528371470</f>
        <v>1528371470</v>
      </c>
      <c r="W208" s="30" t="str">
        <f t="shared" si="7"/>
        <v>－</v>
      </c>
      <c r="X208" s="34">
        <f>20</f>
        <v>20</v>
      </c>
    </row>
    <row r="209" spans="1:24" ht="13.5" customHeight="1" x14ac:dyDescent="0.15">
      <c r="A209" s="25" t="s">
        <v>1091</v>
      </c>
      <c r="B209" s="25" t="s">
        <v>1010</v>
      </c>
      <c r="C209" s="25" t="s">
        <v>1011</v>
      </c>
      <c r="D209" s="25" t="s">
        <v>1012</v>
      </c>
      <c r="E209" s="26" t="s">
        <v>45</v>
      </c>
      <c r="F209" s="27" t="s">
        <v>45</v>
      </c>
      <c r="G209" s="28" t="s">
        <v>45</v>
      </c>
      <c r="H209" s="29"/>
      <c r="I209" s="29" t="s">
        <v>46</v>
      </c>
      <c r="J209" s="30">
        <v>1</v>
      </c>
      <c r="K209" s="31">
        <f>9362</f>
        <v>9362</v>
      </c>
      <c r="L209" s="32" t="s">
        <v>995</v>
      </c>
      <c r="M209" s="31">
        <f>9477</f>
        <v>9477</v>
      </c>
      <c r="N209" s="32" t="s">
        <v>792</v>
      </c>
      <c r="O209" s="31">
        <f>9221</f>
        <v>9221</v>
      </c>
      <c r="P209" s="32" t="s">
        <v>1017</v>
      </c>
      <c r="Q209" s="31">
        <f>9291</f>
        <v>9291</v>
      </c>
      <c r="R209" s="32" t="s">
        <v>791</v>
      </c>
      <c r="S209" s="33">
        <f>9370.35</f>
        <v>9370.35</v>
      </c>
      <c r="T209" s="30">
        <f>532298</f>
        <v>532298</v>
      </c>
      <c r="U209" s="30">
        <f>431500</f>
        <v>431500</v>
      </c>
      <c r="V209" s="30">
        <f>4977906627</f>
        <v>4977906627</v>
      </c>
      <c r="W209" s="30">
        <f>4032320319</f>
        <v>4032320319</v>
      </c>
      <c r="X209" s="34">
        <f>20</f>
        <v>20</v>
      </c>
    </row>
    <row r="210" spans="1:24" ht="13.5" customHeight="1" x14ac:dyDescent="0.15">
      <c r="A210" s="25" t="s">
        <v>1091</v>
      </c>
      <c r="B210" s="25" t="s">
        <v>1018</v>
      </c>
      <c r="C210" s="25" t="s">
        <v>1019</v>
      </c>
      <c r="D210" s="25" t="s">
        <v>1020</v>
      </c>
      <c r="E210" s="26" t="s">
        <v>45</v>
      </c>
      <c r="F210" s="27" t="s">
        <v>45</v>
      </c>
      <c r="G210" s="28" t="s">
        <v>45</v>
      </c>
      <c r="H210" s="29"/>
      <c r="I210" s="29" t="s">
        <v>46</v>
      </c>
      <c r="J210" s="30">
        <v>10</v>
      </c>
      <c r="K210" s="31">
        <f>11175</f>
        <v>11175</v>
      </c>
      <c r="L210" s="32" t="s">
        <v>995</v>
      </c>
      <c r="M210" s="31">
        <f>11440</f>
        <v>11440</v>
      </c>
      <c r="N210" s="32" t="s">
        <v>1017</v>
      </c>
      <c r="O210" s="31">
        <f>10880</f>
        <v>10880</v>
      </c>
      <c r="P210" s="32" t="s">
        <v>792</v>
      </c>
      <c r="Q210" s="31">
        <f>11270</f>
        <v>11270</v>
      </c>
      <c r="R210" s="32" t="s">
        <v>791</v>
      </c>
      <c r="S210" s="33">
        <f>11128.25</f>
        <v>11128.25</v>
      </c>
      <c r="T210" s="30">
        <f>8590</f>
        <v>8590</v>
      </c>
      <c r="U210" s="30" t="str">
        <f>"－"</f>
        <v>－</v>
      </c>
      <c r="V210" s="30">
        <f>94948650</f>
        <v>94948650</v>
      </c>
      <c r="W210" s="30" t="str">
        <f>"－"</f>
        <v>－</v>
      </c>
      <c r="X210" s="34">
        <f>20</f>
        <v>20</v>
      </c>
    </row>
    <row r="211" spans="1:24" ht="13.5" customHeight="1" x14ac:dyDescent="0.15">
      <c r="A211" s="25" t="s">
        <v>1091</v>
      </c>
      <c r="B211" s="25" t="s">
        <v>1022</v>
      </c>
      <c r="C211" s="25" t="s">
        <v>1023</v>
      </c>
      <c r="D211" s="25" t="s">
        <v>1024</v>
      </c>
      <c r="E211" s="26" t="s">
        <v>45</v>
      </c>
      <c r="F211" s="27" t="s">
        <v>45</v>
      </c>
      <c r="G211" s="28" t="s">
        <v>45</v>
      </c>
      <c r="H211" s="29"/>
      <c r="I211" s="29" t="s">
        <v>46</v>
      </c>
      <c r="J211" s="30">
        <v>10</v>
      </c>
      <c r="K211" s="31">
        <f>9411</f>
        <v>9411</v>
      </c>
      <c r="L211" s="32" t="s">
        <v>995</v>
      </c>
      <c r="M211" s="31">
        <f>9520</f>
        <v>9520</v>
      </c>
      <c r="N211" s="32" t="s">
        <v>792</v>
      </c>
      <c r="O211" s="31">
        <f>9250</f>
        <v>9250</v>
      </c>
      <c r="P211" s="32" t="s">
        <v>1017</v>
      </c>
      <c r="Q211" s="31">
        <f>9319</f>
        <v>9319</v>
      </c>
      <c r="R211" s="32" t="s">
        <v>791</v>
      </c>
      <c r="S211" s="33">
        <f>9416.16</f>
        <v>9416.16</v>
      </c>
      <c r="T211" s="30">
        <f>25310</f>
        <v>25310</v>
      </c>
      <c r="U211" s="30">
        <f>19800</f>
        <v>19800</v>
      </c>
      <c r="V211" s="30">
        <f>237203350</f>
        <v>237203350</v>
      </c>
      <c r="W211" s="30">
        <f>185374180</f>
        <v>185374180</v>
      </c>
      <c r="X211" s="34">
        <f>19</f>
        <v>19</v>
      </c>
    </row>
    <row r="212" spans="1:24" ht="13.5" customHeight="1" x14ac:dyDescent="0.15">
      <c r="A212" s="25" t="s">
        <v>1091</v>
      </c>
      <c r="B212" s="25" t="s">
        <v>1025</v>
      </c>
      <c r="C212" s="25" t="s">
        <v>1026</v>
      </c>
      <c r="D212" s="25" t="s">
        <v>1027</v>
      </c>
      <c r="E212" s="26" t="s">
        <v>45</v>
      </c>
      <c r="F212" s="27" t="s">
        <v>45</v>
      </c>
      <c r="G212" s="28" t="s">
        <v>45</v>
      </c>
      <c r="H212" s="29"/>
      <c r="I212" s="29" t="s">
        <v>46</v>
      </c>
      <c r="J212" s="30">
        <v>10</v>
      </c>
      <c r="K212" s="31">
        <f>516.7</f>
        <v>516.70000000000005</v>
      </c>
      <c r="L212" s="32" t="s">
        <v>995</v>
      </c>
      <c r="M212" s="31">
        <f>549.8</f>
        <v>549.79999999999995</v>
      </c>
      <c r="N212" s="32" t="s">
        <v>793</v>
      </c>
      <c r="O212" s="31">
        <f>498.2</f>
        <v>498.2</v>
      </c>
      <c r="P212" s="32" t="s">
        <v>787</v>
      </c>
      <c r="Q212" s="31">
        <f>510.5</f>
        <v>510.5</v>
      </c>
      <c r="R212" s="32" t="s">
        <v>791</v>
      </c>
      <c r="S212" s="33">
        <f>510.9</f>
        <v>510.9</v>
      </c>
      <c r="T212" s="30">
        <f>101510</f>
        <v>101510</v>
      </c>
      <c r="U212" s="30" t="str">
        <f>"－"</f>
        <v>－</v>
      </c>
      <c r="V212" s="30">
        <f>51965290</f>
        <v>51965290</v>
      </c>
      <c r="W212" s="30" t="str">
        <f>"－"</f>
        <v>－</v>
      </c>
      <c r="X212" s="34">
        <f>20</f>
        <v>20</v>
      </c>
    </row>
    <row r="213" spans="1:24" ht="13.5" customHeight="1" x14ac:dyDescent="0.15">
      <c r="A213" s="25" t="s">
        <v>1091</v>
      </c>
      <c r="B213" s="25" t="s">
        <v>1029</v>
      </c>
      <c r="C213" s="25" t="s">
        <v>1030</v>
      </c>
      <c r="D213" s="25" t="s">
        <v>1031</v>
      </c>
      <c r="E213" s="26" t="s">
        <v>45</v>
      </c>
      <c r="F213" s="27" t="s">
        <v>45</v>
      </c>
      <c r="G213" s="28" t="s">
        <v>45</v>
      </c>
      <c r="H213" s="29"/>
      <c r="I213" s="29" t="s">
        <v>46</v>
      </c>
      <c r="J213" s="30">
        <v>10</v>
      </c>
      <c r="K213" s="31">
        <f>516.5</f>
        <v>516.5</v>
      </c>
      <c r="L213" s="32" t="s">
        <v>995</v>
      </c>
      <c r="M213" s="31">
        <f>517.7</f>
        <v>517.70000000000005</v>
      </c>
      <c r="N213" s="32" t="s">
        <v>995</v>
      </c>
      <c r="O213" s="31">
        <f>492</f>
        <v>492</v>
      </c>
      <c r="P213" s="32" t="s">
        <v>791</v>
      </c>
      <c r="Q213" s="31">
        <f>492</f>
        <v>492</v>
      </c>
      <c r="R213" s="32" t="s">
        <v>791</v>
      </c>
      <c r="S213" s="33">
        <f>503.17</f>
        <v>503.17</v>
      </c>
      <c r="T213" s="30">
        <f>534420</f>
        <v>534420</v>
      </c>
      <c r="U213" s="30" t="str">
        <f>"－"</f>
        <v>－</v>
      </c>
      <c r="V213" s="30">
        <f>265961216</f>
        <v>265961216</v>
      </c>
      <c r="W213" s="30" t="str">
        <f>"－"</f>
        <v>－</v>
      </c>
      <c r="X213" s="34">
        <f>19</f>
        <v>19</v>
      </c>
    </row>
    <row r="214" spans="1:24" ht="13.5" customHeight="1" x14ac:dyDescent="0.15">
      <c r="A214" s="25" t="s">
        <v>1091</v>
      </c>
      <c r="B214" s="25" t="s">
        <v>1071</v>
      </c>
      <c r="C214" s="25" t="s">
        <v>1072</v>
      </c>
      <c r="D214" s="25" t="s">
        <v>1073</v>
      </c>
      <c r="E214" s="26" t="s">
        <v>45</v>
      </c>
      <c r="F214" s="27" t="s">
        <v>45</v>
      </c>
      <c r="G214" s="28" t="s">
        <v>45</v>
      </c>
      <c r="H214" s="29"/>
      <c r="I214" s="29" t="s">
        <v>46</v>
      </c>
      <c r="J214" s="30">
        <v>1</v>
      </c>
      <c r="K214" s="31">
        <f>981</f>
        <v>981</v>
      </c>
      <c r="L214" s="32" t="s">
        <v>995</v>
      </c>
      <c r="M214" s="31">
        <f>1240</f>
        <v>1240</v>
      </c>
      <c r="N214" s="32" t="s">
        <v>1017</v>
      </c>
      <c r="O214" s="31">
        <f>963</f>
        <v>963</v>
      </c>
      <c r="P214" s="32" t="s">
        <v>787</v>
      </c>
      <c r="Q214" s="31">
        <f>1176</f>
        <v>1176</v>
      </c>
      <c r="R214" s="32" t="s">
        <v>791</v>
      </c>
      <c r="S214" s="33">
        <f>1045.4</f>
        <v>1045.4000000000001</v>
      </c>
      <c r="T214" s="30">
        <f>3802884</f>
        <v>3802884</v>
      </c>
      <c r="U214" s="30">
        <f>2546200</f>
        <v>2546200</v>
      </c>
      <c r="V214" s="30">
        <f>4096364666</f>
        <v>4096364666</v>
      </c>
      <c r="W214" s="30">
        <f>2669308202</f>
        <v>2669308202</v>
      </c>
      <c r="X214" s="34">
        <f>20</f>
        <v>20</v>
      </c>
    </row>
    <row r="215" spans="1:24" ht="13.5" customHeight="1" x14ac:dyDescent="0.15">
      <c r="A215" s="25" t="s">
        <v>1091</v>
      </c>
      <c r="B215" s="25" t="s">
        <v>1075</v>
      </c>
      <c r="C215" s="25" t="s">
        <v>1076</v>
      </c>
      <c r="D215" s="25" t="s">
        <v>1077</v>
      </c>
      <c r="E215" s="26" t="s">
        <v>45</v>
      </c>
      <c r="F215" s="27" t="s">
        <v>45</v>
      </c>
      <c r="G215" s="28" t="s">
        <v>45</v>
      </c>
      <c r="H215" s="29"/>
      <c r="I215" s="29" t="s">
        <v>46</v>
      </c>
      <c r="J215" s="30">
        <v>1</v>
      </c>
      <c r="K215" s="31">
        <f>1040</f>
        <v>1040</v>
      </c>
      <c r="L215" s="32" t="s">
        <v>995</v>
      </c>
      <c r="M215" s="31">
        <f>1223</f>
        <v>1223</v>
      </c>
      <c r="N215" s="32" t="s">
        <v>893</v>
      </c>
      <c r="O215" s="31">
        <f>1026</f>
        <v>1026</v>
      </c>
      <c r="P215" s="32" t="s">
        <v>1000</v>
      </c>
      <c r="Q215" s="31">
        <f>1202</f>
        <v>1202</v>
      </c>
      <c r="R215" s="32" t="s">
        <v>791</v>
      </c>
      <c r="S215" s="33">
        <f>1094.5</f>
        <v>1094.5</v>
      </c>
      <c r="T215" s="30">
        <f>921986</f>
        <v>921986</v>
      </c>
      <c r="U215" s="30">
        <f>5</f>
        <v>5</v>
      </c>
      <c r="V215" s="30">
        <f>1042115922</f>
        <v>1042115922</v>
      </c>
      <c r="W215" s="30">
        <f>5525</f>
        <v>5525</v>
      </c>
      <c r="X215" s="34">
        <f>20</f>
        <v>20</v>
      </c>
    </row>
    <row r="216" spans="1:24" ht="13.5" customHeight="1" x14ac:dyDescent="0.15">
      <c r="A216" s="25" t="s">
        <v>1091</v>
      </c>
      <c r="B216" s="25" t="s">
        <v>1078</v>
      </c>
      <c r="C216" s="25" t="s">
        <v>1079</v>
      </c>
      <c r="D216" s="25" t="s">
        <v>1080</v>
      </c>
      <c r="E216" s="26" t="s">
        <v>45</v>
      </c>
      <c r="F216" s="27" t="s">
        <v>45</v>
      </c>
      <c r="G216" s="28" t="s">
        <v>45</v>
      </c>
      <c r="H216" s="29"/>
      <c r="I216" s="29" t="s">
        <v>46</v>
      </c>
      <c r="J216" s="30">
        <v>10</v>
      </c>
      <c r="K216" s="31">
        <f>803</f>
        <v>803</v>
      </c>
      <c r="L216" s="32" t="s">
        <v>999</v>
      </c>
      <c r="M216" s="31">
        <f>914.1</f>
        <v>914.1</v>
      </c>
      <c r="N216" s="32" t="s">
        <v>787</v>
      </c>
      <c r="O216" s="31">
        <f>796.5</f>
        <v>796.5</v>
      </c>
      <c r="P216" s="32" t="s">
        <v>893</v>
      </c>
      <c r="Q216" s="31">
        <f>796.5</f>
        <v>796.5</v>
      </c>
      <c r="R216" s="32" t="s">
        <v>893</v>
      </c>
      <c r="S216" s="33">
        <f>803.36</f>
        <v>803.36</v>
      </c>
      <c r="T216" s="30">
        <f>10710</f>
        <v>10710</v>
      </c>
      <c r="U216" s="30">
        <f>9710</f>
        <v>9710</v>
      </c>
      <c r="V216" s="30">
        <f>8570330</f>
        <v>8570330</v>
      </c>
      <c r="W216" s="30">
        <f>7768000</f>
        <v>7768000</v>
      </c>
      <c r="X216" s="34">
        <f>12</f>
        <v>12</v>
      </c>
    </row>
    <row r="217" spans="1:24" ht="13.5" customHeight="1" x14ac:dyDescent="0.15">
      <c r="A217" s="25" t="s">
        <v>1091</v>
      </c>
      <c r="B217" s="25" t="s">
        <v>1082</v>
      </c>
      <c r="C217" s="25" t="s">
        <v>1083</v>
      </c>
      <c r="D217" s="25" t="s">
        <v>1084</v>
      </c>
      <c r="E217" s="26" t="s">
        <v>45</v>
      </c>
      <c r="F217" s="27" t="s">
        <v>45</v>
      </c>
      <c r="G217" s="28" t="s">
        <v>45</v>
      </c>
      <c r="H217" s="29"/>
      <c r="I217" s="29" t="s">
        <v>46</v>
      </c>
      <c r="J217" s="30">
        <v>10</v>
      </c>
      <c r="K217" s="31">
        <f>800</f>
        <v>800</v>
      </c>
      <c r="L217" s="32" t="s">
        <v>999</v>
      </c>
      <c r="M217" s="31">
        <f>813.4</f>
        <v>813.4</v>
      </c>
      <c r="N217" s="32" t="s">
        <v>787</v>
      </c>
      <c r="O217" s="31">
        <f>796.2</f>
        <v>796.2</v>
      </c>
      <c r="P217" s="32" t="s">
        <v>789</v>
      </c>
      <c r="Q217" s="31">
        <f>803.1</f>
        <v>803.1</v>
      </c>
      <c r="R217" s="32" t="s">
        <v>791</v>
      </c>
      <c r="S217" s="33">
        <f>802.11</f>
        <v>802.11</v>
      </c>
      <c r="T217" s="30">
        <f>20510</f>
        <v>20510</v>
      </c>
      <c r="U217" s="30">
        <f>19310</f>
        <v>19310</v>
      </c>
      <c r="V217" s="30">
        <f>16407273</f>
        <v>16407273</v>
      </c>
      <c r="W217" s="30">
        <f>15448000</f>
        <v>15448000</v>
      </c>
      <c r="X217" s="34">
        <f>11</f>
        <v>11</v>
      </c>
    </row>
    <row r="218" spans="1:24" ht="13.5" customHeight="1" x14ac:dyDescent="0.15">
      <c r="A218" s="25" t="s">
        <v>1091</v>
      </c>
      <c r="B218" s="25" t="s">
        <v>1092</v>
      </c>
      <c r="C218" s="25" t="s">
        <v>1093</v>
      </c>
      <c r="D218" s="25" t="s">
        <v>1094</v>
      </c>
      <c r="E218" s="26" t="s">
        <v>782</v>
      </c>
      <c r="F218" s="27" t="s">
        <v>783</v>
      </c>
      <c r="G218" s="28" t="s">
        <v>1095</v>
      </c>
      <c r="H218" s="29"/>
      <c r="I218" s="29" t="s">
        <v>46</v>
      </c>
      <c r="J218" s="30">
        <v>1</v>
      </c>
      <c r="K218" s="31">
        <f>10410</f>
        <v>10410</v>
      </c>
      <c r="L218" s="32" t="s">
        <v>787</v>
      </c>
      <c r="M218" s="31">
        <f>11125</f>
        <v>11125</v>
      </c>
      <c r="N218" s="32" t="s">
        <v>1017</v>
      </c>
      <c r="O218" s="31">
        <f>10410</f>
        <v>10410</v>
      </c>
      <c r="P218" s="32" t="s">
        <v>787</v>
      </c>
      <c r="Q218" s="31">
        <f>10930</f>
        <v>10930</v>
      </c>
      <c r="R218" s="32" t="s">
        <v>791</v>
      </c>
      <c r="S218" s="33">
        <f>10754.29</f>
        <v>10754.29</v>
      </c>
      <c r="T218" s="30">
        <f>1863</f>
        <v>1863</v>
      </c>
      <c r="U218" s="30" t="str">
        <f>"－"</f>
        <v>－</v>
      </c>
      <c r="V218" s="30">
        <f>19901615</f>
        <v>19901615</v>
      </c>
      <c r="W218" s="30" t="str">
        <f>"－"</f>
        <v>－</v>
      </c>
      <c r="X218" s="34">
        <f>14</f>
        <v>14</v>
      </c>
    </row>
    <row r="219" spans="1:24" ht="13.5" customHeight="1" x14ac:dyDescent="0.15">
      <c r="A219" s="25" t="s">
        <v>1091</v>
      </c>
      <c r="B219" s="25" t="s">
        <v>1096</v>
      </c>
      <c r="C219" s="25" t="s">
        <v>1097</v>
      </c>
      <c r="D219" s="25" t="s">
        <v>1098</v>
      </c>
      <c r="E219" s="26" t="s">
        <v>782</v>
      </c>
      <c r="F219" s="27" t="s">
        <v>783</v>
      </c>
      <c r="G219" s="28" t="s">
        <v>1095</v>
      </c>
      <c r="H219" s="29"/>
      <c r="I219" s="29" t="s">
        <v>46</v>
      </c>
      <c r="J219" s="30">
        <v>1</v>
      </c>
      <c r="K219" s="31">
        <f>34620</f>
        <v>34620</v>
      </c>
      <c r="L219" s="32" t="s">
        <v>787</v>
      </c>
      <c r="M219" s="31">
        <f>35220</f>
        <v>35220</v>
      </c>
      <c r="N219" s="32" t="s">
        <v>1017</v>
      </c>
      <c r="O219" s="31">
        <f>34390</f>
        <v>34390</v>
      </c>
      <c r="P219" s="32" t="s">
        <v>792</v>
      </c>
      <c r="Q219" s="31">
        <f>35000</f>
        <v>35000</v>
      </c>
      <c r="R219" s="32" t="s">
        <v>791</v>
      </c>
      <c r="S219" s="33">
        <f>34767.27</f>
        <v>34767.269999999997</v>
      </c>
      <c r="T219" s="30">
        <f>2449</f>
        <v>2449</v>
      </c>
      <c r="U219" s="30" t="str">
        <f>"－"</f>
        <v>－</v>
      </c>
      <c r="V219" s="30">
        <f>85553120</f>
        <v>85553120</v>
      </c>
      <c r="W219" s="30" t="str">
        <f>"－"</f>
        <v>－</v>
      </c>
      <c r="X219" s="34">
        <f>11</f>
        <v>11</v>
      </c>
    </row>
    <row r="220" spans="1:24" ht="13.5" customHeight="1" x14ac:dyDescent="0.15">
      <c r="A220" s="25" t="s">
        <v>1091</v>
      </c>
      <c r="B220" s="25" t="s">
        <v>1099</v>
      </c>
      <c r="C220" s="25" t="s">
        <v>1100</v>
      </c>
      <c r="D220" s="25" t="s">
        <v>1101</v>
      </c>
      <c r="E220" s="26" t="s">
        <v>782</v>
      </c>
      <c r="F220" s="27" t="s">
        <v>783</v>
      </c>
      <c r="G220" s="28" t="s">
        <v>1095</v>
      </c>
      <c r="H220" s="29"/>
      <c r="I220" s="29" t="s">
        <v>46</v>
      </c>
      <c r="J220" s="30">
        <v>1</v>
      </c>
      <c r="K220" s="31">
        <f>33070</f>
        <v>33070</v>
      </c>
      <c r="L220" s="32" t="s">
        <v>787</v>
      </c>
      <c r="M220" s="31">
        <f>33310</f>
        <v>33310</v>
      </c>
      <c r="N220" s="32" t="s">
        <v>1002</v>
      </c>
      <c r="O220" s="31">
        <f>31480</f>
        <v>31480</v>
      </c>
      <c r="P220" s="32" t="s">
        <v>1017</v>
      </c>
      <c r="Q220" s="31">
        <f>31970</f>
        <v>31970</v>
      </c>
      <c r="R220" s="32" t="s">
        <v>791</v>
      </c>
      <c r="S220" s="33">
        <f>32440.71</f>
        <v>32440.71</v>
      </c>
      <c r="T220" s="30">
        <f>15714</f>
        <v>15714</v>
      </c>
      <c r="U220" s="30" t="str">
        <f>"－"</f>
        <v>－</v>
      </c>
      <c r="V220" s="30">
        <f>502494850</f>
        <v>502494850</v>
      </c>
      <c r="W220" s="30" t="str">
        <f>"－"</f>
        <v>－</v>
      </c>
      <c r="X220" s="34">
        <f>14</f>
        <v>14</v>
      </c>
    </row>
    <row r="221" spans="1:24" ht="13.5" customHeight="1" x14ac:dyDescent="0.15">
      <c r="A221" s="25" t="s">
        <v>1091</v>
      </c>
      <c r="B221" s="25" t="s">
        <v>643</v>
      </c>
      <c r="C221" s="25" t="s">
        <v>644</v>
      </c>
      <c r="D221" s="25" t="s">
        <v>645</v>
      </c>
      <c r="E221" s="26" t="s">
        <v>45</v>
      </c>
      <c r="F221" s="27" t="s">
        <v>45</v>
      </c>
      <c r="G221" s="28" t="s">
        <v>45</v>
      </c>
      <c r="H221" s="29"/>
      <c r="I221" s="29" t="s">
        <v>46</v>
      </c>
      <c r="J221" s="30">
        <v>10</v>
      </c>
      <c r="K221" s="31">
        <f>954.1</f>
        <v>954.1</v>
      </c>
      <c r="L221" s="32" t="s">
        <v>995</v>
      </c>
      <c r="M221" s="31">
        <f>965</f>
        <v>965</v>
      </c>
      <c r="N221" s="32" t="s">
        <v>794</v>
      </c>
      <c r="O221" s="31">
        <f>949.5</f>
        <v>949.5</v>
      </c>
      <c r="P221" s="32" t="s">
        <v>1000</v>
      </c>
      <c r="Q221" s="31">
        <f>955.1</f>
        <v>955.1</v>
      </c>
      <c r="R221" s="32" t="s">
        <v>791</v>
      </c>
      <c r="S221" s="33">
        <f>955.51</f>
        <v>955.51</v>
      </c>
      <c r="T221" s="30">
        <f>2700170</f>
        <v>2700170</v>
      </c>
      <c r="U221" s="30">
        <f>1750940</f>
        <v>1750940</v>
      </c>
      <c r="V221" s="30">
        <f>2583422581</f>
        <v>2583422581</v>
      </c>
      <c r="W221" s="30">
        <f>1675622584</f>
        <v>1675622584</v>
      </c>
      <c r="X221" s="34">
        <f>20</f>
        <v>20</v>
      </c>
    </row>
    <row r="222" spans="1:24" ht="13.5" customHeight="1" x14ac:dyDescent="0.15">
      <c r="A222" s="25" t="s">
        <v>1091</v>
      </c>
      <c r="B222" s="25" t="s">
        <v>646</v>
      </c>
      <c r="C222" s="25" t="s">
        <v>647</v>
      </c>
      <c r="D222" s="25" t="s">
        <v>648</v>
      </c>
      <c r="E222" s="26" t="s">
        <v>45</v>
      </c>
      <c r="F222" s="27" t="s">
        <v>45</v>
      </c>
      <c r="G222" s="28" t="s">
        <v>45</v>
      </c>
      <c r="H222" s="29"/>
      <c r="I222" s="29" t="s">
        <v>46</v>
      </c>
      <c r="J222" s="30">
        <v>10</v>
      </c>
      <c r="K222" s="31">
        <f>996.6</f>
        <v>996.6</v>
      </c>
      <c r="L222" s="32" t="s">
        <v>995</v>
      </c>
      <c r="M222" s="31">
        <f>1004</f>
        <v>1004</v>
      </c>
      <c r="N222" s="32" t="s">
        <v>995</v>
      </c>
      <c r="O222" s="31">
        <f>983.1</f>
        <v>983.1</v>
      </c>
      <c r="P222" s="32" t="s">
        <v>794</v>
      </c>
      <c r="Q222" s="31">
        <f>1002.5</f>
        <v>1002.5</v>
      </c>
      <c r="R222" s="32" t="s">
        <v>791</v>
      </c>
      <c r="S222" s="33">
        <f>995.13</f>
        <v>995.13</v>
      </c>
      <c r="T222" s="30">
        <f>1473180</f>
        <v>1473180</v>
      </c>
      <c r="U222" s="30">
        <f>916960</f>
        <v>916960</v>
      </c>
      <c r="V222" s="30">
        <f>1468403597</f>
        <v>1468403597</v>
      </c>
      <c r="W222" s="30">
        <f>914738523</f>
        <v>914738523</v>
      </c>
      <c r="X222" s="34">
        <f>20</f>
        <v>20</v>
      </c>
    </row>
    <row r="223" spans="1:24" ht="13.5" customHeight="1" x14ac:dyDescent="0.15">
      <c r="A223" s="25" t="s">
        <v>1091</v>
      </c>
      <c r="B223" s="25" t="s">
        <v>649</v>
      </c>
      <c r="C223" s="25" t="s">
        <v>650</v>
      </c>
      <c r="D223" s="25" t="s">
        <v>651</v>
      </c>
      <c r="E223" s="26" t="s">
        <v>45</v>
      </c>
      <c r="F223" s="27" t="s">
        <v>45</v>
      </c>
      <c r="G223" s="28" t="s">
        <v>45</v>
      </c>
      <c r="H223" s="29"/>
      <c r="I223" s="29" t="s">
        <v>46</v>
      </c>
      <c r="J223" s="30">
        <v>10</v>
      </c>
      <c r="K223" s="31">
        <f>839.9</f>
        <v>839.9</v>
      </c>
      <c r="L223" s="32" t="s">
        <v>995</v>
      </c>
      <c r="M223" s="31">
        <f>840</f>
        <v>840</v>
      </c>
      <c r="N223" s="32" t="s">
        <v>995</v>
      </c>
      <c r="O223" s="31">
        <f>815</f>
        <v>815</v>
      </c>
      <c r="P223" s="32" t="s">
        <v>1017</v>
      </c>
      <c r="Q223" s="31">
        <f>823.9</f>
        <v>823.9</v>
      </c>
      <c r="R223" s="32" t="s">
        <v>791</v>
      </c>
      <c r="S223" s="33">
        <f>826.9</f>
        <v>826.9</v>
      </c>
      <c r="T223" s="30">
        <f>3660760</f>
        <v>3660760</v>
      </c>
      <c r="U223" s="30">
        <f>3244570</f>
        <v>3244570</v>
      </c>
      <c r="V223" s="30">
        <f>3017870352</f>
        <v>3017870352</v>
      </c>
      <c r="W223" s="30">
        <f>2672803393</f>
        <v>2672803393</v>
      </c>
      <c r="X223" s="34">
        <f>20</f>
        <v>20</v>
      </c>
    </row>
    <row r="224" spans="1:24" ht="13.5" customHeight="1" x14ac:dyDescent="0.15">
      <c r="A224" s="25" t="s">
        <v>1091</v>
      </c>
      <c r="B224" s="25" t="s">
        <v>652</v>
      </c>
      <c r="C224" s="25" t="s">
        <v>653</v>
      </c>
      <c r="D224" s="25" t="s">
        <v>654</v>
      </c>
      <c r="E224" s="26" t="s">
        <v>45</v>
      </c>
      <c r="F224" s="27" t="s">
        <v>45</v>
      </c>
      <c r="G224" s="28" t="s">
        <v>45</v>
      </c>
      <c r="H224" s="29"/>
      <c r="I224" s="29" t="s">
        <v>46</v>
      </c>
      <c r="J224" s="30">
        <v>10</v>
      </c>
      <c r="K224" s="31">
        <f>1754.5</f>
        <v>1754.5</v>
      </c>
      <c r="L224" s="32" t="s">
        <v>995</v>
      </c>
      <c r="M224" s="31">
        <f>1829</f>
        <v>1829</v>
      </c>
      <c r="N224" s="32" t="s">
        <v>1017</v>
      </c>
      <c r="O224" s="31">
        <f>1726.5</f>
        <v>1726.5</v>
      </c>
      <c r="P224" s="32" t="s">
        <v>794</v>
      </c>
      <c r="Q224" s="31">
        <f>1790</f>
        <v>1790</v>
      </c>
      <c r="R224" s="32" t="s">
        <v>791</v>
      </c>
      <c r="S224" s="33">
        <f>1768.73</f>
        <v>1768.73</v>
      </c>
      <c r="T224" s="30">
        <f>1242140</f>
        <v>1242140</v>
      </c>
      <c r="U224" s="30">
        <f>968820</f>
        <v>968820</v>
      </c>
      <c r="V224" s="30">
        <f>2215446331</f>
        <v>2215446331</v>
      </c>
      <c r="W224" s="30">
        <f>1733075796</f>
        <v>1733075796</v>
      </c>
      <c r="X224" s="34">
        <f>20</f>
        <v>20</v>
      </c>
    </row>
    <row r="225" spans="1:24" ht="13.5" customHeight="1" x14ac:dyDescent="0.15">
      <c r="A225" s="25" t="s">
        <v>1091</v>
      </c>
      <c r="B225" s="25" t="s">
        <v>655</v>
      </c>
      <c r="C225" s="25" t="s">
        <v>656</v>
      </c>
      <c r="D225" s="25" t="s">
        <v>657</v>
      </c>
      <c r="E225" s="26" t="s">
        <v>45</v>
      </c>
      <c r="F225" s="27" t="s">
        <v>45</v>
      </c>
      <c r="G225" s="28" t="s">
        <v>45</v>
      </c>
      <c r="H225" s="29"/>
      <c r="I225" s="29" t="s">
        <v>46</v>
      </c>
      <c r="J225" s="30">
        <v>10</v>
      </c>
      <c r="K225" s="31">
        <f>1360</f>
        <v>1360</v>
      </c>
      <c r="L225" s="32" t="s">
        <v>995</v>
      </c>
      <c r="M225" s="31">
        <f>1373</f>
        <v>1373</v>
      </c>
      <c r="N225" s="32" t="s">
        <v>894</v>
      </c>
      <c r="O225" s="31">
        <f>1340.5</f>
        <v>1340.5</v>
      </c>
      <c r="P225" s="32" t="s">
        <v>995</v>
      </c>
      <c r="Q225" s="31">
        <f>1358</f>
        <v>1358</v>
      </c>
      <c r="R225" s="32" t="s">
        <v>791</v>
      </c>
      <c r="S225" s="33">
        <f>1358.28</f>
        <v>1358.28</v>
      </c>
      <c r="T225" s="30">
        <f>275000</f>
        <v>275000</v>
      </c>
      <c r="U225" s="30">
        <f>80070</f>
        <v>80070</v>
      </c>
      <c r="V225" s="30">
        <f>374119220</f>
        <v>374119220</v>
      </c>
      <c r="W225" s="30">
        <f>108530150</f>
        <v>108530150</v>
      </c>
      <c r="X225" s="34">
        <f>20</f>
        <v>20</v>
      </c>
    </row>
    <row r="226" spans="1:24" ht="13.5" customHeight="1" x14ac:dyDescent="0.15">
      <c r="A226" s="25" t="s">
        <v>1091</v>
      </c>
      <c r="B226" s="25" t="s">
        <v>658</v>
      </c>
      <c r="C226" s="25" t="s">
        <v>659</v>
      </c>
      <c r="D226" s="25" t="s">
        <v>660</v>
      </c>
      <c r="E226" s="26" t="s">
        <v>45</v>
      </c>
      <c r="F226" s="27" t="s">
        <v>45</v>
      </c>
      <c r="G226" s="28" t="s">
        <v>45</v>
      </c>
      <c r="H226" s="29"/>
      <c r="I226" s="29" t="s">
        <v>46</v>
      </c>
      <c r="J226" s="30">
        <v>10</v>
      </c>
      <c r="K226" s="31">
        <f>1173</f>
        <v>1173</v>
      </c>
      <c r="L226" s="32" t="s">
        <v>995</v>
      </c>
      <c r="M226" s="31">
        <f>1184.5</f>
        <v>1184.5</v>
      </c>
      <c r="N226" s="32" t="s">
        <v>995</v>
      </c>
      <c r="O226" s="31">
        <f>1138.5</f>
        <v>1138.5</v>
      </c>
      <c r="P226" s="32" t="s">
        <v>786</v>
      </c>
      <c r="Q226" s="31">
        <f>1151</f>
        <v>1151</v>
      </c>
      <c r="R226" s="32" t="s">
        <v>791</v>
      </c>
      <c r="S226" s="33">
        <f>1161.2</f>
        <v>1161.2</v>
      </c>
      <c r="T226" s="30">
        <f>493890</f>
        <v>493890</v>
      </c>
      <c r="U226" s="30">
        <f>89260</f>
        <v>89260</v>
      </c>
      <c r="V226" s="30">
        <f>571901752</f>
        <v>571901752</v>
      </c>
      <c r="W226" s="30">
        <f>103032962</f>
        <v>103032962</v>
      </c>
      <c r="X226" s="34">
        <f>20</f>
        <v>20</v>
      </c>
    </row>
    <row r="227" spans="1:24" ht="13.5" customHeight="1" x14ac:dyDescent="0.15">
      <c r="A227" s="25" t="s">
        <v>1091</v>
      </c>
      <c r="B227" s="25" t="s">
        <v>661</v>
      </c>
      <c r="C227" s="25" t="s">
        <v>662</v>
      </c>
      <c r="D227" s="25" t="s">
        <v>663</v>
      </c>
      <c r="E227" s="26" t="s">
        <v>45</v>
      </c>
      <c r="F227" s="27" t="s">
        <v>45</v>
      </c>
      <c r="G227" s="28" t="s">
        <v>45</v>
      </c>
      <c r="H227" s="29"/>
      <c r="I227" s="29" t="s">
        <v>46</v>
      </c>
      <c r="J227" s="30">
        <v>10</v>
      </c>
      <c r="K227" s="31">
        <f>582.4</f>
        <v>582.4</v>
      </c>
      <c r="L227" s="32" t="s">
        <v>995</v>
      </c>
      <c r="M227" s="31">
        <f>595</f>
        <v>595</v>
      </c>
      <c r="N227" s="32" t="s">
        <v>894</v>
      </c>
      <c r="O227" s="31">
        <f>563.2</f>
        <v>563.20000000000005</v>
      </c>
      <c r="P227" s="32" t="s">
        <v>786</v>
      </c>
      <c r="Q227" s="31">
        <f>581.4</f>
        <v>581.4</v>
      </c>
      <c r="R227" s="32" t="s">
        <v>791</v>
      </c>
      <c r="S227" s="33">
        <f>578.69</f>
        <v>578.69000000000005</v>
      </c>
      <c r="T227" s="30">
        <f>24446100</f>
        <v>24446100</v>
      </c>
      <c r="U227" s="30">
        <f>30660</f>
        <v>30660</v>
      </c>
      <c r="V227" s="30">
        <f>14145415665</f>
        <v>14145415665</v>
      </c>
      <c r="W227" s="30">
        <f>17664036</f>
        <v>17664036</v>
      </c>
      <c r="X227" s="34">
        <f>20</f>
        <v>20</v>
      </c>
    </row>
    <row r="228" spans="1:24" ht="13.5" customHeight="1" x14ac:dyDescent="0.15">
      <c r="A228" s="25" t="s">
        <v>1091</v>
      </c>
      <c r="B228" s="25" t="s">
        <v>664</v>
      </c>
      <c r="C228" s="25" t="s">
        <v>665</v>
      </c>
      <c r="D228" s="25" t="s">
        <v>666</v>
      </c>
      <c r="E228" s="26" t="s">
        <v>45</v>
      </c>
      <c r="F228" s="27" t="s">
        <v>45</v>
      </c>
      <c r="G228" s="28" t="s">
        <v>45</v>
      </c>
      <c r="H228" s="29"/>
      <c r="I228" s="29" t="s">
        <v>46</v>
      </c>
      <c r="J228" s="30">
        <v>10</v>
      </c>
      <c r="K228" s="31">
        <f>1130.5</f>
        <v>1130.5</v>
      </c>
      <c r="L228" s="32" t="s">
        <v>995</v>
      </c>
      <c r="M228" s="31">
        <f>1136</f>
        <v>1136</v>
      </c>
      <c r="N228" s="32" t="s">
        <v>1000</v>
      </c>
      <c r="O228" s="31">
        <f>1099</f>
        <v>1099</v>
      </c>
      <c r="P228" s="32" t="s">
        <v>789</v>
      </c>
      <c r="Q228" s="31">
        <f>1120</f>
        <v>1120</v>
      </c>
      <c r="R228" s="32" t="s">
        <v>791</v>
      </c>
      <c r="S228" s="33">
        <f>1118.1</f>
        <v>1118.0999999999999</v>
      </c>
      <c r="T228" s="30">
        <f>62510</f>
        <v>62510</v>
      </c>
      <c r="U228" s="30">
        <f>40</f>
        <v>40</v>
      </c>
      <c r="V228" s="30">
        <f>70381265</f>
        <v>70381265</v>
      </c>
      <c r="W228" s="30">
        <f>44510</f>
        <v>44510</v>
      </c>
      <c r="X228" s="34">
        <f>20</f>
        <v>20</v>
      </c>
    </row>
    <row r="229" spans="1:24" ht="13.5" customHeight="1" x14ac:dyDescent="0.15">
      <c r="A229" s="25" t="s">
        <v>1091</v>
      </c>
      <c r="B229" s="25" t="s">
        <v>667</v>
      </c>
      <c r="C229" s="25" t="s">
        <v>668</v>
      </c>
      <c r="D229" s="25" t="s">
        <v>669</v>
      </c>
      <c r="E229" s="26" t="s">
        <v>45</v>
      </c>
      <c r="F229" s="27" t="s">
        <v>45</v>
      </c>
      <c r="G229" s="28" t="s">
        <v>45</v>
      </c>
      <c r="H229" s="29"/>
      <c r="I229" s="29" t="s">
        <v>46</v>
      </c>
      <c r="J229" s="30">
        <v>1</v>
      </c>
      <c r="K229" s="31">
        <f>1122</f>
        <v>1122</v>
      </c>
      <c r="L229" s="32" t="s">
        <v>995</v>
      </c>
      <c r="M229" s="31">
        <f>1204</f>
        <v>1204</v>
      </c>
      <c r="N229" s="32" t="s">
        <v>894</v>
      </c>
      <c r="O229" s="31">
        <f>1120</f>
        <v>1120</v>
      </c>
      <c r="P229" s="32" t="s">
        <v>995</v>
      </c>
      <c r="Q229" s="31">
        <f>1177</f>
        <v>1177</v>
      </c>
      <c r="R229" s="32" t="s">
        <v>791</v>
      </c>
      <c r="S229" s="33">
        <f>1163.25</f>
        <v>1163.25</v>
      </c>
      <c r="T229" s="30">
        <f>352786</f>
        <v>352786</v>
      </c>
      <c r="U229" s="30">
        <f>246000</f>
        <v>246000</v>
      </c>
      <c r="V229" s="30">
        <f>411814577</f>
        <v>411814577</v>
      </c>
      <c r="W229" s="30">
        <f>289411550</f>
        <v>289411550</v>
      </c>
      <c r="X229" s="34">
        <f>20</f>
        <v>20</v>
      </c>
    </row>
    <row r="230" spans="1:24" ht="13.5" customHeight="1" x14ac:dyDescent="0.15">
      <c r="A230" s="25" t="s">
        <v>1091</v>
      </c>
      <c r="B230" s="25" t="s">
        <v>670</v>
      </c>
      <c r="C230" s="25" t="s">
        <v>671</v>
      </c>
      <c r="D230" s="25" t="s">
        <v>672</v>
      </c>
      <c r="E230" s="26" t="s">
        <v>45</v>
      </c>
      <c r="F230" s="27" t="s">
        <v>45</v>
      </c>
      <c r="G230" s="28" t="s">
        <v>45</v>
      </c>
      <c r="H230" s="29"/>
      <c r="I230" s="29" t="s">
        <v>46</v>
      </c>
      <c r="J230" s="30">
        <v>10</v>
      </c>
      <c r="K230" s="31">
        <f>898.6</f>
        <v>898.6</v>
      </c>
      <c r="L230" s="32" t="s">
        <v>995</v>
      </c>
      <c r="M230" s="31">
        <f>919.5</f>
        <v>919.5</v>
      </c>
      <c r="N230" s="32" t="s">
        <v>791</v>
      </c>
      <c r="O230" s="31">
        <f>891</f>
        <v>891</v>
      </c>
      <c r="P230" s="32" t="s">
        <v>794</v>
      </c>
      <c r="Q230" s="31">
        <f>912.1</f>
        <v>912.1</v>
      </c>
      <c r="R230" s="32" t="s">
        <v>791</v>
      </c>
      <c r="S230" s="33">
        <f>902.44</f>
        <v>902.44</v>
      </c>
      <c r="T230" s="30">
        <f>83200</f>
        <v>83200</v>
      </c>
      <c r="U230" s="30" t="str">
        <f>"－"</f>
        <v>－</v>
      </c>
      <c r="V230" s="30">
        <f>75133720</f>
        <v>75133720</v>
      </c>
      <c r="W230" s="30" t="str">
        <f>"－"</f>
        <v>－</v>
      </c>
      <c r="X230" s="34">
        <f>20</f>
        <v>20</v>
      </c>
    </row>
    <row r="231" spans="1:24" ht="13.5" customHeight="1" x14ac:dyDescent="0.15">
      <c r="A231" s="25" t="s">
        <v>1091</v>
      </c>
      <c r="B231" s="25" t="s">
        <v>673</v>
      </c>
      <c r="C231" s="25" t="s">
        <v>674</v>
      </c>
      <c r="D231" s="25" t="s">
        <v>675</v>
      </c>
      <c r="E231" s="26" t="s">
        <v>45</v>
      </c>
      <c r="F231" s="27" t="s">
        <v>45</v>
      </c>
      <c r="G231" s="28" t="s">
        <v>45</v>
      </c>
      <c r="H231" s="29"/>
      <c r="I231" s="29" t="s">
        <v>46</v>
      </c>
      <c r="J231" s="30">
        <v>10</v>
      </c>
      <c r="K231" s="31">
        <f>1157</f>
        <v>1157</v>
      </c>
      <c r="L231" s="32" t="s">
        <v>995</v>
      </c>
      <c r="M231" s="31">
        <f>1207.5</f>
        <v>1207.5</v>
      </c>
      <c r="N231" s="32" t="s">
        <v>1017</v>
      </c>
      <c r="O231" s="31">
        <f>1154</f>
        <v>1154</v>
      </c>
      <c r="P231" s="32" t="s">
        <v>1000</v>
      </c>
      <c r="Q231" s="31">
        <f>1174</f>
        <v>1174</v>
      </c>
      <c r="R231" s="32" t="s">
        <v>791</v>
      </c>
      <c r="S231" s="33">
        <f>1175.55</f>
        <v>1175.55</v>
      </c>
      <c r="T231" s="30">
        <f>58410</f>
        <v>58410</v>
      </c>
      <c r="U231" s="30">
        <f>20</f>
        <v>20</v>
      </c>
      <c r="V231" s="30">
        <f>68579145</f>
        <v>68579145</v>
      </c>
      <c r="W231" s="30">
        <f>23300</f>
        <v>23300</v>
      </c>
      <c r="X231" s="34">
        <f>20</f>
        <v>20</v>
      </c>
    </row>
    <row r="232" spans="1:24" ht="13.5" customHeight="1" x14ac:dyDescent="0.15">
      <c r="A232" s="25" t="s">
        <v>1091</v>
      </c>
      <c r="B232" s="25" t="s">
        <v>676</v>
      </c>
      <c r="C232" s="25" t="s">
        <v>677</v>
      </c>
      <c r="D232" s="25" t="s">
        <v>678</v>
      </c>
      <c r="E232" s="26" t="s">
        <v>45</v>
      </c>
      <c r="F232" s="27" t="s">
        <v>45</v>
      </c>
      <c r="G232" s="28" t="s">
        <v>45</v>
      </c>
      <c r="H232" s="29"/>
      <c r="I232" s="29" t="s">
        <v>46</v>
      </c>
      <c r="J232" s="30">
        <v>10</v>
      </c>
      <c r="K232" s="31">
        <f>1375.5</f>
        <v>1375.5</v>
      </c>
      <c r="L232" s="32" t="s">
        <v>995</v>
      </c>
      <c r="M232" s="31">
        <f>1393.5</f>
        <v>1393.5</v>
      </c>
      <c r="N232" s="32" t="s">
        <v>1017</v>
      </c>
      <c r="O232" s="31">
        <f>1358</f>
        <v>1358</v>
      </c>
      <c r="P232" s="32" t="s">
        <v>792</v>
      </c>
      <c r="Q232" s="31">
        <f>1381</f>
        <v>1381</v>
      </c>
      <c r="R232" s="32" t="s">
        <v>791</v>
      </c>
      <c r="S232" s="33">
        <f>1372.73</f>
        <v>1372.73</v>
      </c>
      <c r="T232" s="30">
        <f>15501720</f>
        <v>15501720</v>
      </c>
      <c r="U232" s="30">
        <f>1270920</f>
        <v>1270920</v>
      </c>
      <c r="V232" s="30">
        <f>21279879992</f>
        <v>21279879992</v>
      </c>
      <c r="W232" s="30">
        <f>1736377722</f>
        <v>1736377722</v>
      </c>
      <c r="X232" s="34">
        <f>20</f>
        <v>20</v>
      </c>
    </row>
    <row r="233" spans="1:24" ht="13.5" customHeight="1" x14ac:dyDescent="0.15">
      <c r="A233" s="25" t="s">
        <v>1091</v>
      </c>
      <c r="B233" s="25" t="s">
        <v>679</v>
      </c>
      <c r="C233" s="25" t="s">
        <v>680</v>
      </c>
      <c r="D233" s="25" t="s">
        <v>681</v>
      </c>
      <c r="E233" s="26" t="s">
        <v>45</v>
      </c>
      <c r="F233" s="27" t="s">
        <v>45</v>
      </c>
      <c r="G233" s="28" t="s">
        <v>45</v>
      </c>
      <c r="H233" s="29"/>
      <c r="I233" s="29" t="s">
        <v>46</v>
      </c>
      <c r="J233" s="30">
        <v>1</v>
      </c>
      <c r="K233" s="31">
        <f>3825</f>
        <v>3825</v>
      </c>
      <c r="L233" s="32" t="s">
        <v>995</v>
      </c>
      <c r="M233" s="31">
        <f>4290</f>
        <v>4290</v>
      </c>
      <c r="N233" s="32" t="s">
        <v>1017</v>
      </c>
      <c r="O233" s="31">
        <f>3750</f>
        <v>3750</v>
      </c>
      <c r="P233" s="32" t="s">
        <v>995</v>
      </c>
      <c r="Q233" s="31">
        <f>4185</f>
        <v>4185</v>
      </c>
      <c r="R233" s="32" t="s">
        <v>791</v>
      </c>
      <c r="S233" s="33">
        <f>3996.25</f>
        <v>3996.25</v>
      </c>
      <c r="T233" s="30">
        <f>81071</f>
        <v>81071</v>
      </c>
      <c r="U233" s="30" t="str">
        <f>"－"</f>
        <v>－</v>
      </c>
      <c r="V233" s="30">
        <f>329489320</f>
        <v>329489320</v>
      </c>
      <c r="W233" s="30" t="str">
        <f>"－"</f>
        <v>－</v>
      </c>
      <c r="X233" s="34">
        <f>20</f>
        <v>20</v>
      </c>
    </row>
    <row r="234" spans="1:24" ht="13.5" customHeight="1" x14ac:dyDescent="0.15">
      <c r="A234" s="25" t="s">
        <v>1091</v>
      </c>
      <c r="B234" s="25" t="s">
        <v>682</v>
      </c>
      <c r="C234" s="25" t="s">
        <v>683</v>
      </c>
      <c r="D234" s="25" t="s">
        <v>684</v>
      </c>
      <c r="E234" s="26" t="s">
        <v>45</v>
      </c>
      <c r="F234" s="27" t="s">
        <v>45</v>
      </c>
      <c r="G234" s="28" t="s">
        <v>45</v>
      </c>
      <c r="H234" s="29"/>
      <c r="I234" s="29" t="s">
        <v>46</v>
      </c>
      <c r="J234" s="30">
        <v>10</v>
      </c>
      <c r="K234" s="31">
        <f>1700</f>
        <v>1700</v>
      </c>
      <c r="L234" s="32" t="s">
        <v>1000</v>
      </c>
      <c r="M234" s="31">
        <f>1840</f>
        <v>1840</v>
      </c>
      <c r="N234" s="32" t="s">
        <v>894</v>
      </c>
      <c r="O234" s="31">
        <f>1646.5</f>
        <v>1646.5</v>
      </c>
      <c r="P234" s="32" t="s">
        <v>1000</v>
      </c>
      <c r="Q234" s="31">
        <f>1829</f>
        <v>1829</v>
      </c>
      <c r="R234" s="32" t="s">
        <v>894</v>
      </c>
      <c r="S234" s="33">
        <f>1740.25</f>
        <v>1740.25</v>
      </c>
      <c r="T234" s="30">
        <f>3480</f>
        <v>3480</v>
      </c>
      <c r="U234" s="30" t="str">
        <f>"－"</f>
        <v>－</v>
      </c>
      <c r="V234" s="30">
        <f>6240440</f>
        <v>6240440</v>
      </c>
      <c r="W234" s="30" t="str">
        <f>"－"</f>
        <v>－</v>
      </c>
      <c r="X234" s="34">
        <f>10</f>
        <v>10</v>
      </c>
    </row>
    <row r="235" spans="1:24" ht="13.5" customHeight="1" x14ac:dyDescent="0.15">
      <c r="A235" s="25" t="s">
        <v>1091</v>
      </c>
      <c r="B235" s="25" t="s">
        <v>685</v>
      </c>
      <c r="C235" s="25" t="s">
        <v>686</v>
      </c>
      <c r="D235" s="25" t="s">
        <v>687</v>
      </c>
      <c r="E235" s="26" t="s">
        <v>45</v>
      </c>
      <c r="F235" s="27" t="s">
        <v>45</v>
      </c>
      <c r="G235" s="28" t="s">
        <v>45</v>
      </c>
      <c r="H235" s="29"/>
      <c r="I235" s="29" t="s">
        <v>46</v>
      </c>
      <c r="J235" s="30">
        <v>10</v>
      </c>
      <c r="K235" s="31">
        <f>2131.5</f>
        <v>2131.5</v>
      </c>
      <c r="L235" s="32" t="s">
        <v>999</v>
      </c>
      <c r="M235" s="31">
        <f>2245.5</f>
        <v>2245.5</v>
      </c>
      <c r="N235" s="32" t="s">
        <v>894</v>
      </c>
      <c r="O235" s="31">
        <f>2128.5</f>
        <v>2128.5</v>
      </c>
      <c r="P235" s="32" t="s">
        <v>1000</v>
      </c>
      <c r="Q235" s="31">
        <f>2189.5</f>
        <v>2189.5</v>
      </c>
      <c r="R235" s="32" t="s">
        <v>791</v>
      </c>
      <c r="S235" s="33">
        <f>2187.61</f>
        <v>2187.61</v>
      </c>
      <c r="T235" s="30">
        <f>269650</f>
        <v>269650</v>
      </c>
      <c r="U235" s="30" t="str">
        <f>"－"</f>
        <v>－</v>
      </c>
      <c r="V235" s="30">
        <f>595510545</f>
        <v>595510545</v>
      </c>
      <c r="W235" s="30" t="str">
        <f>"－"</f>
        <v>－</v>
      </c>
      <c r="X235" s="34">
        <f>19</f>
        <v>19</v>
      </c>
    </row>
    <row r="236" spans="1:24" ht="13.5" customHeight="1" x14ac:dyDescent="0.15">
      <c r="A236" s="25" t="s">
        <v>1091</v>
      </c>
      <c r="B236" s="25" t="s">
        <v>688</v>
      </c>
      <c r="C236" s="25" t="s">
        <v>689</v>
      </c>
      <c r="D236" s="25" t="s">
        <v>690</v>
      </c>
      <c r="E236" s="26" t="s">
        <v>45</v>
      </c>
      <c r="F236" s="27" t="s">
        <v>45</v>
      </c>
      <c r="G236" s="28" t="s">
        <v>45</v>
      </c>
      <c r="H236" s="29"/>
      <c r="I236" s="29" t="s">
        <v>46</v>
      </c>
      <c r="J236" s="30">
        <v>1</v>
      </c>
      <c r="K236" s="31">
        <f>29610</f>
        <v>29610</v>
      </c>
      <c r="L236" s="32" t="s">
        <v>995</v>
      </c>
      <c r="M236" s="31">
        <f>32170</f>
        <v>32170</v>
      </c>
      <c r="N236" s="32" t="s">
        <v>1017</v>
      </c>
      <c r="O236" s="31">
        <f>29600</f>
        <v>29600</v>
      </c>
      <c r="P236" s="32" t="s">
        <v>794</v>
      </c>
      <c r="Q236" s="31">
        <f>31520</f>
        <v>31520</v>
      </c>
      <c r="R236" s="32" t="s">
        <v>791</v>
      </c>
      <c r="S236" s="33">
        <f>30830.83</f>
        <v>30830.83</v>
      </c>
      <c r="T236" s="30">
        <f>106166</f>
        <v>106166</v>
      </c>
      <c r="U236" s="30">
        <f>90100</f>
        <v>90100</v>
      </c>
      <c r="V236" s="30">
        <f>3266681215</f>
        <v>3266681215</v>
      </c>
      <c r="W236" s="30">
        <f>2771736920</f>
        <v>2771736920</v>
      </c>
      <c r="X236" s="34">
        <f>18</f>
        <v>18</v>
      </c>
    </row>
    <row r="237" spans="1:24" ht="13.5" customHeight="1" x14ac:dyDescent="0.15">
      <c r="A237" s="25" t="s">
        <v>1091</v>
      </c>
      <c r="B237" s="25" t="s">
        <v>691</v>
      </c>
      <c r="C237" s="25" t="s">
        <v>692</v>
      </c>
      <c r="D237" s="25" t="s">
        <v>693</v>
      </c>
      <c r="E237" s="26" t="s">
        <v>45</v>
      </c>
      <c r="F237" s="27" t="s">
        <v>45</v>
      </c>
      <c r="G237" s="28" t="s">
        <v>45</v>
      </c>
      <c r="H237" s="29"/>
      <c r="I237" s="29" t="s">
        <v>46</v>
      </c>
      <c r="J237" s="30">
        <v>1</v>
      </c>
      <c r="K237" s="31">
        <f>19095</f>
        <v>19095</v>
      </c>
      <c r="L237" s="32" t="s">
        <v>1004</v>
      </c>
      <c r="M237" s="31">
        <f>19930</f>
        <v>19930</v>
      </c>
      <c r="N237" s="32" t="s">
        <v>788</v>
      </c>
      <c r="O237" s="31">
        <f>19095</f>
        <v>19095</v>
      </c>
      <c r="P237" s="32" t="s">
        <v>1004</v>
      </c>
      <c r="Q237" s="31">
        <f>19890</f>
        <v>19890</v>
      </c>
      <c r="R237" s="32" t="s">
        <v>893</v>
      </c>
      <c r="S237" s="33">
        <f>19541.67</f>
        <v>19541.669999999998</v>
      </c>
      <c r="T237" s="30">
        <f>132</f>
        <v>132</v>
      </c>
      <c r="U237" s="30" t="str">
        <f>"－"</f>
        <v>－</v>
      </c>
      <c r="V237" s="30">
        <f>2605100</f>
        <v>2605100</v>
      </c>
      <c r="W237" s="30" t="str">
        <f>"－"</f>
        <v>－</v>
      </c>
      <c r="X237" s="34">
        <f>6</f>
        <v>6</v>
      </c>
    </row>
    <row r="238" spans="1:24" ht="13.5" customHeight="1" x14ac:dyDescent="0.15">
      <c r="A238" s="25" t="s">
        <v>1091</v>
      </c>
      <c r="B238" s="25" t="s">
        <v>694</v>
      </c>
      <c r="C238" s="25" t="s">
        <v>695</v>
      </c>
      <c r="D238" s="25" t="s">
        <v>696</v>
      </c>
      <c r="E238" s="26" t="s">
        <v>45</v>
      </c>
      <c r="F238" s="27" t="s">
        <v>45</v>
      </c>
      <c r="G238" s="28" t="s">
        <v>45</v>
      </c>
      <c r="H238" s="29"/>
      <c r="I238" s="29" t="s">
        <v>46</v>
      </c>
      <c r="J238" s="30">
        <v>10</v>
      </c>
      <c r="K238" s="31">
        <f>1125.5</f>
        <v>1125.5</v>
      </c>
      <c r="L238" s="32" t="s">
        <v>999</v>
      </c>
      <c r="M238" s="31">
        <f>1146</f>
        <v>1146</v>
      </c>
      <c r="N238" s="32" t="s">
        <v>876</v>
      </c>
      <c r="O238" s="31">
        <f>1114.5</f>
        <v>1114.5</v>
      </c>
      <c r="P238" s="32" t="s">
        <v>789</v>
      </c>
      <c r="Q238" s="31">
        <f>1132.5</f>
        <v>1132.5</v>
      </c>
      <c r="R238" s="32" t="s">
        <v>791</v>
      </c>
      <c r="S238" s="33">
        <f>1132.44</f>
        <v>1132.44</v>
      </c>
      <c r="T238" s="30">
        <f>2920690</f>
        <v>2920690</v>
      </c>
      <c r="U238" s="30">
        <f>2412100</f>
        <v>2412100</v>
      </c>
      <c r="V238" s="30">
        <f>3309434260</f>
        <v>3309434260</v>
      </c>
      <c r="W238" s="30">
        <f>2731030950</f>
        <v>2731030950</v>
      </c>
      <c r="X238" s="34">
        <f>17</f>
        <v>17</v>
      </c>
    </row>
    <row r="239" spans="1:24" ht="13.5" customHeight="1" x14ac:dyDescent="0.15">
      <c r="A239" s="25" t="s">
        <v>1091</v>
      </c>
      <c r="B239" s="25" t="s">
        <v>697</v>
      </c>
      <c r="C239" s="25" t="s">
        <v>1085</v>
      </c>
      <c r="D239" s="25" t="s">
        <v>1086</v>
      </c>
      <c r="E239" s="26" t="s">
        <v>45</v>
      </c>
      <c r="F239" s="27" t="s">
        <v>45</v>
      </c>
      <c r="G239" s="28" t="s">
        <v>45</v>
      </c>
      <c r="H239" s="29"/>
      <c r="I239" s="29" t="s">
        <v>46</v>
      </c>
      <c r="J239" s="30">
        <v>10</v>
      </c>
      <c r="K239" s="31">
        <f>1126</f>
        <v>1126</v>
      </c>
      <c r="L239" s="32" t="s">
        <v>995</v>
      </c>
      <c r="M239" s="31">
        <f>1131</f>
        <v>1131</v>
      </c>
      <c r="N239" s="32" t="s">
        <v>1004</v>
      </c>
      <c r="O239" s="31">
        <f>1101</f>
        <v>1101</v>
      </c>
      <c r="P239" s="32" t="s">
        <v>789</v>
      </c>
      <c r="Q239" s="31">
        <f>1121.5</f>
        <v>1121.5</v>
      </c>
      <c r="R239" s="32" t="s">
        <v>791</v>
      </c>
      <c r="S239" s="33">
        <f>1118.15</f>
        <v>1118.1500000000001</v>
      </c>
      <c r="T239" s="30">
        <f>681760</f>
        <v>681760</v>
      </c>
      <c r="U239" s="30">
        <f>675000</f>
        <v>675000</v>
      </c>
      <c r="V239" s="30">
        <f>764274690</f>
        <v>764274690</v>
      </c>
      <c r="W239" s="30">
        <f>756687500</f>
        <v>756687500</v>
      </c>
      <c r="X239" s="34">
        <f>20</f>
        <v>20</v>
      </c>
    </row>
    <row r="240" spans="1:24" ht="13.5" customHeight="1" x14ac:dyDescent="0.15">
      <c r="A240" s="25" t="s">
        <v>1091</v>
      </c>
      <c r="B240" s="25" t="s">
        <v>700</v>
      </c>
      <c r="C240" s="25" t="s">
        <v>701</v>
      </c>
      <c r="D240" s="25" t="s">
        <v>702</v>
      </c>
      <c r="E240" s="26" t="s">
        <v>45</v>
      </c>
      <c r="F240" s="27" t="s">
        <v>45</v>
      </c>
      <c r="G240" s="28" t="s">
        <v>45</v>
      </c>
      <c r="H240" s="29"/>
      <c r="I240" s="29" t="s">
        <v>46</v>
      </c>
      <c r="J240" s="30">
        <v>1</v>
      </c>
      <c r="K240" s="31">
        <f>1296</f>
        <v>1296</v>
      </c>
      <c r="L240" s="32" t="s">
        <v>995</v>
      </c>
      <c r="M240" s="31">
        <f>1366</f>
        <v>1366</v>
      </c>
      <c r="N240" s="32" t="s">
        <v>1017</v>
      </c>
      <c r="O240" s="31">
        <f>1289</f>
        <v>1289</v>
      </c>
      <c r="P240" s="32" t="s">
        <v>995</v>
      </c>
      <c r="Q240" s="31">
        <f>1325</f>
        <v>1325</v>
      </c>
      <c r="R240" s="32" t="s">
        <v>791</v>
      </c>
      <c r="S240" s="33">
        <f>1322.15</f>
        <v>1322.15</v>
      </c>
      <c r="T240" s="30">
        <f>397537</f>
        <v>397537</v>
      </c>
      <c r="U240" s="30">
        <f>122000</f>
        <v>122000</v>
      </c>
      <c r="V240" s="30">
        <f>524504835</f>
        <v>524504835</v>
      </c>
      <c r="W240" s="30">
        <f>159000400</f>
        <v>159000400</v>
      </c>
      <c r="X240" s="34">
        <f>20</f>
        <v>20</v>
      </c>
    </row>
    <row r="241" spans="1:24" ht="13.5" customHeight="1" x14ac:dyDescent="0.15">
      <c r="A241" s="25" t="s">
        <v>1091</v>
      </c>
      <c r="B241" s="25" t="s">
        <v>703</v>
      </c>
      <c r="C241" s="25" t="s">
        <v>704</v>
      </c>
      <c r="D241" s="25" t="s">
        <v>705</v>
      </c>
      <c r="E241" s="26" t="s">
        <v>45</v>
      </c>
      <c r="F241" s="27" t="s">
        <v>45</v>
      </c>
      <c r="G241" s="28" t="s">
        <v>45</v>
      </c>
      <c r="H241" s="29"/>
      <c r="I241" s="29" t="s">
        <v>46</v>
      </c>
      <c r="J241" s="30">
        <v>1</v>
      </c>
      <c r="K241" s="31">
        <f>13400</f>
        <v>13400</v>
      </c>
      <c r="L241" s="32" t="s">
        <v>995</v>
      </c>
      <c r="M241" s="31">
        <f>13745</f>
        <v>13745</v>
      </c>
      <c r="N241" s="32" t="s">
        <v>1004</v>
      </c>
      <c r="O241" s="31">
        <f>12600</f>
        <v>12600</v>
      </c>
      <c r="P241" s="32" t="s">
        <v>791</v>
      </c>
      <c r="Q241" s="31">
        <f>12600</f>
        <v>12600</v>
      </c>
      <c r="R241" s="32" t="s">
        <v>791</v>
      </c>
      <c r="S241" s="33">
        <f>13168.5</f>
        <v>13168.5</v>
      </c>
      <c r="T241" s="30">
        <f>909</f>
        <v>909</v>
      </c>
      <c r="U241" s="30" t="str">
        <f>"－"</f>
        <v>－</v>
      </c>
      <c r="V241" s="30">
        <f>11740330</f>
        <v>11740330</v>
      </c>
      <c r="W241" s="30" t="str">
        <f>"－"</f>
        <v>－</v>
      </c>
      <c r="X241" s="34">
        <f>20</f>
        <v>20</v>
      </c>
    </row>
    <row r="242" spans="1:24" ht="13.5" customHeight="1" x14ac:dyDescent="0.15">
      <c r="A242" s="25" t="s">
        <v>1091</v>
      </c>
      <c r="B242" s="25" t="s">
        <v>706</v>
      </c>
      <c r="C242" s="25" t="s">
        <v>707</v>
      </c>
      <c r="D242" s="25" t="s">
        <v>708</v>
      </c>
      <c r="E242" s="26" t="s">
        <v>45</v>
      </c>
      <c r="F242" s="27" t="s">
        <v>45</v>
      </c>
      <c r="G242" s="28" t="s">
        <v>45</v>
      </c>
      <c r="H242" s="29"/>
      <c r="I242" s="29" t="s">
        <v>46</v>
      </c>
      <c r="J242" s="30">
        <v>1</v>
      </c>
      <c r="K242" s="31">
        <f>2017</f>
        <v>2017</v>
      </c>
      <c r="L242" s="32" t="s">
        <v>995</v>
      </c>
      <c r="M242" s="31">
        <f>2024</f>
        <v>2024</v>
      </c>
      <c r="N242" s="32" t="s">
        <v>1004</v>
      </c>
      <c r="O242" s="31">
        <f>1967</f>
        <v>1967</v>
      </c>
      <c r="P242" s="32" t="s">
        <v>789</v>
      </c>
      <c r="Q242" s="31">
        <f>2003</f>
        <v>2003</v>
      </c>
      <c r="R242" s="32" t="s">
        <v>791</v>
      </c>
      <c r="S242" s="33">
        <f>1998.9</f>
        <v>1998.9</v>
      </c>
      <c r="T242" s="30">
        <f>554070</f>
        <v>554070</v>
      </c>
      <c r="U242" s="30">
        <f>499002</f>
        <v>499002</v>
      </c>
      <c r="V242" s="30">
        <f>1110966591</f>
        <v>1110966591</v>
      </c>
      <c r="W242" s="30">
        <f>1000790874</f>
        <v>1000790874</v>
      </c>
      <c r="X242" s="34">
        <f>20</f>
        <v>20</v>
      </c>
    </row>
    <row r="243" spans="1:24" ht="13.5" customHeight="1" x14ac:dyDescent="0.15">
      <c r="A243" s="25" t="s">
        <v>1091</v>
      </c>
      <c r="B243" s="25" t="s">
        <v>709</v>
      </c>
      <c r="C243" s="25" t="s">
        <v>710</v>
      </c>
      <c r="D243" s="25" t="s">
        <v>711</v>
      </c>
      <c r="E243" s="26" t="s">
        <v>45</v>
      </c>
      <c r="F243" s="27" t="s">
        <v>45</v>
      </c>
      <c r="G243" s="28" t="s">
        <v>45</v>
      </c>
      <c r="H243" s="29"/>
      <c r="I243" s="29" t="s">
        <v>46</v>
      </c>
      <c r="J243" s="30">
        <v>10</v>
      </c>
      <c r="K243" s="31">
        <f>1642.5</f>
        <v>1642.5</v>
      </c>
      <c r="L243" s="32" t="s">
        <v>995</v>
      </c>
      <c r="M243" s="31">
        <f>1651.5</f>
        <v>1651.5</v>
      </c>
      <c r="N243" s="32" t="s">
        <v>876</v>
      </c>
      <c r="O243" s="31">
        <f>1592</f>
        <v>1592</v>
      </c>
      <c r="P243" s="32" t="s">
        <v>792</v>
      </c>
      <c r="Q243" s="31">
        <f>1605.5</f>
        <v>1605.5</v>
      </c>
      <c r="R243" s="32" t="s">
        <v>1017</v>
      </c>
      <c r="S243" s="33">
        <f>1622</f>
        <v>1622</v>
      </c>
      <c r="T243" s="30">
        <f>220</f>
        <v>220</v>
      </c>
      <c r="U243" s="30" t="str">
        <f>"－"</f>
        <v>－</v>
      </c>
      <c r="V243" s="30">
        <f>353975</f>
        <v>353975</v>
      </c>
      <c r="W243" s="30" t="str">
        <f>"－"</f>
        <v>－</v>
      </c>
      <c r="X243" s="34">
        <f>8</f>
        <v>8</v>
      </c>
    </row>
    <row r="244" spans="1:24" ht="13.5" customHeight="1" x14ac:dyDescent="0.15">
      <c r="A244" s="25" t="s">
        <v>1091</v>
      </c>
      <c r="B244" s="25" t="s">
        <v>712</v>
      </c>
      <c r="C244" s="25" t="s">
        <v>795</v>
      </c>
      <c r="D244" s="25" t="s">
        <v>796</v>
      </c>
      <c r="E244" s="26" t="s">
        <v>45</v>
      </c>
      <c r="F244" s="27" t="s">
        <v>45</v>
      </c>
      <c r="G244" s="28" t="s">
        <v>45</v>
      </c>
      <c r="H244" s="29"/>
      <c r="I244" s="29" t="s">
        <v>46</v>
      </c>
      <c r="J244" s="30">
        <v>10</v>
      </c>
      <c r="K244" s="31">
        <f>851.7</f>
        <v>851.7</v>
      </c>
      <c r="L244" s="32" t="s">
        <v>995</v>
      </c>
      <c r="M244" s="31">
        <f>852</f>
        <v>852</v>
      </c>
      <c r="N244" s="32" t="s">
        <v>1000</v>
      </c>
      <c r="O244" s="31">
        <f>833</f>
        <v>833</v>
      </c>
      <c r="P244" s="32" t="s">
        <v>786</v>
      </c>
      <c r="Q244" s="31">
        <f>837.6</f>
        <v>837.6</v>
      </c>
      <c r="R244" s="32" t="s">
        <v>791</v>
      </c>
      <c r="S244" s="33">
        <f>842.73</f>
        <v>842.73</v>
      </c>
      <c r="T244" s="30">
        <f>198140</f>
        <v>198140</v>
      </c>
      <c r="U244" s="30">
        <f>169980</f>
        <v>169980</v>
      </c>
      <c r="V244" s="30">
        <f>166553182</f>
        <v>166553182</v>
      </c>
      <c r="W244" s="30">
        <f>142866234</f>
        <v>142866234</v>
      </c>
      <c r="X244" s="34">
        <f>20</f>
        <v>20</v>
      </c>
    </row>
    <row r="245" spans="1:24" ht="13.5" customHeight="1" x14ac:dyDescent="0.15">
      <c r="A245" s="25" t="s">
        <v>1091</v>
      </c>
      <c r="B245" s="25" t="s">
        <v>713</v>
      </c>
      <c r="C245" s="25" t="s">
        <v>714</v>
      </c>
      <c r="D245" s="25" t="s">
        <v>715</v>
      </c>
      <c r="E245" s="26" t="s">
        <v>45</v>
      </c>
      <c r="F245" s="27" t="s">
        <v>45</v>
      </c>
      <c r="G245" s="28" t="s">
        <v>45</v>
      </c>
      <c r="H245" s="29"/>
      <c r="I245" s="29" t="s">
        <v>46</v>
      </c>
      <c r="J245" s="30">
        <v>10</v>
      </c>
      <c r="K245" s="31">
        <f>1924.5</f>
        <v>1924.5</v>
      </c>
      <c r="L245" s="32" t="s">
        <v>995</v>
      </c>
      <c r="M245" s="31">
        <f>1935</f>
        <v>1935</v>
      </c>
      <c r="N245" s="32" t="s">
        <v>792</v>
      </c>
      <c r="O245" s="31">
        <f>1885</f>
        <v>1885</v>
      </c>
      <c r="P245" s="32" t="s">
        <v>786</v>
      </c>
      <c r="Q245" s="31">
        <f>1910.5</f>
        <v>1910.5</v>
      </c>
      <c r="R245" s="32" t="s">
        <v>791</v>
      </c>
      <c r="S245" s="33">
        <f>1912.48</f>
        <v>1912.48</v>
      </c>
      <c r="T245" s="30">
        <f>15430</f>
        <v>15430</v>
      </c>
      <c r="U245" s="30" t="str">
        <f>"－"</f>
        <v>－</v>
      </c>
      <c r="V245" s="30">
        <f>29496500</f>
        <v>29496500</v>
      </c>
      <c r="W245" s="30" t="str">
        <f>"－"</f>
        <v>－</v>
      </c>
      <c r="X245" s="34">
        <f>20</f>
        <v>20</v>
      </c>
    </row>
    <row r="246" spans="1:24" ht="13.5" customHeight="1" x14ac:dyDescent="0.15">
      <c r="A246" s="25" t="s">
        <v>1091</v>
      </c>
      <c r="B246" s="25" t="s">
        <v>716</v>
      </c>
      <c r="C246" s="25" t="s">
        <v>717</v>
      </c>
      <c r="D246" s="25" t="s">
        <v>718</v>
      </c>
      <c r="E246" s="26" t="s">
        <v>45</v>
      </c>
      <c r="F246" s="27" t="s">
        <v>45</v>
      </c>
      <c r="G246" s="28" t="s">
        <v>45</v>
      </c>
      <c r="H246" s="29"/>
      <c r="I246" s="29" t="s">
        <v>46</v>
      </c>
      <c r="J246" s="30">
        <v>10</v>
      </c>
      <c r="K246" s="31">
        <f>1911</f>
        <v>1911</v>
      </c>
      <c r="L246" s="32" t="s">
        <v>995</v>
      </c>
      <c r="M246" s="31">
        <f>1932</f>
        <v>1932</v>
      </c>
      <c r="N246" s="32" t="s">
        <v>1004</v>
      </c>
      <c r="O246" s="31">
        <f>1875</f>
        <v>1875</v>
      </c>
      <c r="P246" s="32" t="s">
        <v>789</v>
      </c>
      <c r="Q246" s="31">
        <f>1907</f>
        <v>1907</v>
      </c>
      <c r="R246" s="32" t="s">
        <v>791</v>
      </c>
      <c r="S246" s="33">
        <f>1907.1</f>
        <v>1907.1</v>
      </c>
      <c r="T246" s="30">
        <f>2881110</f>
        <v>2881110</v>
      </c>
      <c r="U246" s="30">
        <f>1666000</f>
        <v>1666000</v>
      </c>
      <c r="V246" s="30">
        <f>5498535570</f>
        <v>5498535570</v>
      </c>
      <c r="W246" s="30">
        <f>3182279780</f>
        <v>3182279780</v>
      </c>
      <c r="X246" s="34">
        <f>20</f>
        <v>20</v>
      </c>
    </row>
    <row r="247" spans="1:24" ht="13.5" customHeight="1" x14ac:dyDescent="0.15">
      <c r="A247" s="25" t="s">
        <v>1091</v>
      </c>
      <c r="B247" s="25" t="s">
        <v>719</v>
      </c>
      <c r="C247" s="25" t="s">
        <v>720</v>
      </c>
      <c r="D247" s="25" t="s">
        <v>721</v>
      </c>
      <c r="E247" s="26" t="s">
        <v>45</v>
      </c>
      <c r="F247" s="27" t="s">
        <v>45</v>
      </c>
      <c r="G247" s="28" t="s">
        <v>45</v>
      </c>
      <c r="H247" s="29"/>
      <c r="I247" s="29" t="s">
        <v>46</v>
      </c>
      <c r="J247" s="30">
        <v>10</v>
      </c>
      <c r="K247" s="31">
        <f>2087.5</f>
        <v>2087.5</v>
      </c>
      <c r="L247" s="32" t="s">
        <v>995</v>
      </c>
      <c r="M247" s="31">
        <f>2206</f>
        <v>2206</v>
      </c>
      <c r="N247" s="32" t="s">
        <v>894</v>
      </c>
      <c r="O247" s="31">
        <f>2086</f>
        <v>2086</v>
      </c>
      <c r="P247" s="32" t="s">
        <v>999</v>
      </c>
      <c r="Q247" s="31">
        <f>2162.5</f>
        <v>2162.5</v>
      </c>
      <c r="R247" s="32" t="s">
        <v>791</v>
      </c>
      <c r="S247" s="33">
        <f>2144.83</f>
        <v>2144.83</v>
      </c>
      <c r="T247" s="30">
        <f>541850</f>
        <v>541850</v>
      </c>
      <c r="U247" s="30" t="str">
        <f>"－"</f>
        <v>－</v>
      </c>
      <c r="V247" s="30">
        <f>1168012420</f>
        <v>1168012420</v>
      </c>
      <c r="W247" s="30" t="str">
        <f>"－"</f>
        <v>－</v>
      </c>
      <c r="X247" s="34">
        <f>20</f>
        <v>20</v>
      </c>
    </row>
    <row r="248" spans="1:24" ht="13.5" customHeight="1" x14ac:dyDescent="0.15">
      <c r="A248" s="25" t="s">
        <v>1091</v>
      </c>
      <c r="B248" s="25" t="s">
        <v>722</v>
      </c>
      <c r="C248" s="25" t="s">
        <v>723</v>
      </c>
      <c r="D248" s="25" t="s">
        <v>724</v>
      </c>
      <c r="E248" s="26" t="s">
        <v>45</v>
      </c>
      <c r="F248" s="27" t="s">
        <v>45</v>
      </c>
      <c r="G248" s="28" t="s">
        <v>45</v>
      </c>
      <c r="H248" s="29"/>
      <c r="I248" s="29" t="s">
        <v>46</v>
      </c>
      <c r="J248" s="30">
        <v>1</v>
      </c>
      <c r="K248" s="31">
        <f>16375</f>
        <v>16375</v>
      </c>
      <c r="L248" s="32" t="s">
        <v>995</v>
      </c>
      <c r="M248" s="31">
        <f>17190</f>
        <v>17190</v>
      </c>
      <c r="N248" s="32" t="s">
        <v>1017</v>
      </c>
      <c r="O248" s="31">
        <f>16015</f>
        <v>16015</v>
      </c>
      <c r="P248" s="32" t="s">
        <v>794</v>
      </c>
      <c r="Q248" s="31">
        <f>16890</f>
        <v>16890</v>
      </c>
      <c r="R248" s="32" t="s">
        <v>791</v>
      </c>
      <c r="S248" s="33">
        <f>16492.75</f>
        <v>16492.75</v>
      </c>
      <c r="T248" s="30">
        <f>878010</f>
        <v>878010</v>
      </c>
      <c r="U248" s="30">
        <f>20018</f>
        <v>20018</v>
      </c>
      <c r="V248" s="30">
        <f>14505192320</f>
        <v>14505192320</v>
      </c>
      <c r="W248" s="30">
        <f>322647270</f>
        <v>322647270</v>
      </c>
      <c r="X248" s="34">
        <f>20</f>
        <v>20</v>
      </c>
    </row>
    <row r="249" spans="1:24" ht="13.5" customHeight="1" x14ac:dyDescent="0.15">
      <c r="A249" s="25" t="s">
        <v>1091</v>
      </c>
      <c r="B249" s="25" t="s">
        <v>725</v>
      </c>
      <c r="C249" s="25" t="s">
        <v>726</v>
      </c>
      <c r="D249" s="25" t="s">
        <v>727</v>
      </c>
      <c r="E249" s="26" t="s">
        <v>45</v>
      </c>
      <c r="F249" s="27" t="s">
        <v>45</v>
      </c>
      <c r="G249" s="28" t="s">
        <v>45</v>
      </c>
      <c r="H249" s="29"/>
      <c r="I249" s="29" t="s">
        <v>46</v>
      </c>
      <c r="J249" s="30">
        <v>1</v>
      </c>
      <c r="K249" s="31">
        <f>14710</f>
        <v>14710</v>
      </c>
      <c r="L249" s="32" t="s">
        <v>995</v>
      </c>
      <c r="M249" s="31">
        <f>15285</f>
        <v>15285</v>
      </c>
      <c r="N249" s="32" t="s">
        <v>1017</v>
      </c>
      <c r="O249" s="31">
        <f>14495</f>
        <v>14495</v>
      </c>
      <c r="P249" s="32" t="s">
        <v>794</v>
      </c>
      <c r="Q249" s="31">
        <f>15010</f>
        <v>15010</v>
      </c>
      <c r="R249" s="32" t="s">
        <v>791</v>
      </c>
      <c r="S249" s="33">
        <f>14822.25</f>
        <v>14822.25</v>
      </c>
      <c r="T249" s="30">
        <f>203087</f>
        <v>203087</v>
      </c>
      <c r="U249" s="30" t="str">
        <f>"－"</f>
        <v>－</v>
      </c>
      <c r="V249" s="30">
        <f>3017738050</f>
        <v>3017738050</v>
      </c>
      <c r="W249" s="30" t="str">
        <f>"－"</f>
        <v>－</v>
      </c>
      <c r="X249" s="34">
        <f>20</f>
        <v>20</v>
      </c>
    </row>
    <row r="250" spans="1:24" ht="13.5" customHeight="1" x14ac:dyDescent="0.15">
      <c r="A250" s="25" t="s">
        <v>1091</v>
      </c>
      <c r="B250" s="25" t="s">
        <v>728</v>
      </c>
      <c r="C250" s="25" t="s">
        <v>729</v>
      </c>
      <c r="D250" s="25" t="s">
        <v>730</v>
      </c>
      <c r="E250" s="26" t="s">
        <v>45</v>
      </c>
      <c r="F250" s="27" t="s">
        <v>45</v>
      </c>
      <c r="G250" s="28" t="s">
        <v>45</v>
      </c>
      <c r="H250" s="29"/>
      <c r="I250" s="29" t="s">
        <v>46</v>
      </c>
      <c r="J250" s="30">
        <v>1</v>
      </c>
      <c r="K250" s="31">
        <f>27725</f>
        <v>27725</v>
      </c>
      <c r="L250" s="32" t="s">
        <v>995</v>
      </c>
      <c r="M250" s="31">
        <f>29105</f>
        <v>29105</v>
      </c>
      <c r="N250" s="32" t="s">
        <v>894</v>
      </c>
      <c r="O250" s="31">
        <f>27690</f>
        <v>27690</v>
      </c>
      <c r="P250" s="32" t="s">
        <v>794</v>
      </c>
      <c r="Q250" s="31">
        <f>28550</f>
        <v>28550</v>
      </c>
      <c r="R250" s="32" t="s">
        <v>791</v>
      </c>
      <c r="S250" s="33">
        <f>28328.16</f>
        <v>28328.16</v>
      </c>
      <c r="T250" s="30">
        <f>104</f>
        <v>104</v>
      </c>
      <c r="U250" s="30" t="str">
        <f>"－"</f>
        <v>－</v>
      </c>
      <c r="V250" s="30">
        <f>2969715</f>
        <v>2969715</v>
      </c>
      <c r="W250" s="30" t="str">
        <f>"－"</f>
        <v>－</v>
      </c>
      <c r="X250" s="34">
        <f>19</f>
        <v>19</v>
      </c>
    </row>
    <row r="251" spans="1:24" ht="13.5" customHeight="1" x14ac:dyDescent="0.15">
      <c r="A251" s="25" t="s">
        <v>1091</v>
      </c>
      <c r="B251" s="25" t="s">
        <v>731</v>
      </c>
      <c r="C251" s="25" t="s">
        <v>732</v>
      </c>
      <c r="D251" s="25" t="s">
        <v>733</v>
      </c>
      <c r="E251" s="26" t="s">
        <v>45</v>
      </c>
      <c r="F251" s="27" t="s">
        <v>45</v>
      </c>
      <c r="G251" s="28" t="s">
        <v>45</v>
      </c>
      <c r="H251" s="29"/>
      <c r="I251" s="29" t="s">
        <v>46</v>
      </c>
      <c r="J251" s="30">
        <v>1</v>
      </c>
      <c r="K251" s="31">
        <f>2552</f>
        <v>2552</v>
      </c>
      <c r="L251" s="32" t="s">
        <v>995</v>
      </c>
      <c r="M251" s="31">
        <f>2570</f>
        <v>2570</v>
      </c>
      <c r="N251" s="32" t="s">
        <v>1001</v>
      </c>
      <c r="O251" s="31">
        <f>2538</f>
        <v>2538</v>
      </c>
      <c r="P251" s="32" t="s">
        <v>786</v>
      </c>
      <c r="Q251" s="31">
        <f>2558</f>
        <v>2558</v>
      </c>
      <c r="R251" s="32" t="s">
        <v>791</v>
      </c>
      <c r="S251" s="33">
        <f>2555.6</f>
        <v>2555.6</v>
      </c>
      <c r="T251" s="30">
        <f>235367</f>
        <v>235367</v>
      </c>
      <c r="U251" s="30">
        <f>140778</f>
        <v>140778</v>
      </c>
      <c r="V251" s="30">
        <f>601549408</f>
        <v>601549408</v>
      </c>
      <c r="W251" s="30">
        <f>359853271</f>
        <v>359853271</v>
      </c>
      <c r="X251" s="34">
        <f>20</f>
        <v>20</v>
      </c>
    </row>
    <row r="252" spans="1:24" ht="13.5" customHeight="1" x14ac:dyDescent="0.15">
      <c r="A252" s="25" t="s">
        <v>1091</v>
      </c>
      <c r="B252" s="25" t="s">
        <v>734</v>
      </c>
      <c r="C252" s="25" t="s">
        <v>735</v>
      </c>
      <c r="D252" s="25" t="s">
        <v>736</v>
      </c>
      <c r="E252" s="26" t="s">
        <v>45</v>
      </c>
      <c r="F252" s="27" t="s">
        <v>45</v>
      </c>
      <c r="G252" s="28" t="s">
        <v>45</v>
      </c>
      <c r="H252" s="29"/>
      <c r="I252" s="29" t="s">
        <v>46</v>
      </c>
      <c r="J252" s="30">
        <v>10</v>
      </c>
      <c r="K252" s="31">
        <f>2803.5</f>
        <v>2803.5</v>
      </c>
      <c r="L252" s="32" t="s">
        <v>995</v>
      </c>
      <c r="M252" s="31">
        <f>2828</f>
        <v>2828</v>
      </c>
      <c r="N252" s="32" t="s">
        <v>1002</v>
      </c>
      <c r="O252" s="31">
        <f>2682.5</f>
        <v>2682.5</v>
      </c>
      <c r="P252" s="32" t="s">
        <v>786</v>
      </c>
      <c r="Q252" s="31">
        <f>2701.5</f>
        <v>2701.5</v>
      </c>
      <c r="R252" s="32" t="s">
        <v>791</v>
      </c>
      <c r="S252" s="33">
        <f>2743.15</f>
        <v>2743.15</v>
      </c>
      <c r="T252" s="30">
        <f>653650</f>
        <v>653650</v>
      </c>
      <c r="U252" s="30">
        <f>256030</f>
        <v>256030</v>
      </c>
      <c r="V252" s="30">
        <f>1783488540</f>
        <v>1783488540</v>
      </c>
      <c r="W252" s="30">
        <f>695717360</f>
        <v>695717360</v>
      </c>
      <c r="X252" s="34">
        <f>20</f>
        <v>20</v>
      </c>
    </row>
    <row r="253" spans="1:24" ht="13.5" customHeight="1" x14ac:dyDescent="0.15">
      <c r="A253" s="25" t="s">
        <v>1091</v>
      </c>
      <c r="B253" s="25" t="s">
        <v>737</v>
      </c>
      <c r="C253" s="25" t="s">
        <v>738</v>
      </c>
      <c r="D253" s="25" t="s">
        <v>739</v>
      </c>
      <c r="E253" s="26" t="s">
        <v>45</v>
      </c>
      <c r="F253" s="27" t="s">
        <v>45</v>
      </c>
      <c r="G253" s="28" t="s">
        <v>45</v>
      </c>
      <c r="H253" s="29"/>
      <c r="I253" s="29" t="s">
        <v>46</v>
      </c>
      <c r="J253" s="30">
        <v>10</v>
      </c>
      <c r="K253" s="31">
        <f>257.4</f>
        <v>257.39999999999998</v>
      </c>
      <c r="L253" s="32" t="s">
        <v>995</v>
      </c>
      <c r="M253" s="31">
        <f>260.9</f>
        <v>260.89999999999998</v>
      </c>
      <c r="N253" s="32" t="s">
        <v>1017</v>
      </c>
      <c r="O253" s="31">
        <f>253.9</f>
        <v>253.9</v>
      </c>
      <c r="P253" s="32" t="s">
        <v>792</v>
      </c>
      <c r="Q253" s="31">
        <f>258.5</f>
        <v>258.5</v>
      </c>
      <c r="R253" s="32" t="s">
        <v>791</v>
      </c>
      <c r="S253" s="33">
        <f>256.84</f>
        <v>256.83999999999997</v>
      </c>
      <c r="T253" s="30">
        <f>44353910</f>
        <v>44353910</v>
      </c>
      <c r="U253" s="30">
        <f>10264930</f>
        <v>10264930</v>
      </c>
      <c r="V253" s="30">
        <f>11402010304</f>
        <v>11402010304</v>
      </c>
      <c r="W253" s="30">
        <f>2657370332</f>
        <v>2657370332</v>
      </c>
      <c r="X253" s="34">
        <f>20</f>
        <v>20</v>
      </c>
    </row>
    <row r="254" spans="1:24" ht="13.5" customHeight="1" x14ac:dyDescent="0.15">
      <c r="A254" s="25" t="s">
        <v>1091</v>
      </c>
      <c r="B254" s="25" t="s">
        <v>740</v>
      </c>
      <c r="C254" s="25" t="s">
        <v>741</v>
      </c>
      <c r="D254" s="25" t="s">
        <v>742</v>
      </c>
      <c r="E254" s="26" t="s">
        <v>45</v>
      </c>
      <c r="F254" s="27" t="s">
        <v>45</v>
      </c>
      <c r="G254" s="28" t="s">
        <v>45</v>
      </c>
      <c r="H254" s="29"/>
      <c r="I254" s="29" t="s">
        <v>46</v>
      </c>
      <c r="J254" s="30">
        <v>1</v>
      </c>
      <c r="K254" s="31">
        <f>2218</f>
        <v>2218</v>
      </c>
      <c r="L254" s="32" t="s">
        <v>995</v>
      </c>
      <c r="M254" s="31">
        <f>2254</f>
        <v>2254</v>
      </c>
      <c r="N254" s="32" t="s">
        <v>875</v>
      </c>
      <c r="O254" s="31">
        <f>2151</f>
        <v>2151</v>
      </c>
      <c r="P254" s="32" t="s">
        <v>791</v>
      </c>
      <c r="Q254" s="31">
        <f>2202</f>
        <v>2202</v>
      </c>
      <c r="R254" s="32" t="s">
        <v>791</v>
      </c>
      <c r="S254" s="33">
        <f>2202.15</f>
        <v>2202.15</v>
      </c>
      <c r="T254" s="30">
        <f>4471134</f>
        <v>4471134</v>
      </c>
      <c r="U254" s="30">
        <f>650002</f>
        <v>650002</v>
      </c>
      <c r="V254" s="30">
        <f>9844297282</f>
        <v>9844297282</v>
      </c>
      <c r="W254" s="30">
        <f>1425415408</f>
        <v>1425415408</v>
      </c>
      <c r="X254" s="34">
        <f>20</f>
        <v>20</v>
      </c>
    </row>
    <row r="255" spans="1:24" ht="13.5" customHeight="1" x14ac:dyDescent="0.15">
      <c r="A255" s="25" t="s">
        <v>1091</v>
      </c>
      <c r="B255" s="25" t="s">
        <v>743</v>
      </c>
      <c r="C255" s="25" t="s">
        <v>744</v>
      </c>
      <c r="D255" s="25" t="s">
        <v>745</v>
      </c>
      <c r="E255" s="26" t="s">
        <v>45</v>
      </c>
      <c r="F255" s="27" t="s">
        <v>45</v>
      </c>
      <c r="G255" s="28" t="s">
        <v>45</v>
      </c>
      <c r="H255" s="29"/>
      <c r="I255" s="29" t="s">
        <v>46</v>
      </c>
      <c r="J255" s="30">
        <v>1</v>
      </c>
      <c r="K255" s="31">
        <f>1026</f>
        <v>1026</v>
      </c>
      <c r="L255" s="32" t="s">
        <v>995</v>
      </c>
      <c r="M255" s="31">
        <f>1046</f>
        <v>1046</v>
      </c>
      <c r="N255" s="32" t="s">
        <v>792</v>
      </c>
      <c r="O255" s="31">
        <f>998</f>
        <v>998</v>
      </c>
      <c r="P255" s="32" t="s">
        <v>789</v>
      </c>
      <c r="Q255" s="31">
        <f>1015</f>
        <v>1015</v>
      </c>
      <c r="R255" s="32" t="s">
        <v>791</v>
      </c>
      <c r="S255" s="33">
        <f>1019.9</f>
        <v>1019.9</v>
      </c>
      <c r="T255" s="30">
        <f>1467193</f>
        <v>1467193</v>
      </c>
      <c r="U255" s="30">
        <f>1364804</f>
        <v>1364804</v>
      </c>
      <c r="V255" s="30">
        <f>1482326674</f>
        <v>1482326674</v>
      </c>
      <c r="W255" s="30">
        <f>1377339928</f>
        <v>1377339928</v>
      </c>
      <c r="X255" s="34">
        <f>20</f>
        <v>20</v>
      </c>
    </row>
    <row r="256" spans="1:24" ht="13.5" customHeight="1" x14ac:dyDescent="0.15">
      <c r="A256" s="25" t="s">
        <v>1091</v>
      </c>
      <c r="B256" s="25" t="s">
        <v>746</v>
      </c>
      <c r="C256" s="25" t="s">
        <v>747</v>
      </c>
      <c r="D256" s="25" t="s">
        <v>748</v>
      </c>
      <c r="E256" s="26" t="s">
        <v>45</v>
      </c>
      <c r="F256" s="27" t="s">
        <v>45</v>
      </c>
      <c r="G256" s="28" t="s">
        <v>45</v>
      </c>
      <c r="H256" s="29"/>
      <c r="I256" s="29" t="s">
        <v>46</v>
      </c>
      <c r="J256" s="30">
        <v>10</v>
      </c>
      <c r="K256" s="31">
        <f>1052.5</f>
        <v>1052.5</v>
      </c>
      <c r="L256" s="32" t="s">
        <v>995</v>
      </c>
      <c r="M256" s="31">
        <f>1062.5</f>
        <v>1062.5</v>
      </c>
      <c r="N256" s="32" t="s">
        <v>1004</v>
      </c>
      <c r="O256" s="31">
        <f>1033.5</f>
        <v>1033.5</v>
      </c>
      <c r="P256" s="32" t="s">
        <v>789</v>
      </c>
      <c r="Q256" s="31">
        <f>1050</f>
        <v>1050</v>
      </c>
      <c r="R256" s="32" t="s">
        <v>791</v>
      </c>
      <c r="S256" s="33">
        <f>1048.5</f>
        <v>1048.5</v>
      </c>
      <c r="T256" s="30">
        <f>990830</f>
        <v>990830</v>
      </c>
      <c r="U256" s="30">
        <f>880000</f>
        <v>880000</v>
      </c>
      <c r="V256" s="30">
        <f>1035278537</f>
        <v>1035278537</v>
      </c>
      <c r="W256" s="30">
        <f>918340847</f>
        <v>918340847</v>
      </c>
      <c r="X256" s="34">
        <f>20</f>
        <v>20</v>
      </c>
    </row>
    <row r="257" spans="1:24" ht="13.5" customHeight="1" x14ac:dyDescent="0.15">
      <c r="A257" s="25" t="s">
        <v>1091</v>
      </c>
      <c r="B257" s="25" t="s">
        <v>749</v>
      </c>
      <c r="C257" s="25" t="s">
        <v>750</v>
      </c>
      <c r="D257" s="25" t="s">
        <v>751</v>
      </c>
      <c r="E257" s="26" t="s">
        <v>45</v>
      </c>
      <c r="F257" s="27" t="s">
        <v>45</v>
      </c>
      <c r="G257" s="28" t="s">
        <v>45</v>
      </c>
      <c r="H257" s="29"/>
      <c r="I257" s="29" t="s">
        <v>46</v>
      </c>
      <c r="J257" s="30">
        <v>10</v>
      </c>
      <c r="K257" s="31">
        <f>259.9</f>
        <v>259.89999999999998</v>
      </c>
      <c r="L257" s="32" t="s">
        <v>995</v>
      </c>
      <c r="M257" s="31">
        <f>270.5</f>
        <v>270.5</v>
      </c>
      <c r="N257" s="32" t="s">
        <v>1001</v>
      </c>
      <c r="O257" s="31">
        <f>245</f>
        <v>245</v>
      </c>
      <c r="P257" s="32" t="s">
        <v>794</v>
      </c>
      <c r="Q257" s="31">
        <f>262.5</f>
        <v>262.5</v>
      </c>
      <c r="R257" s="32" t="s">
        <v>791</v>
      </c>
      <c r="S257" s="33">
        <f>258.14</f>
        <v>258.14</v>
      </c>
      <c r="T257" s="30">
        <f>26110</f>
        <v>26110</v>
      </c>
      <c r="U257" s="30" t="str">
        <f>"－"</f>
        <v>－</v>
      </c>
      <c r="V257" s="30">
        <f>6698515</f>
        <v>6698515</v>
      </c>
      <c r="W257" s="30" t="str">
        <f>"－"</f>
        <v>－</v>
      </c>
      <c r="X257" s="34">
        <f>20</f>
        <v>20</v>
      </c>
    </row>
    <row r="258" spans="1:24" ht="13.5" customHeight="1" x14ac:dyDescent="0.15">
      <c r="A258" s="25" t="s">
        <v>1091</v>
      </c>
      <c r="B258" s="25" t="s">
        <v>752</v>
      </c>
      <c r="C258" s="25" t="s">
        <v>753</v>
      </c>
      <c r="D258" s="25" t="s">
        <v>754</v>
      </c>
      <c r="E258" s="26" t="s">
        <v>45</v>
      </c>
      <c r="F258" s="27" t="s">
        <v>45</v>
      </c>
      <c r="G258" s="28" t="s">
        <v>45</v>
      </c>
      <c r="H258" s="29"/>
      <c r="I258" s="29" t="s">
        <v>46</v>
      </c>
      <c r="J258" s="30">
        <v>10</v>
      </c>
      <c r="K258" s="31">
        <f>3103</f>
        <v>3103</v>
      </c>
      <c r="L258" s="32" t="s">
        <v>995</v>
      </c>
      <c r="M258" s="31">
        <f>3492</f>
        <v>3492</v>
      </c>
      <c r="N258" s="32" t="s">
        <v>1017</v>
      </c>
      <c r="O258" s="31">
        <f>3070</f>
        <v>3070</v>
      </c>
      <c r="P258" s="32" t="s">
        <v>1000</v>
      </c>
      <c r="Q258" s="31">
        <f>3433</f>
        <v>3433</v>
      </c>
      <c r="R258" s="32" t="s">
        <v>791</v>
      </c>
      <c r="S258" s="33">
        <f>3225.05</f>
        <v>3225.05</v>
      </c>
      <c r="T258" s="30">
        <f>1570080</f>
        <v>1570080</v>
      </c>
      <c r="U258" s="30">
        <f>10000</f>
        <v>10000</v>
      </c>
      <c r="V258" s="30">
        <f>5060921680</f>
        <v>5060921680</v>
      </c>
      <c r="W258" s="30">
        <f>32626600</f>
        <v>32626600</v>
      </c>
      <c r="X258" s="34">
        <f>20</f>
        <v>20</v>
      </c>
    </row>
    <row r="259" spans="1:24" ht="13.5" customHeight="1" x14ac:dyDescent="0.15">
      <c r="A259" s="25" t="s">
        <v>1091</v>
      </c>
      <c r="B259" s="25" t="s">
        <v>755</v>
      </c>
      <c r="C259" s="25" t="s">
        <v>756</v>
      </c>
      <c r="D259" s="25" t="s">
        <v>757</v>
      </c>
      <c r="E259" s="26" t="s">
        <v>45</v>
      </c>
      <c r="F259" s="27" t="s">
        <v>45</v>
      </c>
      <c r="G259" s="28" t="s">
        <v>45</v>
      </c>
      <c r="H259" s="29"/>
      <c r="I259" s="29" t="s">
        <v>46</v>
      </c>
      <c r="J259" s="30">
        <v>10</v>
      </c>
      <c r="K259" s="31">
        <f>2242</f>
        <v>2242</v>
      </c>
      <c r="L259" s="32" t="s">
        <v>995</v>
      </c>
      <c r="M259" s="31">
        <f>2439</f>
        <v>2439</v>
      </c>
      <c r="N259" s="32" t="s">
        <v>1017</v>
      </c>
      <c r="O259" s="31">
        <f>2232</f>
        <v>2232</v>
      </c>
      <c r="P259" s="32" t="s">
        <v>875</v>
      </c>
      <c r="Q259" s="31">
        <f>2418</f>
        <v>2418</v>
      </c>
      <c r="R259" s="32" t="s">
        <v>791</v>
      </c>
      <c r="S259" s="33">
        <f>2308.65</f>
        <v>2308.65</v>
      </c>
      <c r="T259" s="30">
        <f>4556240</f>
        <v>4556240</v>
      </c>
      <c r="U259" s="30">
        <f>2513540</f>
        <v>2513540</v>
      </c>
      <c r="V259" s="30">
        <f>10567631099</f>
        <v>10567631099</v>
      </c>
      <c r="W259" s="30">
        <f>5834143469</f>
        <v>5834143469</v>
      </c>
      <c r="X259" s="34">
        <f>20</f>
        <v>20</v>
      </c>
    </row>
    <row r="260" spans="1:24" ht="13.5" customHeight="1" x14ac:dyDescent="0.15">
      <c r="A260" s="25" t="s">
        <v>1091</v>
      </c>
      <c r="B260" s="25" t="s">
        <v>758</v>
      </c>
      <c r="C260" s="25" t="s">
        <v>759</v>
      </c>
      <c r="D260" s="25" t="s">
        <v>760</v>
      </c>
      <c r="E260" s="26" t="s">
        <v>45</v>
      </c>
      <c r="F260" s="27" t="s">
        <v>45</v>
      </c>
      <c r="G260" s="28" t="s">
        <v>45</v>
      </c>
      <c r="H260" s="29"/>
      <c r="I260" s="29" t="s">
        <v>46</v>
      </c>
      <c r="J260" s="30">
        <v>10</v>
      </c>
      <c r="K260" s="31">
        <f>304.7</f>
        <v>304.7</v>
      </c>
      <c r="L260" s="32" t="s">
        <v>995</v>
      </c>
      <c r="M260" s="31">
        <f>313.8</f>
        <v>313.8</v>
      </c>
      <c r="N260" s="32" t="s">
        <v>1017</v>
      </c>
      <c r="O260" s="31">
        <f>301.7</f>
        <v>301.7</v>
      </c>
      <c r="P260" s="32" t="s">
        <v>794</v>
      </c>
      <c r="Q260" s="31">
        <f>311.6</f>
        <v>311.60000000000002</v>
      </c>
      <c r="R260" s="32" t="s">
        <v>791</v>
      </c>
      <c r="S260" s="33">
        <f>308.12</f>
        <v>308.12</v>
      </c>
      <c r="T260" s="30">
        <f>80990000</f>
        <v>80990000</v>
      </c>
      <c r="U260" s="30">
        <f>77375460</f>
        <v>77375460</v>
      </c>
      <c r="V260" s="30">
        <f>24960543711</f>
        <v>24960543711</v>
      </c>
      <c r="W260" s="30">
        <f>23842356707</f>
        <v>23842356707</v>
      </c>
      <c r="X260" s="34">
        <f>20</f>
        <v>20</v>
      </c>
    </row>
    <row r="261" spans="1:24" ht="13.5" customHeight="1" x14ac:dyDescent="0.15">
      <c r="A261" s="25" t="s">
        <v>1091</v>
      </c>
      <c r="B261" s="25" t="s">
        <v>761</v>
      </c>
      <c r="C261" s="25" t="s">
        <v>762</v>
      </c>
      <c r="D261" s="25" t="s">
        <v>763</v>
      </c>
      <c r="E261" s="26" t="s">
        <v>45</v>
      </c>
      <c r="F261" s="27" t="s">
        <v>45</v>
      </c>
      <c r="G261" s="28" t="s">
        <v>45</v>
      </c>
      <c r="H261" s="29"/>
      <c r="I261" s="29" t="s">
        <v>46</v>
      </c>
      <c r="J261" s="30">
        <v>1</v>
      </c>
      <c r="K261" s="31">
        <f>1507</f>
        <v>1507</v>
      </c>
      <c r="L261" s="32" t="s">
        <v>995</v>
      </c>
      <c r="M261" s="31">
        <f>1508</f>
        <v>1508</v>
      </c>
      <c r="N261" s="32" t="s">
        <v>995</v>
      </c>
      <c r="O261" s="31">
        <f>1417</f>
        <v>1417</v>
      </c>
      <c r="P261" s="32" t="s">
        <v>786</v>
      </c>
      <c r="Q261" s="31">
        <f>1453</f>
        <v>1453</v>
      </c>
      <c r="R261" s="32" t="s">
        <v>791</v>
      </c>
      <c r="S261" s="33">
        <f>1461.4</f>
        <v>1461.4</v>
      </c>
      <c r="T261" s="30">
        <f>12192098</f>
        <v>12192098</v>
      </c>
      <c r="U261" s="30">
        <f>57706</f>
        <v>57706</v>
      </c>
      <c r="V261" s="30">
        <f>17780666629</f>
        <v>17780666629</v>
      </c>
      <c r="W261" s="30">
        <f>84656647</f>
        <v>84656647</v>
      </c>
      <c r="X261" s="34">
        <f>20</f>
        <v>20</v>
      </c>
    </row>
    <row r="262" spans="1:24" ht="13.5" customHeight="1" x14ac:dyDescent="0.15">
      <c r="A262" s="25" t="s">
        <v>1091</v>
      </c>
      <c r="B262" s="25" t="s">
        <v>764</v>
      </c>
      <c r="C262" s="25" t="s">
        <v>765</v>
      </c>
      <c r="D262" s="25" t="s">
        <v>766</v>
      </c>
      <c r="E262" s="26" t="s">
        <v>45</v>
      </c>
      <c r="F262" s="27" t="s">
        <v>45</v>
      </c>
      <c r="G262" s="28" t="s">
        <v>45</v>
      </c>
      <c r="H262" s="29"/>
      <c r="I262" s="29" t="s">
        <v>46</v>
      </c>
      <c r="J262" s="30">
        <v>1</v>
      </c>
      <c r="K262" s="31">
        <f>1813</f>
        <v>1813</v>
      </c>
      <c r="L262" s="32" t="s">
        <v>995</v>
      </c>
      <c r="M262" s="31">
        <f>1825</f>
        <v>1825</v>
      </c>
      <c r="N262" s="32" t="s">
        <v>1002</v>
      </c>
      <c r="O262" s="31">
        <f>1771</f>
        <v>1771</v>
      </c>
      <c r="P262" s="32" t="s">
        <v>786</v>
      </c>
      <c r="Q262" s="31">
        <f>1791</f>
        <v>1791</v>
      </c>
      <c r="R262" s="32" t="s">
        <v>791</v>
      </c>
      <c r="S262" s="33">
        <f>1794.9</f>
        <v>1794.9</v>
      </c>
      <c r="T262" s="30">
        <f>41338</f>
        <v>41338</v>
      </c>
      <c r="U262" s="30" t="str">
        <f>"－"</f>
        <v>－</v>
      </c>
      <c r="V262" s="30">
        <f>74065888</f>
        <v>74065888</v>
      </c>
      <c r="W262" s="30" t="str">
        <f>"－"</f>
        <v>－</v>
      </c>
      <c r="X262" s="34">
        <f>20</f>
        <v>20</v>
      </c>
    </row>
    <row r="263" spans="1:24" ht="13.5" customHeight="1" x14ac:dyDescent="0.15">
      <c r="A263" s="25" t="s">
        <v>1091</v>
      </c>
      <c r="B263" s="25" t="s">
        <v>767</v>
      </c>
      <c r="C263" s="25" t="s">
        <v>768</v>
      </c>
      <c r="D263" s="25" t="s">
        <v>769</v>
      </c>
      <c r="E263" s="26" t="s">
        <v>45</v>
      </c>
      <c r="F263" s="27" t="s">
        <v>45</v>
      </c>
      <c r="G263" s="28" t="s">
        <v>45</v>
      </c>
      <c r="H263" s="29"/>
      <c r="I263" s="29" t="s">
        <v>46</v>
      </c>
      <c r="J263" s="30">
        <v>1</v>
      </c>
      <c r="K263" s="31">
        <f>2109</f>
        <v>2109</v>
      </c>
      <c r="L263" s="32" t="s">
        <v>995</v>
      </c>
      <c r="M263" s="31">
        <f>2122</f>
        <v>2122</v>
      </c>
      <c r="N263" s="32" t="s">
        <v>999</v>
      </c>
      <c r="O263" s="31">
        <f>2070</f>
        <v>2070</v>
      </c>
      <c r="P263" s="32" t="s">
        <v>786</v>
      </c>
      <c r="Q263" s="31">
        <f>2098</f>
        <v>2098</v>
      </c>
      <c r="R263" s="32" t="s">
        <v>791</v>
      </c>
      <c r="S263" s="33">
        <f>2093.5</f>
        <v>2093.5</v>
      </c>
      <c r="T263" s="30">
        <f>2565</f>
        <v>2565</v>
      </c>
      <c r="U263" s="30" t="str">
        <f>"－"</f>
        <v>－</v>
      </c>
      <c r="V263" s="30">
        <f>5368742</f>
        <v>5368742</v>
      </c>
      <c r="W263" s="30" t="str">
        <f>"－"</f>
        <v>－</v>
      </c>
      <c r="X263" s="34">
        <f>20</f>
        <v>20</v>
      </c>
    </row>
    <row r="264" spans="1:24" ht="13.5" customHeight="1" x14ac:dyDescent="0.15">
      <c r="A264" s="25" t="s">
        <v>1091</v>
      </c>
      <c r="B264" s="25" t="s">
        <v>770</v>
      </c>
      <c r="C264" s="25" t="s">
        <v>771</v>
      </c>
      <c r="D264" s="25" t="s">
        <v>1087</v>
      </c>
      <c r="E264" s="26" t="s">
        <v>45</v>
      </c>
      <c r="F264" s="27" t="s">
        <v>45</v>
      </c>
      <c r="G264" s="28" t="s">
        <v>45</v>
      </c>
      <c r="H264" s="29"/>
      <c r="I264" s="29" t="s">
        <v>46</v>
      </c>
      <c r="J264" s="30">
        <v>1</v>
      </c>
      <c r="K264" s="31">
        <f>2912</f>
        <v>2912</v>
      </c>
      <c r="L264" s="32" t="s">
        <v>995</v>
      </c>
      <c r="M264" s="31">
        <f>3170</f>
        <v>3170</v>
      </c>
      <c r="N264" s="32" t="s">
        <v>1017</v>
      </c>
      <c r="O264" s="31">
        <f>2903</f>
        <v>2903</v>
      </c>
      <c r="P264" s="32" t="s">
        <v>1000</v>
      </c>
      <c r="Q264" s="31">
        <f>3100</f>
        <v>3100</v>
      </c>
      <c r="R264" s="32" t="s">
        <v>791</v>
      </c>
      <c r="S264" s="33">
        <f>3024.75</f>
        <v>3024.75</v>
      </c>
      <c r="T264" s="30">
        <f>605995</f>
        <v>605995</v>
      </c>
      <c r="U264" s="30">
        <f>348360</f>
        <v>348360</v>
      </c>
      <c r="V264" s="30">
        <f>1852778597</f>
        <v>1852778597</v>
      </c>
      <c r="W264" s="30">
        <f>1073679712</f>
        <v>1073679712</v>
      </c>
      <c r="X264" s="34">
        <f>20</f>
        <v>20</v>
      </c>
    </row>
    <row r="265" spans="1:24" ht="13.5" customHeight="1" x14ac:dyDescent="0.15">
      <c r="A265" s="25" t="s">
        <v>1091</v>
      </c>
      <c r="B265" s="25" t="s">
        <v>773</v>
      </c>
      <c r="C265" s="25" t="s">
        <v>774</v>
      </c>
      <c r="D265" s="25" t="s">
        <v>1088</v>
      </c>
      <c r="E265" s="26" t="s">
        <v>45</v>
      </c>
      <c r="F265" s="27" t="s">
        <v>45</v>
      </c>
      <c r="G265" s="28" t="s">
        <v>45</v>
      </c>
      <c r="H265" s="29"/>
      <c r="I265" s="29" t="s">
        <v>46</v>
      </c>
      <c r="J265" s="30">
        <v>1</v>
      </c>
      <c r="K265" s="31">
        <f>2074</f>
        <v>2074</v>
      </c>
      <c r="L265" s="32" t="s">
        <v>995</v>
      </c>
      <c r="M265" s="31">
        <f>2190</f>
        <v>2190</v>
      </c>
      <c r="N265" s="32" t="s">
        <v>894</v>
      </c>
      <c r="O265" s="31">
        <f>2070</f>
        <v>2070</v>
      </c>
      <c r="P265" s="32" t="s">
        <v>1000</v>
      </c>
      <c r="Q265" s="31">
        <f>2134</f>
        <v>2134</v>
      </c>
      <c r="R265" s="32" t="s">
        <v>791</v>
      </c>
      <c r="S265" s="33">
        <f>2129.1</f>
        <v>2129.1</v>
      </c>
      <c r="T265" s="30">
        <f>961182</f>
        <v>961182</v>
      </c>
      <c r="U265" s="30">
        <f>173000</f>
        <v>173000</v>
      </c>
      <c r="V265" s="30">
        <f>2057660260</f>
        <v>2057660260</v>
      </c>
      <c r="W265" s="30">
        <f>369817500</f>
        <v>369817500</v>
      </c>
      <c r="X265" s="34">
        <f>20</f>
        <v>20</v>
      </c>
    </row>
    <row r="266" spans="1:24" ht="13.5" customHeight="1" x14ac:dyDescent="0.15">
      <c r="A266" s="25" t="s">
        <v>1091</v>
      </c>
      <c r="B266" s="25" t="s">
        <v>776</v>
      </c>
      <c r="C266" s="25" t="s">
        <v>777</v>
      </c>
      <c r="D266" s="25" t="s">
        <v>778</v>
      </c>
      <c r="E266" s="26" t="s">
        <v>45</v>
      </c>
      <c r="F266" s="27" t="s">
        <v>45</v>
      </c>
      <c r="G266" s="28" t="s">
        <v>45</v>
      </c>
      <c r="H266" s="29"/>
      <c r="I266" s="29" t="s">
        <v>46</v>
      </c>
      <c r="J266" s="30">
        <v>1</v>
      </c>
      <c r="K266" s="31">
        <f>1933</f>
        <v>1933</v>
      </c>
      <c r="L266" s="32" t="s">
        <v>995</v>
      </c>
      <c r="M266" s="31">
        <f>2030</f>
        <v>2030</v>
      </c>
      <c r="N266" s="32" t="s">
        <v>894</v>
      </c>
      <c r="O266" s="31">
        <f>1906</f>
        <v>1906</v>
      </c>
      <c r="P266" s="32" t="s">
        <v>787</v>
      </c>
      <c r="Q266" s="31">
        <f>1969</f>
        <v>1969</v>
      </c>
      <c r="R266" s="32" t="s">
        <v>791</v>
      </c>
      <c r="S266" s="33">
        <f>1970.6</f>
        <v>1970.6</v>
      </c>
      <c r="T266" s="30">
        <f>43300</f>
        <v>43300</v>
      </c>
      <c r="U266" s="30" t="str">
        <f>"－"</f>
        <v>－</v>
      </c>
      <c r="V266" s="30">
        <f>85233133</f>
        <v>85233133</v>
      </c>
      <c r="W266" s="30" t="str">
        <f>"－"</f>
        <v>－</v>
      </c>
      <c r="X266" s="34">
        <f>20</f>
        <v>20</v>
      </c>
    </row>
    <row r="267" spans="1:24" ht="13.5" customHeight="1" x14ac:dyDescent="0.15">
      <c r="A267" s="25" t="s">
        <v>1091</v>
      </c>
      <c r="B267" s="25" t="s">
        <v>779</v>
      </c>
      <c r="C267" s="25" t="s">
        <v>780</v>
      </c>
      <c r="D267" s="25" t="s">
        <v>781</v>
      </c>
      <c r="E267" s="26" t="s">
        <v>45</v>
      </c>
      <c r="F267" s="27" t="s">
        <v>45</v>
      </c>
      <c r="G267" s="28" t="s">
        <v>45</v>
      </c>
      <c r="H267" s="29"/>
      <c r="I267" s="29" t="s">
        <v>46</v>
      </c>
      <c r="J267" s="30">
        <v>1</v>
      </c>
      <c r="K267" s="31">
        <f>1390</f>
        <v>1390</v>
      </c>
      <c r="L267" s="32" t="s">
        <v>995</v>
      </c>
      <c r="M267" s="31">
        <f>1427</f>
        <v>1427</v>
      </c>
      <c r="N267" s="32" t="s">
        <v>1002</v>
      </c>
      <c r="O267" s="31">
        <f>1325</f>
        <v>1325</v>
      </c>
      <c r="P267" s="32" t="s">
        <v>786</v>
      </c>
      <c r="Q267" s="31">
        <f>1339</f>
        <v>1339</v>
      </c>
      <c r="R267" s="32" t="s">
        <v>791</v>
      </c>
      <c r="S267" s="33">
        <f>1382.1</f>
        <v>1382.1</v>
      </c>
      <c r="T267" s="30">
        <f>70444</f>
        <v>70444</v>
      </c>
      <c r="U267" s="30" t="str">
        <f>"－"</f>
        <v>－</v>
      </c>
      <c r="V267" s="30">
        <f>97905118</f>
        <v>97905118</v>
      </c>
      <c r="W267" s="30" t="str">
        <f>"－"</f>
        <v>－</v>
      </c>
      <c r="X267" s="34">
        <f>20</f>
        <v>20</v>
      </c>
    </row>
    <row r="268" spans="1:24" ht="13.5" customHeight="1" x14ac:dyDescent="0.15">
      <c r="A268" s="25" t="s">
        <v>1091</v>
      </c>
      <c r="B268" s="25" t="s">
        <v>797</v>
      </c>
      <c r="C268" s="25" t="s">
        <v>798</v>
      </c>
      <c r="D268" s="25" t="s">
        <v>799</v>
      </c>
      <c r="E268" s="26" t="s">
        <v>45</v>
      </c>
      <c r="F268" s="27" t="s">
        <v>45</v>
      </c>
      <c r="G268" s="28" t="s">
        <v>45</v>
      </c>
      <c r="H268" s="29"/>
      <c r="I268" s="29" t="s">
        <v>46</v>
      </c>
      <c r="J268" s="30">
        <v>1</v>
      </c>
      <c r="K268" s="31">
        <f>2156</f>
        <v>2156</v>
      </c>
      <c r="L268" s="32" t="s">
        <v>995</v>
      </c>
      <c r="M268" s="31">
        <f>2170</f>
        <v>2170</v>
      </c>
      <c r="N268" s="32" t="s">
        <v>999</v>
      </c>
      <c r="O268" s="31">
        <f>1994</f>
        <v>1994</v>
      </c>
      <c r="P268" s="32" t="s">
        <v>787</v>
      </c>
      <c r="Q268" s="31">
        <f>2080</f>
        <v>2080</v>
      </c>
      <c r="R268" s="32" t="s">
        <v>791</v>
      </c>
      <c r="S268" s="33">
        <f>2056.7</f>
        <v>2056.6999999999998</v>
      </c>
      <c r="T268" s="30">
        <f>10174</f>
        <v>10174</v>
      </c>
      <c r="U268" s="30" t="str">
        <f>"－"</f>
        <v>－</v>
      </c>
      <c r="V268" s="30">
        <f>20822503</f>
        <v>20822503</v>
      </c>
      <c r="W268" s="30" t="str">
        <f>"－"</f>
        <v>－</v>
      </c>
      <c r="X268" s="34">
        <f>20</f>
        <v>20</v>
      </c>
    </row>
    <row r="269" spans="1:24" ht="13.5" customHeight="1" x14ac:dyDescent="0.15">
      <c r="A269" s="25" t="s">
        <v>1091</v>
      </c>
      <c r="B269" s="25" t="s">
        <v>800</v>
      </c>
      <c r="C269" s="25" t="s">
        <v>801</v>
      </c>
      <c r="D269" s="25" t="s">
        <v>802</v>
      </c>
      <c r="E269" s="26" t="s">
        <v>45</v>
      </c>
      <c r="F269" s="27" t="s">
        <v>45</v>
      </c>
      <c r="G269" s="28" t="s">
        <v>45</v>
      </c>
      <c r="H269" s="29"/>
      <c r="I269" s="29" t="s">
        <v>46</v>
      </c>
      <c r="J269" s="30">
        <v>1</v>
      </c>
      <c r="K269" s="31">
        <f>2458</f>
        <v>2458</v>
      </c>
      <c r="L269" s="32" t="s">
        <v>995</v>
      </c>
      <c r="M269" s="31">
        <f>2480</f>
        <v>2480</v>
      </c>
      <c r="N269" s="32" t="s">
        <v>999</v>
      </c>
      <c r="O269" s="31">
        <f>2301</f>
        <v>2301</v>
      </c>
      <c r="P269" s="32" t="s">
        <v>791</v>
      </c>
      <c r="Q269" s="31">
        <f>2304</f>
        <v>2304</v>
      </c>
      <c r="R269" s="32" t="s">
        <v>791</v>
      </c>
      <c r="S269" s="33">
        <f>2386.37</f>
        <v>2386.37</v>
      </c>
      <c r="T269" s="30">
        <f>913</f>
        <v>913</v>
      </c>
      <c r="U269" s="30" t="str">
        <f>"－"</f>
        <v>－</v>
      </c>
      <c r="V269" s="30">
        <f>2165137</f>
        <v>2165137</v>
      </c>
      <c r="W269" s="30" t="str">
        <f>"－"</f>
        <v>－</v>
      </c>
      <c r="X269" s="34">
        <f>19</f>
        <v>19</v>
      </c>
    </row>
    <row r="270" spans="1:24" ht="13.5" customHeight="1" x14ac:dyDescent="0.15">
      <c r="A270" s="25" t="s">
        <v>1091</v>
      </c>
      <c r="B270" s="25" t="s">
        <v>803</v>
      </c>
      <c r="C270" s="25" t="s">
        <v>804</v>
      </c>
      <c r="D270" s="25" t="s">
        <v>805</v>
      </c>
      <c r="E270" s="26" t="s">
        <v>45</v>
      </c>
      <c r="F270" s="27" t="s">
        <v>45</v>
      </c>
      <c r="G270" s="28" t="s">
        <v>45</v>
      </c>
      <c r="H270" s="29"/>
      <c r="I270" s="29" t="s">
        <v>46</v>
      </c>
      <c r="J270" s="30">
        <v>1</v>
      </c>
      <c r="K270" s="31">
        <f>10225</f>
        <v>10225</v>
      </c>
      <c r="L270" s="32" t="s">
        <v>995</v>
      </c>
      <c r="M270" s="31">
        <f>10395</f>
        <v>10395</v>
      </c>
      <c r="N270" s="32" t="s">
        <v>893</v>
      </c>
      <c r="O270" s="31">
        <f>10090</f>
        <v>10090</v>
      </c>
      <c r="P270" s="32" t="s">
        <v>1002</v>
      </c>
      <c r="Q270" s="31">
        <f>10290</f>
        <v>10290</v>
      </c>
      <c r="R270" s="32" t="s">
        <v>791</v>
      </c>
      <c r="S270" s="33">
        <f>10204.25</f>
        <v>10204.25</v>
      </c>
      <c r="T270" s="30">
        <f>503178</f>
        <v>503178</v>
      </c>
      <c r="U270" s="30">
        <f>157201</f>
        <v>157201</v>
      </c>
      <c r="V270" s="30">
        <f>5144620222</f>
        <v>5144620222</v>
      </c>
      <c r="W270" s="30">
        <f>1613465427</f>
        <v>1613465427</v>
      </c>
      <c r="X270" s="34">
        <f>20</f>
        <v>20</v>
      </c>
    </row>
    <row r="271" spans="1:24" ht="13.5" customHeight="1" x14ac:dyDescent="0.15">
      <c r="A271" s="25" t="s">
        <v>1091</v>
      </c>
      <c r="B271" s="25" t="s">
        <v>806</v>
      </c>
      <c r="C271" s="25" t="s">
        <v>807</v>
      </c>
      <c r="D271" s="25" t="s">
        <v>808</v>
      </c>
      <c r="E271" s="26" t="s">
        <v>45</v>
      </c>
      <c r="F271" s="27" t="s">
        <v>45</v>
      </c>
      <c r="G271" s="28" t="s">
        <v>45</v>
      </c>
      <c r="H271" s="29"/>
      <c r="I271" s="29" t="s">
        <v>46</v>
      </c>
      <c r="J271" s="30">
        <v>1</v>
      </c>
      <c r="K271" s="31">
        <f>12985</f>
        <v>12985</v>
      </c>
      <c r="L271" s="32" t="s">
        <v>995</v>
      </c>
      <c r="M271" s="31">
        <f>14610</f>
        <v>14610</v>
      </c>
      <c r="N271" s="32" t="s">
        <v>1017</v>
      </c>
      <c r="O271" s="31">
        <f>12840</f>
        <v>12840</v>
      </c>
      <c r="P271" s="32" t="s">
        <v>875</v>
      </c>
      <c r="Q271" s="31">
        <f>14380</f>
        <v>14380</v>
      </c>
      <c r="R271" s="32" t="s">
        <v>791</v>
      </c>
      <c r="S271" s="33">
        <f>13494.25</f>
        <v>13494.25</v>
      </c>
      <c r="T271" s="30">
        <f>716833</f>
        <v>716833</v>
      </c>
      <c r="U271" s="30">
        <f>46008</f>
        <v>46008</v>
      </c>
      <c r="V271" s="30">
        <f>9647791550</f>
        <v>9647791550</v>
      </c>
      <c r="W271" s="30">
        <f>603395680</f>
        <v>603395680</v>
      </c>
      <c r="X271" s="34">
        <f>20</f>
        <v>20</v>
      </c>
    </row>
    <row r="272" spans="1:24" ht="13.5" customHeight="1" x14ac:dyDescent="0.15">
      <c r="A272" s="25" t="s">
        <v>1091</v>
      </c>
      <c r="B272" s="25" t="s">
        <v>809</v>
      </c>
      <c r="C272" s="25" t="s">
        <v>810</v>
      </c>
      <c r="D272" s="25" t="s">
        <v>811</v>
      </c>
      <c r="E272" s="26" t="s">
        <v>45</v>
      </c>
      <c r="F272" s="27" t="s">
        <v>45</v>
      </c>
      <c r="G272" s="28" t="s">
        <v>45</v>
      </c>
      <c r="H272" s="29"/>
      <c r="I272" s="29" t="s">
        <v>46</v>
      </c>
      <c r="J272" s="30">
        <v>1</v>
      </c>
      <c r="K272" s="31">
        <f>9411</f>
        <v>9411</v>
      </c>
      <c r="L272" s="32" t="s">
        <v>995</v>
      </c>
      <c r="M272" s="31">
        <f>10255</f>
        <v>10255</v>
      </c>
      <c r="N272" s="32" t="s">
        <v>1017</v>
      </c>
      <c r="O272" s="31">
        <f>9375</f>
        <v>9375</v>
      </c>
      <c r="P272" s="32" t="s">
        <v>875</v>
      </c>
      <c r="Q272" s="31">
        <f>10195</f>
        <v>10195</v>
      </c>
      <c r="R272" s="32" t="s">
        <v>791</v>
      </c>
      <c r="S272" s="33">
        <f>9692.65</f>
        <v>9692.65</v>
      </c>
      <c r="T272" s="30">
        <f>604865</f>
        <v>604865</v>
      </c>
      <c r="U272" s="30">
        <f>264104</f>
        <v>264104</v>
      </c>
      <c r="V272" s="30">
        <f>5911323446</f>
        <v>5911323446</v>
      </c>
      <c r="W272" s="30">
        <f>2589429916</f>
        <v>2589429916</v>
      </c>
      <c r="X272" s="34">
        <f>20</f>
        <v>20</v>
      </c>
    </row>
    <row r="273" spans="1:24" ht="13.5" customHeight="1" x14ac:dyDescent="0.15">
      <c r="A273" s="25" t="s">
        <v>1091</v>
      </c>
      <c r="B273" s="25" t="s">
        <v>812</v>
      </c>
      <c r="C273" s="25" t="s">
        <v>813</v>
      </c>
      <c r="D273" s="25" t="s">
        <v>814</v>
      </c>
      <c r="E273" s="26" t="s">
        <v>45</v>
      </c>
      <c r="F273" s="27" t="s">
        <v>45</v>
      </c>
      <c r="G273" s="28" t="s">
        <v>45</v>
      </c>
      <c r="H273" s="29"/>
      <c r="I273" s="29" t="s">
        <v>46</v>
      </c>
      <c r="J273" s="30">
        <v>10</v>
      </c>
      <c r="K273" s="31">
        <f>2617.5</f>
        <v>2617.5</v>
      </c>
      <c r="L273" s="32" t="s">
        <v>995</v>
      </c>
      <c r="M273" s="31">
        <f>2746.5</f>
        <v>2746.5</v>
      </c>
      <c r="N273" s="32" t="s">
        <v>1017</v>
      </c>
      <c r="O273" s="31">
        <f>2561</f>
        <v>2561</v>
      </c>
      <c r="P273" s="32" t="s">
        <v>794</v>
      </c>
      <c r="Q273" s="31">
        <f>2698</f>
        <v>2698</v>
      </c>
      <c r="R273" s="32" t="s">
        <v>791</v>
      </c>
      <c r="S273" s="33">
        <f>2636.58</f>
        <v>2636.58</v>
      </c>
      <c r="T273" s="30">
        <f>618840</f>
        <v>618840</v>
      </c>
      <c r="U273" s="30" t="str">
        <f>"－"</f>
        <v>－</v>
      </c>
      <c r="V273" s="30">
        <f>1618720545</f>
        <v>1618720545</v>
      </c>
      <c r="W273" s="30" t="str">
        <f>"－"</f>
        <v>－</v>
      </c>
      <c r="X273" s="34">
        <f>20</f>
        <v>20</v>
      </c>
    </row>
    <row r="274" spans="1:24" ht="13.5" customHeight="1" x14ac:dyDescent="0.15">
      <c r="A274" s="25" t="s">
        <v>1091</v>
      </c>
      <c r="B274" s="25" t="s">
        <v>815</v>
      </c>
      <c r="C274" s="25" t="s">
        <v>816</v>
      </c>
      <c r="D274" s="25" t="s">
        <v>817</v>
      </c>
      <c r="E274" s="26" t="s">
        <v>45</v>
      </c>
      <c r="F274" s="27" t="s">
        <v>45</v>
      </c>
      <c r="G274" s="28" t="s">
        <v>45</v>
      </c>
      <c r="H274" s="29"/>
      <c r="I274" s="29" t="s">
        <v>46</v>
      </c>
      <c r="J274" s="30">
        <v>10</v>
      </c>
      <c r="K274" s="31">
        <f>2002</f>
        <v>2002</v>
      </c>
      <c r="L274" s="32" t="s">
        <v>995</v>
      </c>
      <c r="M274" s="31">
        <f>2030</f>
        <v>2030</v>
      </c>
      <c r="N274" s="32" t="s">
        <v>1017</v>
      </c>
      <c r="O274" s="31">
        <f>1975.5</f>
        <v>1975.5</v>
      </c>
      <c r="P274" s="32" t="s">
        <v>1002</v>
      </c>
      <c r="Q274" s="31">
        <f>2012</f>
        <v>2012</v>
      </c>
      <c r="R274" s="32" t="s">
        <v>791</v>
      </c>
      <c r="S274" s="33">
        <f>1998.55</f>
        <v>1998.55</v>
      </c>
      <c r="T274" s="30">
        <f>4619960</f>
        <v>4619960</v>
      </c>
      <c r="U274" s="30">
        <f>2134030</f>
        <v>2134030</v>
      </c>
      <c r="V274" s="30">
        <f>9255276402</f>
        <v>9255276402</v>
      </c>
      <c r="W274" s="30">
        <f>4299809772</f>
        <v>4299809772</v>
      </c>
      <c r="X274" s="34">
        <f>20</f>
        <v>20</v>
      </c>
    </row>
    <row r="275" spans="1:24" ht="13.5" customHeight="1" x14ac:dyDescent="0.15">
      <c r="A275" s="25" t="s">
        <v>1091</v>
      </c>
      <c r="B275" s="25" t="s">
        <v>818</v>
      </c>
      <c r="C275" s="25" t="s">
        <v>819</v>
      </c>
      <c r="D275" s="25" t="s">
        <v>820</v>
      </c>
      <c r="E275" s="26" t="s">
        <v>45</v>
      </c>
      <c r="F275" s="27" t="s">
        <v>45</v>
      </c>
      <c r="G275" s="28" t="s">
        <v>45</v>
      </c>
      <c r="H275" s="29"/>
      <c r="I275" s="29" t="s">
        <v>46</v>
      </c>
      <c r="J275" s="30">
        <v>10</v>
      </c>
      <c r="K275" s="31">
        <f>2702</f>
        <v>2702</v>
      </c>
      <c r="L275" s="32" t="s">
        <v>995</v>
      </c>
      <c r="M275" s="31">
        <f>2864.5</f>
        <v>2864.5</v>
      </c>
      <c r="N275" s="32" t="s">
        <v>1017</v>
      </c>
      <c r="O275" s="31">
        <f>2656</f>
        <v>2656</v>
      </c>
      <c r="P275" s="32" t="s">
        <v>794</v>
      </c>
      <c r="Q275" s="31">
        <f>2813</f>
        <v>2813</v>
      </c>
      <c r="R275" s="32" t="s">
        <v>791</v>
      </c>
      <c r="S275" s="33">
        <f>2745.78</f>
        <v>2745.78</v>
      </c>
      <c r="T275" s="30">
        <f>34320</f>
        <v>34320</v>
      </c>
      <c r="U275" s="30">
        <f>40</f>
        <v>40</v>
      </c>
      <c r="V275" s="30">
        <f>94626590</f>
        <v>94626590</v>
      </c>
      <c r="W275" s="30">
        <f>110025</f>
        <v>110025</v>
      </c>
      <c r="X275" s="34">
        <f>20</f>
        <v>20</v>
      </c>
    </row>
    <row r="276" spans="1:24" ht="13.5" customHeight="1" x14ac:dyDescent="0.15">
      <c r="A276" s="25" t="s">
        <v>1091</v>
      </c>
      <c r="B276" s="25" t="s">
        <v>821</v>
      </c>
      <c r="C276" s="25" t="s">
        <v>822</v>
      </c>
      <c r="D276" s="25" t="s">
        <v>823</v>
      </c>
      <c r="E276" s="26" t="s">
        <v>45</v>
      </c>
      <c r="F276" s="27" t="s">
        <v>45</v>
      </c>
      <c r="G276" s="28" t="s">
        <v>45</v>
      </c>
      <c r="H276" s="29"/>
      <c r="I276" s="29" t="s">
        <v>46</v>
      </c>
      <c r="J276" s="30">
        <v>1</v>
      </c>
      <c r="K276" s="31">
        <f>2567</f>
        <v>2567</v>
      </c>
      <c r="L276" s="32" t="s">
        <v>995</v>
      </c>
      <c r="M276" s="31">
        <f>2753</f>
        <v>2753</v>
      </c>
      <c r="N276" s="32" t="s">
        <v>894</v>
      </c>
      <c r="O276" s="31">
        <f>2550</f>
        <v>2550</v>
      </c>
      <c r="P276" s="32" t="s">
        <v>787</v>
      </c>
      <c r="Q276" s="31">
        <f>2684</f>
        <v>2684</v>
      </c>
      <c r="R276" s="32" t="s">
        <v>791</v>
      </c>
      <c r="S276" s="33">
        <f>2653.25</f>
        <v>2653.25</v>
      </c>
      <c r="T276" s="30">
        <f>50344</f>
        <v>50344</v>
      </c>
      <c r="U276" s="30">
        <f>42000</f>
        <v>42000</v>
      </c>
      <c r="V276" s="30">
        <f>135204985</f>
        <v>135204985</v>
      </c>
      <c r="W276" s="30">
        <f>113366400</f>
        <v>113366400</v>
      </c>
      <c r="X276" s="34">
        <f>20</f>
        <v>20</v>
      </c>
    </row>
    <row r="277" spans="1:24" ht="13.5" customHeight="1" x14ac:dyDescent="0.15">
      <c r="A277" s="25" t="s">
        <v>1091</v>
      </c>
      <c r="B277" s="25" t="s">
        <v>824</v>
      </c>
      <c r="C277" s="25" t="s">
        <v>825</v>
      </c>
      <c r="D277" s="25" t="s">
        <v>826</v>
      </c>
      <c r="E277" s="26" t="s">
        <v>45</v>
      </c>
      <c r="F277" s="27" t="s">
        <v>45</v>
      </c>
      <c r="G277" s="28" t="s">
        <v>45</v>
      </c>
      <c r="H277" s="29"/>
      <c r="I277" s="29" t="s">
        <v>46</v>
      </c>
      <c r="J277" s="30">
        <v>1</v>
      </c>
      <c r="K277" s="31">
        <f>1596</f>
        <v>1596</v>
      </c>
      <c r="L277" s="32" t="s">
        <v>995</v>
      </c>
      <c r="M277" s="31">
        <f>1644</f>
        <v>1644</v>
      </c>
      <c r="N277" s="32" t="s">
        <v>894</v>
      </c>
      <c r="O277" s="31">
        <f>1548</f>
        <v>1548</v>
      </c>
      <c r="P277" s="32" t="s">
        <v>791</v>
      </c>
      <c r="Q277" s="31">
        <f>1548</f>
        <v>1548</v>
      </c>
      <c r="R277" s="32" t="s">
        <v>791</v>
      </c>
      <c r="S277" s="33">
        <f>1597.75</f>
        <v>1597.75</v>
      </c>
      <c r="T277" s="30">
        <f>52378</f>
        <v>52378</v>
      </c>
      <c r="U277" s="30" t="str">
        <f>"－"</f>
        <v>－</v>
      </c>
      <c r="V277" s="30">
        <f>83557270</f>
        <v>83557270</v>
      </c>
      <c r="W277" s="30" t="str">
        <f>"－"</f>
        <v>－</v>
      </c>
      <c r="X277" s="34">
        <f>20</f>
        <v>20</v>
      </c>
    </row>
    <row r="278" spans="1:24" ht="13.5" customHeight="1" x14ac:dyDescent="0.15">
      <c r="A278" s="25" t="s">
        <v>1091</v>
      </c>
      <c r="B278" s="25" t="s">
        <v>827</v>
      </c>
      <c r="C278" s="25" t="s">
        <v>828</v>
      </c>
      <c r="D278" s="25" t="s">
        <v>829</v>
      </c>
      <c r="E278" s="26" t="s">
        <v>45</v>
      </c>
      <c r="F278" s="27" t="s">
        <v>45</v>
      </c>
      <c r="G278" s="28" t="s">
        <v>45</v>
      </c>
      <c r="H278" s="29"/>
      <c r="I278" s="29" t="s">
        <v>46</v>
      </c>
      <c r="J278" s="30">
        <v>1</v>
      </c>
      <c r="K278" s="31">
        <f>2068</f>
        <v>2068</v>
      </c>
      <c r="L278" s="32" t="s">
        <v>995</v>
      </c>
      <c r="M278" s="31">
        <f>2151</f>
        <v>2151</v>
      </c>
      <c r="N278" s="32" t="s">
        <v>894</v>
      </c>
      <c r="O278" s="31">
        <f>2040</f>
        <v>2040</v>
      </c>
      <c r="P278" s="32" t="s">
        <v>787</v>
      </c>
      <c r="Q278" s="31">
        <f>2126</f>
        <v>2126</v>
      </c>
      <c r="R278" s="32" t="s">
        <v>791</v>
      </c>
      <c r="S278" s="33">
        <f>2104</f>
        <v>2104</v>
      </c>
      <c r="T278" s="30">
        <f>138241</f>
        <v>138241</v>
      </c>
      <c r="U278" s="30" t="str">
        <f>"－"</f>
        <v>－</v>
      </c>
      <c r="V278" s="30">
        <f>292531019</f>
        <v>292531019</v>
      </c>
      <c r="W278" s="30" t="str">
        <f>"－"</f>
        <v>－</v>
      </c>
      <c r="X278" s="34">
        <f>20</f>
        <v>20</v>
      </c>
    </row>
    <row r="279" spans="1:24" ht="13.5" customHeight="1" x14ac:dyDescent="0.15">
      <c r="A279" s="25" t="s">
        <v>1091</v>
      </c>
      <c r="B279" s="25" t="s">
        <v>830</v>
      </c>
      <c r="C279" s="25" t="s">
        <v>831</v>
      </c>
      <c r="D279" s="25" t="s">
        <v>832</v>
      </c>
      <c r="E279" s="26" t="s">
        <v>45</v>
      </c>
      <c r="F279" s="27" t="s">
        <v>45</v>
      </c>
      <c r="G279" s="28" t="s">
        <v>45</v>
      </c>
      <c r="H279" s="29"/>
      <c r="I279" s="29" t="s">
        <v>46</v>
      </c>
      <c r="J279" s="30">
        <v>1</v>
      </c>
      <c r="K279" s="31">
        <f>1597</f>
        <v>1597</v>
      </c>
      <c r="L279" s="32" t="s">
        <v>995</v>
      </c>
      <c r="M279" s="31">
        <f>1674</f>
        <v>1674</v>
      </c>
      <c r="N279" s="32" t="s">
        <v>894</v>
      </c>
      <c r="O279" s="31">
        <f>1558</f>
        <v>1558</v>
      </c>
      <c r="P279" s="32" t="s">
        <v>787</v>
      </c>
      <c r="Q279" s="31">
        <f>1608</f>
        <v>1608</v>
      </c>
      <c r="R279" s="32" t="s">
        <v>791</v>
      </c>
      <c r="S279" s="33">
        <f>1617.45</f>
        <v>1617.45</v>
      </c>
      <c r="T279" s="30">
        <f>36163</f>
        <v>36163</v>
      </c>
      <c r="U279" s="30" t="str">
        <f>"－"</f>
        <v>－</v>
      </c>
      <c r="V279" s="30">
        <f>58380923</f>
        <v>58380923</v>
      </c>
      <c r="W279" s="30" t="str">
        <f>"－"</f>
        <v>－</v>
      </c>
      <c r="X279" s="34">
        <f>20</f>
        <v>20</v>
      </c>
    </row>
    <row r="280" spans="1:24" ht="13.5" customHeight="1" x14ac:dyDescent="0.15">
      <c r="A280" s="25" t="s">
        <v>1091</v>
      </c>
      <c r="B280" s="25" t="s">
        <v>833</v>
      </c>
      <c r="C280" s="25" t="s">
        <v>834</v>
      </c>
      <c r="D280" s="25" t="s">
        <v>835</v>
      </c>
      <c r="E280" s="26" t="s">
        <v>45</v>
      </c>
      <c r="F280" s="27" t="s">
        <v>45</v>
      </c>
      <c r="G280" s="28" t="s">
        <v>45</v>
      </c>
      <c r="H280" s="29"/>
      <c r="I280" s="29" t="s">
        <v>46</v>
      </c>
      <c r="J280" s="30">
        <v>1</v>
      </c>
      <c r="K280" s="31">
        <f>2824</f>
        <v>2824</v>
      </c>
      <c r="L280" s="32" t="s">
        <v>995</v>
      </c>
      <c r="M280" s="31">
        <f>2982</f>
        <v>2982</v>
      </c>
      <c r="N280" s="32" t="s">
        <v>790</v>
      </c>
      <c r="O280" s="31">
        <f>2740</f>
        <v>2740</v>
      </c>
      <c r="P280" s="32" t="s">
        <v>787</v>
      </c>
      <c r="Q280" s="31">
        <f>2835</f>
        <v>2835</v>
      </c>
      <c r="R280" s="32" t="s">
        <v>791</v>
      </c>
      <c r="S280" s="33">
        <f>2862.4</f>
        <v>2862.4</v>
      </c>
      <c r="T280" s="30">
        <f>63463</f>
        <v>63463</v>
      </c>
      <c r="U280" s="30">
        <f>272</f>
        <v>272</v>
      </c>
      <c r="V280" s="30">
        <f>181655233</f>
        <v>181655233</v>
      </c>
      <c r="W280" s="30">
        <f>802980</f>
        <v>802980</v>
      </c>
      <c r="X280" s="34">
        <f>20</f>
        <v>20</v>
      </c>
    </row>
    <row r="281" spans="1:24" ht="13.5" customHeight="1" x14ac:dyDescent="0.15">
      <c r="A281" s="25" t="s">
        <v>1091</v>
      </c>
      <c r="B281" s="25" t="s">
        <v>836</v>
      </c>
      <c r="C281" s="25" t="s">
        <v>837</v>
      </c>
      <c r="D281" s="25" t="s">
        <v>838</v>
      </c>
      <c r="E281" s="26" t="s">
        <v>45</v>
      </c>
      <c r="F281" s="27" t="s">
        <v>45</v>
      </c>
      <c r="G281" s="28" t="s">
        <v>45</v>
      </c>
      <c r="H281" s="29"/>
      <c r="I281" s="29" t="s">
        <v>46</v>
      </c>
      <c r="J281" s="30">
        <v>1</v>
      </c>
      <c r="K281" s="31">
        <f>2179</f>
        <v>2179</v>
      </c>
      <c r="L281" s="32" t="s">
        <v>995</v>
      </c>
      <c r="M281" s="31">
        <f>2372</f>
        <v>2372</v>
      </c>
      <c r="N281" s="32" t="s">
        <v>1017</v>
      </c>
      <c r="O281" s="31">
        <f>2175</f>
        <v>2175</v>
      </c>
      <c r="P281" s="32" t="s">
        <v>995</v>
      </c>
      <c r="Q281" s="31">
        <f>2308</f>
        <v>2308</v>
      </c>
      <c r="R281" s="32" t="s">
        <v>791</v>
      </c>
      <c r="S281" s="33">
        <f>2274.75</f>
        <v>2274.75</v>
      </c>
      <c r="T281" s="30">
        <f>129797</f>
        <v>129797</v>
      </c>
      <c r="U281" s="30">
        <f>2</f>
        <v>2</v>
      </c>
      <c r="V281" s="30">
        <f>299947001</f>
        <v>299947001</v>
      </c>
      <c r="W281" s="30">
        <f>4392</f>
        <v>4392</v>
      </c>
      <c r="X281" s="34">
        <f>20</f>
        <v>20</v>
      </c>
    </row>
    <row r="282" spans="1:24" ht="13.5" customHeight="1" x14ac:dyDescent="0.15">
      <c r="A282" s="25" t="s">
        <v>1091</v>
      </c>
      <c r="B282" s="25" t="s">
        <v>839</v>
      </c>
      <c r="C282" s="25" t="s">
        <v>840</v>
      </c>
      <c r="D282" s="25" t="s">
        <v>841</v>
      </c>
      <c r="E282" s="26" t="s">
        <v>45</v>
      </c>
      <c r="F282" s="27" t="s">
        <v>45</v>
      </c>
      <c r="G282" s="28" t="s">
        <v>45</v>
      </c>
      <c r="H282" s="29"/>
      <c r="I282" s="29" t="s">
        <v>46</v>
      </c>
      <c r="J282" s="30">
        <v>1</v>
      </c>
      <c r="K282" s="31">
        <f>27480</f>
        <v>27480</v>
      </c>
      <c r="L282" s="32" t="s">
        <v>995</v>
      </c>
      <c r="M282" s="31">
        <f>29115</f>
        <v>29115</v>
      </c>
      <c r="N282" s="32" t="s">
        <v>894</v>
      </c>
      <c r="O282" s="31">
        <f>27480</f>
        <v>27480</v>
      </c>
      <c r="P282" s="32" t="s">
        <v>995</v>
      </c>
      <c r="Q282" s="31">
        <f>28680</f>
        <v>28680</v>
      </c>
      <c r="R282" s="32" t="s">
        <v>893</v>
      </c>
      <c r="S282" s="33">
        <f>28499.09</f>
        <v>28499.09</v>
      </c>
      <c r="T282" s="30">
        <f>28</f>
        <v>28</v>
      </c>
      <c r="U282" s="30" t="str">
        <f>"－"</f>
        <v>－</v>
      </c>
      <c r="V282" s="30">
        <f>802650</f>
        <v>802650</v>
      </c>
      <c r="W282" s="30" t="str">
        <f>"－"</f>
        <v>－</v>
      </c>
      <c r="X282" s="34">
        <f>11</f>
        <v>11</v>
      </c>
    </row>
    <row r="283" spans="1:24" ht="13.5" customHeight="1" x14ac:dyDescent="0.15">
      <c r="A283" s="25" t="s">
        <v>1091</v>
      </c>
      <c r="B283" s="25" t="s">
        <v>842</v>
      </c>
      <c r="C283" s="25" t="s">
        <v>843</v>
      </c>
      <c r="D283" s="25" t="s">
        <v>844</v>
      </c>
      <c r="E283" s="26" t="s">
        <v>45</v>
      </c>
      <c r="F283" s="27" t="s">
        <v>45</v>
      </c>
      <c r="G283" s="28" t="s">
        <v>45</v>
      </c>
      <c r="H283" s="29"/>
      <c r="I283" s="29" t="s">
        <v>46</v>
      </c>
      <c r="J283" s="30">
        <v>1</v>
      </c>
      <c r="K283" s="31">
        <f>2107</f>
        <v>2107</v>
      </c>
      <c r="L283" s="32" t="s">
        <v>995</v>
      </c>
      <c r="M283" s="31">
        <f>2240</f>
        <v>2240</v>
      </c>
      <c r="N283" s="32" t="s">
        <v>894</v>
      </c>
      <c r="O283" s="31">
        <f>2105</f>
        <v>2105</v>
      </c>
      <c r="P283" s="32" t="s">
        <v>1000</v>
      </c>
      <c r="Q283" s="31">
        <f>2185</f>
        <v>2185</v>
      </c>
      <c r="R283" s="32" t="s">
        <v>791</v>
      </c>
      <c r="S283" s="33">
        <f>2174.4</f>
        <v>2174.4</v>
      </c>
      <c r="T283" s="30">
        <f>67765</f>
        <v>67765</v>
      </c>
      <c r="U283" s="30" t="str">
        <f>"－"</f>
        <v>－</v>
      </c>
      <c r="V283" s="30">
        <f>148293961</f>
        <v>148293961</v>
      </c>
      <c r="W283" s="30" t="str">
        <f>"－"</f>
        <v>－</v>
      </c>
      <c r="X283" s="34">
        <f>20</f>
        <v>20</v>
      </c>
    </row>
    <row r="284" spans="1:24" ht="13.5" customHeight="1" x14ac:dyDescent="0.15">
      <c r="A284" s="25" t="s">
        <v>1091</v>
      </c>
      <c r="B284" s="25" t="s">
        <v>845</v>
      </c>
      <c r="C284" s="25" t="s">
        <v>846</v>
      </c>
      <c r="D284" s="25" t="s">
        <v>847</v>
      </c>
      <c r="E284" s="26" t="s">
        <v>45</v>
      </c>
      <c r="F284" s="27" t="s">
        <v>45</v>
      </c>
      <c r="G284" s="28" t="s">
        <v>45</v>
      </c>
      <c r="H284" s="29"/>
      <c r="I284" s="29" t="s">
        <v>46</v>
      </c>
      <c r="J284" s="30">
        <v>1</v>
      </c>
      <c r="K284" s="31">
        <f>2396</f>
        <v>2396</v>
      </c>
      <c r="L284" s="32" t="s">
        <v>995</v>
      </c>
      <c r="M284" s="31">
        <f>3130</f>
        <v>3130</v>
      </c>
      <c r="N284" s="32" t="s">
        <v>1017</v>
      </c>
      <c r="O284" s="31">
        <f>2377</f>
        <v>2377</v>
      </c>
      <c r="P284" s="32" t="s">
        <v>995</v>
      </c>
      <c r="Q284" s="31">
        <f>2956</f>
        <v>2956</v>
      </c>
      <c r="R284" s="32" t="s">
        <v>791</v>
      </c>
      <c r="S284" s="33">
        <f>2685.8</f>
        <v>2685.8</v>
      </c>
      <c r="T284" s="30">
        <f>2748766</f>
        <v>2748766</v>
      </c>
      <c r="U284" s="30">
        <f>12001</f>
        <v>12001</v>
      </c>
      <c r="V284" s="30">
        <f>7611214915</f>
        <v>7611214915</v>
      </c>
      <c r="W284" s="30">
        <f>29911150</f>
        <v>29911150</v>
      </c>
      <c r="X284" s="34">
        <f>20</f>
        <v>20</v>
      </c>
    </row>
    <row r="285" spans="1:24" ht="13.5" customHeight="1" x14ac:dyDescent="0.15">
      <c r="A285" s="25" t="s">
        <v>1091</v>
      </c>
      <c r="B285" s="25" t="s">
        <v>848</v>
      </c>
      <c r="C285" s="25" t="s">
        <v>849</v>
      </c>
      <c r="D285" s="25" t="s">
        <v>850</v>
      </c>
      <c r="E285" s="26" t="s">
        <v>45</v>
      </c>
      <c r="F285" s="27" t="s">
        <v>45</v>
      </c>
      <c r="G285" s="28" t="s">
        <v>45</v>
      </c>
      <c r="H285" s="29"/>
      <c r="I285" s="29" t="s">
        <v>46</v>
      </c>
      <c r="J285" s="30">
        <v>1</v>
      </c>
      <c r="K285" s="31">
        <f>1925</f>
        <v>1925</v>
      </c>
      <c r="L285" s="32" t="s">
        <v>995</v>
      </c>
      <c r="M285" s="31">
        <f>1990</f>
        <v>1990</v>
      </c>
      <c r="N285" s="32" t="s">
        <v>894</v>
      </c>
      <c r="O285" s="31">
        <f>1883</f>
        <v>1883</v>
      </c>
      <c r="P285" s="32" t="s">
        <v>791</v>
      </c>
      <c r="Q285" s="31">
        <f>1894</f>
        <v>1894</v>
      </c>
      <c r="R285" s="32" t="s">
        <v>791</v>
      </c>
      <c r="S285" s="33">
        <f>1931.8</f>
        <v>1931.8</v>
      </c>
      <c r="T285" s="30">
        <f>20034</f>
        <v>20034</v>
      </c>
      <c r="U285" s="30" t="str">
        <f>"－"</f>
        <v>－</v>
      </c>
      <c r="V285" s="30">
        <f>38787225</f>
        <v>38787225</v>
      </c>
      <c r="W285" s="30" t="str">
        <f>"－"</f>
        <v>－</v>
      </c>
      <c r="X285" s="34">
        <f>20</f>
        <v>20</v>
      </c>
    </row>
    <row r="286" spans="1:24" ht="13.5" customHeight="1" x14ac:dyDescent="0.15">
      <c r="A286" s="25" t="s">
        <v>1091</v>
      </c>
      <c r="B286" s="25" t="s">
        <v>851</v>
      </c>
      <c r="C286" s="25" t="s">
        <v>852</v>
      </c>
      <c r="D286" s="25" t="s">
        <v>853</v>
      </c>
      <c r="E286" s="26" t="s">
        <v>45</v>
      </c>
      <c r="F286" s="27" t="s">
        <v>45</v>
      </c>
      <c r="G286" s="28" t="s">
        <v>45</v>
      </c>
      <c r="H286" s="29"/>
      <c r="I286" s="29" t="s">
        <v>46</v>
      </c>
      <c r="J286" s="30">
        <v>1</v>
      </c>
      <c r="K286" s="31">
        <f>1530</f>
        <v>1530</v>
      </c>
      <c r="L286" s="32" t="s">
        <v>995</v>
      </c>
      <c r="M286" s="31">
        <f>1569</f>
        <v>1569</v>
      </c>
      <c r="N286" s="32" t="s">
        <v>894</v>
      </c>
      <c r="O286" s="31">
        <f>1505</f>
        <v>1505</v>
      </c>
      <c r="P286" s="32" t="s">
        <v>787</v>
      </c>
      <c r="Q286" s="31">
        <f>1519</f>
        <v>1519</v>
      </c>
      <c r="R286" s="32" t="s">
        <v>791</v>
      </c>
      <c r="S286" s="33">
        <f>1544.1</f>
        <v>1544.1</v>
      </c>
      <c r="T286" s="30">
        <f>8164</f>
        <v>8164</v>
      </c>
      <c r="U286" s="30" t="str">
        <f>"－"</f>
        <v>－</v>
      </c>
      <c r="V286" s="30">
        <f>12580109</f>
        <v>12580109</v>
      </c>
      <c r="W286" s="30" t="str">
        <f>"－"</f>
        <v>－</v>
      </c>
      <c r="X286" s="34">
        <f>20</f>
        <v>20</v>
      </c>
    </row>
    <row r="287" spans="1:24" ht="13.5" customHeight="1" x14ac:dyDescent="0.15">
      <c r="A287" s="25" t="s">
        <v>1091</v>
      </c>
      <c r="B287" s="25" t="s">
        <v>854</v>
      </c>
      <c r="C287" s="25" t="s">
        <v>855</v>
      </c>
      <c r="D287" s="25" t="s">
        <v>856</v>
      </c>
      <c r="E287" s="26" t="s">
        <v>45</v>
      </c>
      <c r="F287" s="27" t="s">
        <v>45</v>
      </c>
      <c r="G287" s="28" t="s">
        <v>45</v>
      </c>
      <c r="H287" s="29"/>
      <c r="I287" s="29" t="s">
        <v>46</v>
      </c>
      <c r="J287" s="30">
        <v>10</v>
      </c>
      <c r="K287" s="31">
        <f>5294</f>
        <v>5294</v>
      </c>
      <c r="L287" s="32" t="s">
        <v>995</v>
      </c>
      <c r="M287" s="31">
        <f>5327</f>
        <v>5327</v>
      </c>
      <c r="N287" s="32" t="s">
        <v>791</v>
      </c>
      <c r="O287" s="31">
        <f>5207</f>
        <v>5207</v>
      </c>
      <c r="P287" s="32" t="s">
        <v>794</v>
      </c>
      <c r="Q287" s="31">
        <f>5327</f>
        <v>5327</v>
      </c>
      <c r="R287" s="32" t="s">
        <v>791</v>
      </c>
      <c r="S287" s="33">
        <f>5274.2</f>
        <v>5274.2</v>
      </c>
      <c r="T287" s="30">
        <f>73520</f>
        <v>73520</v>
      </c>
      <c r="U287" s="30">
        <f>5700</f>
        <v>5700</v>
      </c>
      <c r="V287" s="30">
        <f>387088070</f>
        <v>387088070</v>
      </c>
      <c r="W287" s="30">
        <f>29947800</f>
        <v>29947800</v>
      </c>
      <c r="X287" s="34">
        <f>15</f>
        <v>15</v>
      </c>
    </row>
    <row r="288" spans="1:24" ht="13.5" customHeight="1" x14ac:dyDescent="0.15">
      <c r="A288" s="25" t="s">
        <v>1091</v>
      </c>
      <c r="B288" s="25" t="s">
        <v>857</v>
      </c>
      <c r="C288" s="25" t="s">
        <v>858</v>
      </c>
      <c r="D288" s="25" t="s">
        <v>859</v>
      </c>
      <c r="E288" s="26" t="s">
        <v>45</v>
      </c>
      <c r="F288" s="27" t="s">
        <v>45</v>
      </c>
      <c r="G288" s="28" t="s">
        <v>45</v>
      </c>
      <c r="H288" s="29"/>
      <c r="I288" s="29" t="s">
        <v>46</v>
      </c>
      <c r="J288" s="30">
        <v>10</v>
      </c>
      <c r="K288" s="31">
        <f>4171</f>
        <v>4171</v>
      </c>
      <c r="L288" s="32" t="s">
        <v>995</v>
      </c>
      <c r="M288" s="31">
        <f>4198</f>
        <v>4198</v>
      </c>
      <c r="N288" s="32" t="s">
        <v>787</v>
      </c>
      <c r="O288" s="31">
        <f>4044</f>
        <v>4044</v>
      </c>
      <c r="P288" s="32" t="s">
        <v>1017</v>
      </c>
      <c r="Q288" s="31">
        <f>4091</f>
        <v>4091</v>
      </c>
      <c r="R288" s="32" t="s">
        <v>791</v>
      </c>
      <c r="S288" s="33">
        <f>4125</f>
        <v>4125</v>
      </c>
      <c r="T288" s="30">
        <f>509070</f>
        <v>509070</v>
      </c>
      <c r="U288" s="30">
        <f>505390</f>
        <v>505390</v>
      </c>
      <c r="V288" s="30">
        <f>2108603732</f>
        <v>2108603732</v>
      </c>
      <c r="W288" s="30">
        <f>2093535112</f>
        <v>2093535112</v>
      </c>
      <c r="X288" s="34">
        <f>18</f>
        <v>18</v>
      </c>
    </row>
    <row r="289" spans="1:24" ht="13.5" customHeight="1" x14ac:dyDescent="0.15">
      <c r="A289" s="25" t="s">
        <v>1091</v>
      </c>
      <c r="B289" s="25" t="s">
        <v>860</v>
      </c>
      <c r="C289" s="25" t="s">
        <v>861</v>
      </c>
      <c r="D289" s="25" t="s">
        <v>862</v>
      </c>
      <c r="E289" s="26" t="s">
        <v>45</v>
      </c>
      <c r="F289" s="27" t="s">
        <v>45</v>
      </c>
      <c r="G289" s="28" t="s">
        <v>45</v>
      </c>
      <c r="H289" s="29"/>
      <c r="I289" s="29" t="s">
        <v>46</v>
      </c>
      <c r="J289" s="30">
        <v>10</v>
      </c>
      <c r="K289" s="31">
        <f>699</f>
        <v>699</v>
      </c>
      <c r="L289" s="32" t="s">
        <v>995</v>
      </c>
      <c r="M289" s="31">
        <f>726.3</f>
        <v>726.3</v>
      </c>
      <c r="N289" s="32" t="s">
        <v>787</v>
      </c>
      <c r="O289" s="31">
        <f>671.5</f>
        <v>671.5</v>
      </c>
      <c r="P289" s="32" t="s">
        <v>1017</v>
      </c>
      <c r="Q289" s="31">
        <f>680.5</f>
        <v>680.5</v>
      </c>
      <c r="R289" s="32" t="s">
        <v>791</v>
      </c>
      <c r="S289" s="33">
        <f>682.34</f>
        <v>682.34</v>
      </c>
      <c r="T289" s="30">
        <f>40330</f>
        <v>40330</v>
      </c>
      <c r="U289" s="30" t="str">
        <f>"－"</f>
        <v>－</v>
      </c>
      <c r="V289" s="30">
        <f>27665108</f>
        <v>27665108</v>
      </c>
      <c r="W289" s="30" t="str">
        <f>"－"</f>
        <v>－</v>
      </c>
      <c r="X289" s="34">
        <f>18</f>
        <v>18</v>
      </c>
    </row>
    <row r="290" spans="1:24" ht="13.5" customHeight="1" x14ac:dyDescent="0.15">
      <c r="A290" s="25" t="s">
        <v>1091</v>
      </c>
      <c r="B290" s="25" t="s">
        <v>863</v>
      </c>
      <c r="C290" s="25" t="s">
        <v>864</v>
      </c>
      <c r="D290" s="25" t="s">
        <v>865</v>
      </c>
      <c r="E290" s="26" t="s">
        <v>45</v>
      </c>
      <c r="F290" s="27" t="s">
        <v>45</v>
      </c>
      <c r="G290" s="28" t="s">
        <v>45</v>
      </c>
      <c r="H290" s="29"/>
      <c r="I290" s="29" t="s">
        <v>46</v>
      </c>
      <c r="J290" s="30">
        <v>1</v>
      </c>
      <c r="K290" s="31">
        <f>2199</f>
        <v>2199</v>
      </c>
      <c r="L290" s="32" t="s">
        <v>995</v>
      </c>
      <c r="M290" s="31">
        <f>2252</f>
        <v>2252</v>
      </c>
      <c r="N290" s="32" t="s">
        <v>894</v>
      </c>
      <c r="O290" s="31">
        <f>2150</f>
        <v>2150</v>
      </c>
      <c r="P290" s="32" t="s">
        <v>791</v>
      </c>
      <c r="Q290" s="31">
        <f>2163</f>
        <v>2163</v>
      </c>
      <c r="R290" s="32" t="s">
        <v>791</v>
      </c>
      <c r="S290" s="33">
        <f>2202.35</f>
        <v>2202.35</v>
      </c>
      <c r="T290" s="30">
        <f>3044</f>
        <v>3044</v>
      </c>
      <c r="U290" s="30" t="str">
        <f>"－"</f>
        <v>－</v>
      </c>
      <c r="V290" s="30">
        <f>6706747</f>
        <v>6706747</v>
      </c>
      <c r="W290" s="30" t="str">
        <f>"－"</f>
        <v>－</v>
      </c>
      <c r="X290" s="34">
        <f>20</f>
        <v>20</v>
      </c>
    </row>
    <row r="291" spans="1:24" ht="13.5" customHeight="1" x14ac:dyDescent="0.15">
      <c r="A291" s="25" t="s">
        <v>1091</v>
      </c>
      <c r="B291" s="25" t="s">
        <v>866</v>
      </c>
      <c r="C291" s="25" t="s">
        <v>867</v>
      </c>
      <c r="D291" s="25" t="s">
        <v>868</v>
      </c>
      <c r="E291" s="26" t="s">
        <v>45</v>
      </c>
      <c r="F291" s="27" t="s">
        <v>45</v>
      </c>
      <c r="G291" s="28" t="s">
        <v>45</v>
      </c>
      <c r="H291" s="29"/>
      <c r="I291" s="29" t="s">
        <v>46</v>
      </c>
      <c r="J291" s="30">
        <v>1</v>
      </c>
      <c r="K291" s="31">
        <f>1956</f>
        <v>1956</v>
      </c>
      <c r="L291" s="32" t="s">
        <v>995</v>
      </c>
      <c r="M291" s="31">
        <f>2074</f>
        <v>2074</v>
      </c>
      <c r="N291" s="32" t="s">
        <v>894</v>
      </c>
      <c r="O291" s="31">
        <f>1942</f>
        <v>1942</v>
      </c>
      <c r="P291" s="32" t="s">
        <v>999</v>
      </c>
      <c r="Q291" s="31">
        <f>2005</f>
        <v>2005</v>
      </c>
      <c r="R291" s="32" t="s">
        <v>791</v>
      </c>
      <c r="S291" s="33">
        <f>2009.84</f>
        <v>2009.84</v>
      </c>
      <c r="T291" s="30">
        <f>3439</f>
        <v>3439</v>
      </c>
      <c r="U291" s="30" t="str">
        <f>"－"</f>
        <v>－</v>
      </c>
      <c r="V291" s="30">
        <f>6938066</f>
        <v>6938066</v>
      </c>
      <c r="W291" s="30" t="str">
        <f>"－"</f>
        <v>－</v>
      </c>
      <c r="X291" s="34">
        <f>19</f>
        <v>19</v>
      </c>
    </row>
    <row r="292" spans="1:24" ht="13.5" customHeight="1" x14ac:dyDescent="0.15">
      <c r="A292" s="25" t="s">
        <v>1091</v>
      </c>
      <c r="B292" s="25" t="s">
        <v>869</v>
      </c>
      <c r="C292" s="25" t="s">
        <v>870</v>
      </c>
      <c r="D292" s="25" t="s">
        <v>871</v>
      </c>
      <c r="E292" s="26" t="s">
        <v>45</v>
      </c>
      <c r="F292" s="27" t="s">
        <v>45</v>
      </c>
      <c r="G292" s="28" t="s">
        <v>45</v>
      </c>
      <c r="H292" s="29"/>
      <c r="I292" s="29" t="s">
        <v>46</v>
      </c>
      <c r="J292" s="30">
        <v>1</v>
      </c>
      <c r="K292" s="31">
        <f>7898</f>
        <v>7898</v>
      </c>
      <c r="L292" s="32" t="s">
        <v>995</v>
      </c>
      <c r="M292" s="31">
        <f>7924</f>
        <v>7924</v>
      </c>
      <c r="N292" s="32" t="s">
        <v>999</v>
      </c>
      <c r="O292" s="31">
        <f>7737</f>
        <v>7737</v>
      </c>
      <c r="P292" s="32" t="s">
        <v>794</v>
      </c>
      <c r="Q292" s="31">
        <f>7916</f>
        <v>7916</v>
      </c>
      <c r="R292" s="32" t="s">
        <v>791</v>
      </c>
      <c r="S292" s="33">
        <f>7839.9</f>
        <v>7839.9</v>
      </c>
      <c r="T292" s="30">
        <f>33695</f>
        <v>33695</v>
      </c>
      <c r="U292" s="30" t="str">
        <f>"－"</f>
        <v>－</v>
      </c>
      <c r="V292" s="30">
        <f>263135744</f>
        <v>263135744</v>
      </c>
      <c r="W292" s="30" t="str">
        <f>"－"</f>
        <v>－</v>
      </c>
      <c r="X292" s="34">
        <f>20</f>
        <v>20</v>
      </c>
    </row>
    <row r="293" spans="1:24" ht="13.5" customHeight="1" x14ac:dyDescent="0.15">
      <c r="A293" s="25" t="s">
        <v>1091</v>
      </c>
      <c r="B293" s="25" t="s">
        <v>872</v>
      </c>
      <c r="C293" s="25" t="s">
        <v>873</v>
      </c>
      <c r="D293" s="25" t="s">
        <v>874</v>
      </c>
      <c r="E293" s="26" t="s">
        <v>45</v>
      </c>
      <c r="F293" s="27" t="s">
        <v>45</v>
      </c>
      <c r="G293" s="28" t="s">
        <v>45</v>
      </c>
      <c r="H293" s="29"/>
      <c r="I293" s="29" t="s">
        <v>46</v>
      </c>
      <c r="J293" s="30">
        <v>1</v>
      </c>
      <c r="K293" s="31">
        <f>6237</f>
        <v>6237</v>
      </c>
      <c r="L293" s="32" t="s">
        <v>995</v>
      </c>
      <c r="M293" s="31">
        <f>6399</f>
        <v>6399</v>
      </c>
      <c r="N293" s="32" t="s">
        <v>787</v>
      </c>
      <c r="O293" s="31">
        <f>5969</f>
        <v>5969</v>
      </c>
      <c r="P293" s="32" t="s">
        <v>1017</v>
      </c>
      <c r="Q293" s="31">
        <f>6065</f>
        <v>6065</v>
      </c>
      <c r="R293" s="32" t="s">
        <v>791</v>
      </c>
      <c r="S293" s="33">
        <f>6127.1</f>
        <v>6127.1</v>
      </c>
      <c r="T293" s="30">
        <f>126556</f>
        <v>126556</v>
      </c>
      <c r="U293" s="30">
        <f>46000</f>
        <v>46000</v>
      </c>
      <c r="V293" s="30">
        <f>779315284</f>
        <v>779315284</v>
      </c>
      <c r="W293" s="30">
        <f>283805600</f>
        <v>283805600</v>
      </c>
      <c r="X293" s="34">
        <f>20</f>
        <v>20</v>
      </c>
    </row>
    <row r="294" spans="1:24" ht="13.5" customHeight="1" x14ac:dyDescent="0.15">
      <c r="A294" s="25" t="s">
        <v>1091</v>
      </c>
      <c r="B294" s="25" t="s">
        <v>878</v>
      </c>
      <c r="C294" s="25" t="s">
        <v>879</v>
      </c>
      <c r="D294" s="25" t="s">
        <v>880</v>
      </c>
      <c r="E294" s="26" t="s">
        <v>45</v>
      </c>
      <c r="F294" s="27" t="s">
        <v>45</v>
      </c>
      <c r="G294" s="28" t="s">
        <v>45</v>
      </c>
      <c r="H294" s="29"/>
      <c r="I294" s="29" t="s">
        <v>46</v>
      </c>
      <c r="J294" s="30">
        <v>1</v>
      </c>
      <c r="K294" s="31">
        <f>16915</f>
        <v>16915</v>
      </c>
      <c r="L294" s="32" t="s">
        <v>995</v>
      </c>
      <c r="M294" s="31">
        <f>18980</f>
        <v>18980</v>
      </c>
      <c r="N294" s="32" t="s">
        <v>1017</v>
      </c>
      <c r="O294" s="31">
        <f>16695</f>
        <v>16695</v>
      </c>
      <c r="P294" s="32" t="s">
        <v>875</v>
      </c>
      <c r="Q294" s="31">
        <f>18655</f>
        <v>18655</v>
      </c>
      <c r="R294" s="32" t="s">
        <v>791</v>
      </c>
      <c r="S294" s="33">
        <f>17537.75</f>
        <v>17537.75</v>
      </c>
      <c r="T294" s="30">
        <f>234202</f>
        <v>234202</v>
      </c>
      <c r="U294" s="30" t="str">
        <f>"－"</f>
        <v>－</v>
      </c>
      <c r="V294" s="30">
        <f>4102079870</f>
        <v>4102079870</v>
      </c>
      <c r="W294" s="30" t="str">
        <f>"－"</f>
        <v>－</v>
      </c>
      <c r="X294" s="34">
        <f>20</f>
        <v>20</v>
      </c>
    </row>
    <row r="295" spans="1:24" ht="13.5" customHeight="1" x14ac:dyDescent="0.15">
      <c r="A295" s="25" t="s">
        <v>1091</v>
      </c>
      <c r="B295" s="25" t="s">
        <v>881</v>
      </c>
      <c r="C295" s="25" t="s">
        <v>882</v>
      </c>
      <c r="D295" s="25" t="s">
        <v>883</v>
      </c>
      <c r="E295" s="26" t="s">
        <v>45</v>
      </c>
      <c r="F295" s="27" t="s">
        <v>45</v>
      </c>
      <c r="G295" s="28" t="s">
        <v>45</v>
      </c>
      <c r="H295" s="29"/>
      <c r="I295" s="29" t="s">
        <v>46</v>
      </c>
      <c r="J295" s="30">
        <v>1</v>
      </c>
      <c r="K295" s="31">
        <f>8858</f>
        <v>8858</v>
      </c>
      <c r="L295" s="32" t="s">
        <v>995</v>
      </c>
      <c r="M295" s="31">
        <f>9646</f>
        <v>9646</v>
      </c>
      <c r="N295" s="32" t="s">
        <v>1017</v>
      </c>
      <c r="O295" s="31">
        <f>8823</f>
        <v>8823</v>
      </c>
      <c r="P295" s="32" t="s">
        <v>875</v>
      </c>
      <c r="Q295" s="31">
        <f>9572</f>
        <v>9572</v>
      </c>
      <c r="R295" s="32" t="s">
        <v>791</v>
      </c>
      <c r="S295" s="33">
        <f>9120.4</f>
        <v>9120.4</v>
      </c>
      <c r="T295" s="30">
        <f>462225</f>
        <v>462225</v>
      </c>
      <c r="U295" s="30" t="str">
        <f>"－"</f>
        <v>－</v>
      </c>
      <c r="V295" s="30">
        <f>4244177862</f>
        <v>4244177862</v>
      </c>
      <c r="W295" s="30" t="str">
        <f>"－"</f>
        <v>－</v>
      </c>
      <c r="X295" s="34">
        <f>20</f>
        <v>20</v>
      </c>
    </row>
    <row r="296" spans="1:24" ht="13.5" customHeight="1" x14ac:dyDescent="0.15">
      <c r="A296" s="25" t="s">
        <v>1091</v>
      </c>
      <c r="B296" s="25" t="s">
        <v>884</v>
      </c>
      <c r="C296" s="25" t="s">
        <v>885</v>
      </c>
      <c r="D296" s="25" t="s">
        <v>886</v>
      </c>
      <c r="E296" s="26" t="s">
        <v>45</v>
      </c>
      <c r="F296" s="27" t="s">
        <v>45</v>
      </c>
      <c r="G296" s="28" t="s">
        <v>45</v>
      </c>
      <c r="H296" s="29"/>
      <c r="I296" s="29" t="s">
        <v>46</v>
      </c>
      <c r="J296" s="30">
        <v>1</v>
      </c>
      <c r="K296" s="31">
        <f>27480</f>
        <v>27480</v>
      </c>
      <c r="L296" s="32" t="s">
        <v>995</v>
      </c>
      <c r="M296" s="31">
        <f>27550</f>
        <v>27550</v>
      </c>
      <c r="N296" s="32" t="s">
        <v>999</v>
      </c>
      <c r="O296" s="31">
        <f>25195</f>
        <v>25195</v>
      </c>
      <c r="P296" s="32" t="s">
        <v>1017</v>
      </c>
      <c r="Q296" s="31">
        <f>25365</f>
        <v>25365</v>
      </c>
      <c r="R296" s="32" t="s">
        <v>791</v>
      </c>
      <c r="S296" s="33">
        <f>26663</f>
        <v>26663</v>
      </c>
      <c r="T296" s="30">
        <f>256501</f>
        <v>256501</v>
      </c>
      <c r="U296" s="30">
        <f>3000</f>
        <v>3000</v>
      </c>
      <c r="V296" s="30">
        <f>6810593825</f>
        <v>6810593825</v>
      </c>
      <c r="W296" s="30">
        <f>82611000</f>
        <v>82611000</v>
      </c>
      <c r="X296" s="34">
        <f>20</f>
        <v>20</v>
      </c>
    </row>
    <row r="297" spans="1:24" ht="13.5" customHeight="1" x14ac:dyDescent="0.15">
      <c r="A297" s="25" t="s">
        <v>1091</v>
      </c>
      <c r="B297" s="25" t="s">
        <v>887</v>
      </c>
      <c r="C297" s="25" t="s">
        <v>888</v>
      </c>
      <c r="D297" s="25" t="s">
        <v>889</v>
      </c>
      <c r="E297" s="26" t="s">
        <v>45</v>
      </c>
      <c r="F297" s="27" t="s">
        <v>45</v>
      </c>
      <c r="G297" s="28" t="s">
        <v>45</v>
      </c>
      <c r="H297" s="29"/>
      <c r="I297" s="29" t="s">
        <v>46</v>
      </c>
      <c r="J297" s="30">
        <v>10</v>
      </c>
      <c r="K297" s="31">
        <f>4421</f>
        <v>4421</v>
      </c>
      <c r="L297" s="32" t="s">
        <v>1000</v>
      </c>
      <c r="M297" s="31">
        <f>4491</f>
        <v>4491</v>
      </c>
      <c r="N297" s="32" t="s">
        <v>1000</v>
      </c>
      <c r="O297" s="31">
        <f>4368</f>
        <v>4368</v>
      </c>
      <c r="P297" s="32" t="s">
        <v>786</v>
      </c>
      <c r="Q297" s="31">
        <f>4397</f>
        <v>4397</v>
      </c>
      <c r="R297" s="32" t="s">
        <v>893</v>
      </c>
      <c r="S297" s="33">
        <f>4415.5</f>
        <v>4415.5</v>
      </c>
      <c r="T297" s="30">
        <f>306370</f>
        <v>306370</v>
      </c>
      <c r="U297" s="30">
        <f>306000</f>
        <v>306000</v>
      </c>
      <c r="V297" s="30">
        <f>1369729037</f>
        <v>1369729037</v>
      </c>
      <c r="W297" s="30">
        <f>1368095507</f>
        <v>1368095507</v>
      </c>
      <c r="X297" s="34">
        <f>8</f>
        <v>8</v>
      </c>
    </row>
    <row r="298" spans="1:24" ht="13.5" customHeight="1" x14ac:dyDescent="0.15">
      <c r="A298" s="25" t="s">
        <v>1091</v>
      </c>
      <c r="B298" s="25" t="s">
        <v>890</v>
      </c>
      <c r="C298" s="25" t="s">
        <v>891</v>
      </c>
      <c r="D298" s="25" t="s">
        <v>892</v>
      </c>
      <c r="E298" s="26" t="s">
        <v>45</v>
      </c>
      <c r="F298" s="27" t="s">
        <v>45</v>
      </c>
      <c r="G298" s="28" t="s">
        <v>45</v>
      </c>
      <c r="H298" s="29"/>
      <c r="I298" s="29" t="s">
        <v>46</v>
      </c>
      <c r="J298" s="30">
        <v>10</v>
      </c>
      <c r="K298" s="31">
        <f>5065</f>
        <v>5065</v>
      </c>
      <c r="L298" s="32" t="s">
        <v>995</v>
      </c>
      <c r="M298" s="31">
        <f>5234</f>
        <v>5234</v>
      </c>
      <c r="N298" s="32" t="s">
        <v>1000</v>
      </c>
      <c r="O298" s="31">
        <f>4910</f>
        <v>4910</v>
      </c>
      <c r="P298" s="32" t="s">
        <v>786</v>
      </c>
      <c r="Q298" s="31">
        <f>4962</f>
        <v>4962</v>
      </c>
      <c r="R298" s="32" t="s">
        <v>791</v>
      </c>
      <c r="S298" s="33">
        <f>5019.33</f>
        <v>5019.33</v>
      </c>
      <c r="T298" s="30">
        <f>106930</f>
        <v>106930</v>
      </c>
      <c r="U298" s="30">
        <f>59600</f>
        <v>59600</v>
      </c>
      <c r="V298" s="30">
        <f>539259435</f>
        <v>539259435</v>
      </c>
      <c r="W298" s="30">
        <f>300264815</f>
        <v>300264815</v>
      </c>
      <c r="X298" s="34">
        <f>15</f>
        <v>15</v>
      </c>
    </row>
    <row r="299" spans="1:24" ht="13.5" customHeight="1" x14ac:dyDescent="0.15">
      <c r="A299" s="25" t="s">
        <v>1091</v>
      </c>
      <c r="B299" s="25" t="s">
        <v>902</v>
      </c>
      <c r="C299" s="25" t="s">
        <v>903</v>
      </c>
      <c r="D299" s="25" t="s">
        <v>904</v>
      </c>
      <c r="E299" s="26" t="s">
        <v>45</v>
      </c>
      <c r="F299" s="27" t="s">
        <v>45</v>
      </c>
      <c r="G299" s="28" t="s">
        <v>45</v>
      </c>
      <c r="H299" s="29"/>
      <c r="I299" s="29" t="s">
        <v>46</v>
      </c>
      <c r="J299" s="30">
        <v>10</v>
      </c>
      <c r="K299" s="31">
        <f>1849.5</f>
        <v>1849.5</v>
      </c>
      <c r="L299" s="32" t="s">
        <v>995</v>
      </c>
      <c r="M299" s="31">
        <f>2014.5</f>
        <v>2014.5</v>
      </c>
      <c r="N299" s="32" t="s">
        <v>1017</v>
      </c>
      <c r="O299" s="31">
        <f>1844.5</f>
        <v>1844.5</v>
      </c>
      <c r="P299" s="32" t="s">
        <v>999</v>
      </c>
      <c r="Q299" s="31">
        <f>1998.5</f>
        <v>1998.5</v>
      </c>
      <c r="R299" s="32" t="s">
        <v>791</v>
      </c>
      <c r="S299" s="33">
        <f>1905.1</f>
        <v>1905.1</v>
      </c>
      <c r="T299" s="30">
        <f>1796880</f>
        <v>1796880</v>
      </c>
      <c r="U299" s="30">
        <f>250010</f>
        <v>250010</v>
      </c>
      <c r="V299" s="30">
        <f>3480060125</f>
        <v>3480060125</v>
      </c>
      <c r="W299" s="30">
        <f>503523525</f>
        <v>503523525</v>
      </c>
      <c r="X299" s="34">
        <f>20</f>
        <v>20</v>
      </c>
    </row>
    <row r="300" spans="1:24" ht="13.5" customHeight="1" x14ac:dyDescent="0.15">
      <c r="A300" s="25" t="s">
        <v>1091</v>
      </c>
      <c r="B300" s="25" t="s">
        <v>905</v>
      </c>
      <c r="C300" s="25" t="s">
        <v>906</v>
      </c>
      <c r="D300" s="25" t="s">
        <v>907</v>
      </c>
      <c r="E300" s="26" t="s">
        <v>45</v>
      </c>
      <c r="F300" s="27" t="s">
        <v>45</v>
      </c>
      <c r="G300" s="28" t="s">
        <v>45</v>
      </c>
      <c r="H300" s="29"/>
      <c r="I300" s="29" t="s">
        <v>46</v>
      </c>
      <c r="J300" s="30">
        <v>10</v>
      </c>
      <c r="K300" s="31">
        <f>1928</f>
        <v>1928</v>
      </c>
      <c r="L300" s="32" t="s">
        <v>995</v>
      </c>
      <c r="M300" s="31">
        <f>1933</f>
        <v>1933</v>
      </c>
      <c r="N300" s="32" t="s">
        <v>995</v>
      </c>
      <c r="O300" s="31">
        <f>1845</f>
        <v>1845</v>
      </c>
      <c r="P300" s="32" t="s">
        <v>786</v>
      </c>
      <c r="Q300" s="31">
        <f>1859.5</f>
        <v>1859.5</v>
      </c>
      <c r="R300" s="32" t="s">
        <v>791</v>
      </c>
      <c r="S300" s="33">
        <f>1885.28</f>
        <v>1885.28</v>
      </c>
      <c r="T300" s="30">
        <f>568650</f>
        <v>568650</v>
      </c>
      <c r="U300" s="30">
        <f>160630</f>
        <v>160630</v>
      </c>
      <c r="V300" s="30">
        <f>1067862673</f>
        <v>1067862673</v>
      </c>
      <c r="W300" s="30">
        <f>300247788</f>
        <v>300247788</v>
      </c>
      <c r="X300" s="34">
        <f>20</f>
        <v>20</v>
      </c>
    </row>
    <row r="301" spans="1:24" ht="13.5" customHeight="1" x14ac:dyDescent="0.15">
      <c r="A301" s="25" t="s">
        <v>1091</v>
      </c>
      <c r="B301" s="25" t="s">
        <v>908</v>
      </c>
      <c r="C301" s="25" t="s">
        <v>909</v>
      </c>
      <c r="D301" s="25" t="s">
        <v>910</v>
      </c>
      <c r="E301" s="26" t="s">
        <v>45</v>
      </c>
      <c r="F301" s="27" t="s">
        <v>45</v>
      </c>
      <c r="G301" s="28" t="s">
        <v>45</v>
      </c>
      <c r="H301" s="29"/>
      <c r="I301" s="29" t="s">
        <v>46</v>
      </c>
      <c r="J301" s="30">
        <v>1</v>
      </c>
      <c r="K301" s="31">
        <f>1636</f>
        <v>1636</v>
      </c>
      <c r="L301" s="32" t="s">
        <v>995</v>
      </c>
      <c r="M301" s="31">
        <f>1699</f>
        <v>1699</v>
      </c>
      <c r="N301" s="32" t="s">
        <v>894</v>
      </c>
      <c r="O301" s="31">
        <f>1619</f>
        <v>1619</v>
      </c>
      <c r="P301" s="32" t="s">
        <v>995</v>
      </c>
      <c r="Q301" s="31">
        <f>1641</f>
        <v>1641</v>
      </c>
      <c r="R301" s="32" t="s">
        <v>791</v>
      </c>
      <c r="S301" s="33">
        <f>1657.35</f>
        <v>1657.35</v>
      </c>
      <c r="T301" s="30">
        <f>1553</f>
        <v>1553</v>
      </c>
      <c r="U301" s="30" t="str">
        <f>"－"</f>
        <v>－</v>
      </c>
      <c r="V301" s="30">
        <f>2566257</f>
        <v>2566257</v>
      </c>
      <c r="W301" s="30" t="str">
        <f>"－"</f>
        <v>－</v>
      </c>
      <c r="X301" s="34">
        <f>20</f>
        <v>20</v>
      </c>
    </row>
    <row r="302" spans="1:24" ht="13.5" customHeight="1" x14ac:dyDescent="0.15">
      <c r="A302" s="25" t="s">
        <v>1091</v>
      </c>
      <c r="B302" s="25" t="s">
        <v>911</v>
      </c>
      <c r="C302" s="25" t="s">
        <v>912</v>
      </c>
      <c r="D302" s="25" t="s">
        <v>913</v>
      </c>
      <c r="E302" s="26" t="s">
        <v>45</v>
      </c>
      <c r="F302" s="27" t="s">
        <v>45</v>
      </c>
      <c r="G302" s="28" t="s">
        <v>45</v>
      </c>
      <c r="H302" s="29"/>
      <c r="I302" s="29" t="s">
        <v>46</v>
      </c>
      <c r="J302" s="30">
        <v>1</v>
      </c>
      <c r="K302" s="31">
        <f>1620</f>
        <v>1620</v>
      </c>
      <c r="L302" s="32" t="s">
        <v>995</v>
      </c>
      <c r="M302" s="31">
        <f>1750</f>
        <v>1750</v>
      </c>
      <c r="N302" s="32" t="s">
        <v>793</v>
      </c>
      <c r="O302" s="31">
        <f>1606</f>
        <v>1606</v>
      </c>
      <c r="P302" s="32" t="s">
        <v>787</v>
      </c>
      <c r="Q302" s="31">
        <f>1704</f>
        <v>1704</v>
      </c>
      <c r="R302" s="32" t="s">
        <v>791</v>
      </c>
      <c r="S302" s="33">
        <f>1681.7</f>
        <v>1681.7</v>
      </c>
      <c r="T302" s="30">
        <f>18683</f>
        <v>18683</v>
      </c>
      <c r="U302" s="30" t="str">
        <f>"－"</f>
        <v>－</v>
      </c>
      <c r="V302" s="30">
        <f>31957342</f>
        <v>31957342</v>
      </c>
      <c r="W302" s="30" t="str">
        <f>"－"</f>
        <v>－</v>
      </c>
      <c r="X302" s="34">
        <f>20</f>
        <v>20</v>
      </c>
    </row>
    <row r="303" spans="1:24" ht="13.5" customHeight="1" x14ac:dyDescent="0.15">
      <c r="A303" s="25" t="s">
        <v>1091</v>
      </c>
      <c r="B303" s="25" t="s">
        <v>914</v>
      </c>
      <c r="C303" s="25" t="s">
        <v>915</v>
      </c>
      <c r="D303" s="25" t="s">
        <v>916</v>
      </c>
      <c r="E303" s="26" t="s">
        <v>45</v>
      </c>
      <c r="F303" s="27" t="s">
        <v>45</v>
      </c>
      <c r="G303" s="28" t="s">
        <v>45</v>
      </c>
      <c r="H303" s="29"/>
      <c r="I303" s="29" t="s">
        <v>46</v>
      </c>
      <c r="J303" s="30">
        <v>1</v>
      </c>
      <c r="K303" s="31">
        <f>3450</f>
        <v>3450</v>
      </c>
      <c r="L303" s="32" t="s">
        <v>995</v>
      </c>
      <c r="M303" s="31">
        <f>3595</f>
        <v>3595</v>
      </c>
      <c r="N303" s="32" t="s">
        <v>894</v>
      </c>
      <c r="O303" s="31">
        <f>3385</f>
        <v>3385</v>
      </c>
      <c r="P303" s="32" t="s">
        <v>787</v>
      </c>
      <c r="Q303" s="31">
        <f>3500</f>
        <v>3500</v>
      </c>
      <c r="R303" s="32" t="s">
        <v>791</v>
      </c>
      <c r="S303" s="33">
        <f>3500.5</f>
        <v>3500.5</v>
      </c>
      <c r="T303" s="30">
        <f>36534</f>
        <v>36534</v>
      </c>
      <c r="U303" s="30">
        <f>1</f>
        <v>1</v>
      </c>
      <c r="V303" s="30">
        <f>129329030</f>
        <v>129329030</v>
      </c>
      <c r="W303" s="30">
        <f>3450</f>
        <v>3450</v>
      </c>
      <c r="X303" s="34">
        <f>20</f>
        <v>20</v>
      </c>
    </row>
    <row r="304" spans="1:24" ht="13.5" customHeight="1" x14ac:dyDescent="0.15">
      <c r="A304" s="25" t="s">
        <v>1091</v>
      </c>
      <c r="B304" s="25" t="s">
        <v>917</v>
      </c>
      <c r="C304" s="25" t="s">
        <v>918</v>
      </c>
      <c r="D304" s="25" t="s">
        <v>919</v>
      </c>
      <c r="E304" s="26" t="s">
        <v>45</v>
      </c>
      <c r="F304" s="27" t="s">
        <v>45</v>
      </c>
      <c r="G304" s="28" t="s">
        <v>45</v>
      </c>
      <c r="H304" s="29"/>
      <c r="I304" s="29" t="s">
        <v>46</v>
      </c>
      <c r="J304" s="30">
        <v>10</v>
      </c>
      <c r="K304" s="31">
        <f>2083.5</f>
        <v>2083.5</v>
      </c>
      <c r="L304" s="32" t="s">
        <v>995</v>
      </c>
      <c r="M304" s="31">
        <f>2252</f>
        <v>2252</v>
      </c>
      <c r="N304" s="32" t="s">
        <v>894</v>
      </c>
      <c r="O304" s="31">
        <f>2083.5</f>
        <v>2083.5</v>
      </c>
      <c r="P304" s="32" t="s">
        <v>995</v>
      </c>
      <c r="Q304" s="31">
        <f>2217</f>
        <v>2217</v>
      </c>
      <c r="R304" s="32" t="s">
        <v>793</v>
      </c>
      <c r="S304" s="33">
        <f>2143.93</f>
        <v>2143.9299999999998</v>
      </c>
      <c r="T304" s="30">
        <f>280</f>
        <v>280</v>
      </c>
      <c r="U304" s="30" t="str">
        <f>"－"</f>
        <v>－</v>
      </c>
      <c r="V304" s="30">
        <f>594195</f>
        <v>594195</v>
      </c>
      <c r="W304" s="30" t="str">
        <f>"－"</f>
        <v>－</v>
      </c>
      <c r="X304" s="34">
        <f>7</f>
        <v>7</v>
      </c>
    </row>
    <row r="305" spans="1:24" ht="13.5" customHeight="1" x14ac:dyDescent="0.15">
      <c r="A305" s="25" t="s">
        <v>1091</v>
      </c>
      <c r="B305" s="25" t="s">
        <v>928</v>
      </c>
      <c r="C305" s="25" t="s">
        <v>929</v>
      </c>
      <c r="D305" s="25" t="s">
        <v>930</v>
      </c>
      <c r="E305" s="26" t="s">
        <v>45</v>
      </c>
      <c r="F305" s="27" t="s">
        <v>45</v>
      </c>
      <c r="G305" s="28" t="s">
        <v>45</v>
      </c>
      <c r="H305" s="29"/>
      <c r="I305" s="29" t="s">
        <v>46</v>
      </c>
      <c r="J305" s="30">
        <v>10</v>
      </c>
      <c r="K305" s="31">
        <f>210</f>
        <v>210</v>
      </c>
      <c r="L305" s="32" t="s">
        <v>995</v>
      </c>
      <c r="M305" s="31">
        <f>292</f>
        <v>292</v>
      </c>
      <c r="N305" s="32" t="s">
        <v>999</v>
      </c>
      <c r="O305" s="31">
        <f>200</f>
        <v>200</v>
      </c>
      <c r="P305" s="32" t="s">
        <v>1000</v>
      </c>
      <c r="Q305" s="31">
        <f>218</f>
        <v>218</v>
      </c>
      <c r="R305" s="32" t="s">
        <v>791</v>
      </c>
      <c r="S305" s="33">
        <f>217.42</f>
        <v>217.42</v>
      </c>
      <c r="T305" s="30">
        <f>134980</f>
        <v>134980</v>
      </c>
      <c r="U305" s="30" t="str">
        <f>"－"</f>
        <v>－</v>
      </c>
      <c r="V305" s="30">
        <f>31774039</f>
        <v>31774039</v>
      </c>
      <c r="W305" s="30" t="str">
        <f>"－"</f>
        <v>－</v>
      </c>
      <c r="X305" s="34">
        <f>19</f>
        <v>19</v>
      </c>
    </row>
    <row r="306" spans="1:24" ht="13.5" customHeight="1" x14ac:dyDescent="0.15">
      <c r="A306" s="25" t="s">
        <v>1091</v>
      </c>
      <c r="B306" s="25" t="s">
        <v>920</v>
      </c>
      <c r="C306" s="25" t="s">
        <v>921</v>
      </c>
      <c r="D306" s="25" t="s">
        <v>922</v>
      </c>
      <c r="E306" s="26" t="s">
        <v>45</v>
      </c>
      <c r="F306" s="27" t="s">
        <v>45</v>
      </c>
      <c r="G306" s="28" t="s">
        <v>45</v>
      </c>
      <c r="H306" s="29"/>
      <c r="I306" s="29" t="s">
        <v>46</v>
      </c>
      <c r="J306" s="30">
        <v>10</v>
      </c>
      <c r="K306" s="31">
        <f>189.5</f>
        <v>189.5</v>
      </c>
      <c r="L306" s="32" t="s">
        <v>995</v>
      </c>
      <c r="M306" s="31">
        <f>192</f>
        <v>192</v>
      </c>
      <c r="N306" s="32" t="s">
        <v>995</v>
      </c>
      <c r="O306" s="31">
        <f>185.7</f>
        <v>185.7</v>
      </c>
      <c r="P306" s="32" t="s">
        <v>789</v>
      </c>
      <c r="Q306" s="31">
        <f>188.9</f>
        <v>188.9</v>
      </c>
      <c r="R306" s="32" t="s">
        <v>791</v>
      </c>
      <c r="S306" s="33">
        <f>188.71</f>
        <v>188.71</v>
      </c>
      <c r="T306" s="30">
        <f>79200</f>
        <v>79200</v>
      </c>
      <c r="U306" s="30">
        <f>66830</f>
        <v>66830</v>
      </c>
      <c r="V306" s="30">
        <f>14774466</f>
        <v>14774466</v>
      </c>
      <c r="W306" s="30">
        <f>12448424</f>
        <v>12448424</v>
      </c>
      <c r="X306" s="34">
        <f>20</f>
        <v>20</v>
      </c>
    </row>
    <row r="307" spans="1:24" ht="13.5" customHeight="1" x14ac:dyDescent="0.15">
      <c r="A307" s="25" t="s">
        <v>1091</v>
      </c>
      <c r="B307" s="25" t="s">
        <v>923</v>
      </c>
      <c r="C307" s="25" t="s">
        <v>924</v>
      </c>
      <c r="D307" s="25" t="s">
        <v>925</v>
      </c>
      <c r="E307" s="26" t="s">
        <v>45</v>
      </c>
      <c r="F307" s="27" t="s">
        <v>45</v>
      </c>
      <c r="G307" s="28" t="s">
        <v>45</v>
      </c>
      <c r="H307" s="29"/>
      <c r="I307" s="29" t="s">
        <v>46</v>
      </c>
      <c r="J307" s="30">
        <v>10</v>
      </c>
      <c r="K307" s="31">
        <f>709.8</f>
        <v>709.8</v>
      </c>
      <c r="L307" s="32" t="s">
        <v>999</v>
      </c>
      <c r="M307" s="31">
        <f>712.7</f>
        <v>712.7</v>
      </c>
      <c r="N307" s="32" t="s">
        <v>1004</v>
      </c>
      <c r="O307" s="31">
        <f>692.5</f>
        <v>692.5</v>
      </c>
      <c r="P307" s="32" t="s">
        <v>793</v>
      </c>
      <c r="Q307" s="31">
        <f>701.4</f>
        <v>701.4</v>
      </c>
      <c r="R307" s="32" t="s">
        <v>791</v>
      </c>
      <c r="S307" s="33">
        <f>702.43</f>
        <v>702.43</v>
      </c>
      <c r="T307" s="30">
        <f>900</f>
        <v>900</v>
      </c>
      <c r="U307" s="30" t="str">
        <f>"－"</f>
        <v>－</v>
      </c>
      <c r="V307" s="30">
        <f>631407</f>
        <v>631407</v>
      </c>
      <c r="W307" s="30" t="str">
        <f>"－"</f>
        <v>－</v>
      </c>
      <c r="X307" s="34">
        <f>15</f>
        <v>15</v>
      </c>
    </row>
    <row r="308" spans="1:24" ht="13.5" customHeight="1" x14ac:dyDescent="0.15">
      <c r="A308" s="25" t="s">
        <v>1091</v>
      </c>
      <c r="B308" s="25" t="s">
        <v>931</v>
      </c>
      <c r="C308" s="25" t="s">
        <v>932</v>
      </c>
      <c r="D308" s="25" t="s">
        <v>933</v>
      </c>
      <c r="E308" s="26" t="s">
        <v>45</v>
      </c>
      <c r="F308" s="27" t="s">
        <v>45</v>
      </c>
      <c r="G308" s="28" t="s">
        <v>45</v>
      </c>
      <c r="H308" s="29"/>
      <c r="I308" s="29" t="s">
        <v>46</v>
      </c>
      <c r="J308" s="30">
        <v>1</v>
      </c>
      <c r="K308" s="31">
        <f>1082</f>
        <v>1082</v>
      </c>
      <c r="L308" s="32" t="s">
        <v>995</v>
      </c>
      <c r="M308" s="31">
        <f>1210</f>
        <v>1210</v>
      </c>
      <c r="N308" s="32" t="s">
        <v>1017</v>
      </c>
      <c r="O308" s="31">
        <f>1058</f>
        <v>1058</v>
      </c>
      <c r="P308" s="32" t="s">
        <v>787</v>
      </c>
      <c r="Q308" s="31">
        <f>1177</f>
        <v>1177</v>
      </c>
      <c r="R308" s="32" t="s">
        <v>791</v>
      </c>
      <c r="S308" s="33">
        <f>1139.15</f>
        <v>1139.1500000000001</v>
      </c>
      <c r="T308" s="30">
        <f>207059</f>
        <v>207059</v>
      </c>
      <c r="U308" s="30" t="str">
        <f>"－"</f>
        <v>－</v>
      </c>
      <c r="V308" s="30">
        <f>238542963</f>
        <v>238542963</v>
      </c>
      <c r="W308" s="30" t="str">
        <f>"－"</f>
        <v>－</v>
      </c>
      <c r="X308" s="34">
        <f>20</f>
        <v>20</v>
      </c>
    </row>
    <row r="309" spans="1:24" ht="13.5" customHeight="1" x14ac:dyDescent="0.15">
      <c r="A309" s="25" t="s">
        <v>1091</v>
      </c>
      <c r="B309" s="25" t="s">
        <v>934</v>
      </c>
      <c r="C309" s="25" t="s">
        <v>935</v>
      </c>
      <c r="D309" s="25" t="s">
        <v>936</v>
      </c>
      <c r="E309" s="26" t="s">
        <v>45</v>
      </c>
      <c r="F309" s="27" t="s">
        <v>45</v>
      </c>
      <c r="G309" s="28" t="s">
        <v>45</v>
      </c>
      <c r="H309" s="29"/>
      <c r="I309" s="29" t="s">
        <v>46</v>
      </c>
      <c r="J309" s="30">
        <v>1</v>
      </c>
      <c r="K309" s="31">
        <f>969</f>
        <v>969</v>
      </c>
      <c r="L309" s="32" t="s">
        <v>995</v>
      </c>
      <c r="M309" s="31">
        <f>981</f>
        <v>981</v>
      </c>
      <c r="N309" s="32" t="s">
        <v>792</v>
      </c>
      <c r="O309" s="31">
        <f>948</f>
        <v>948</v>
      </c>
      <c r="P309" s="32" t="s">
        <v>789</v>
      </c>
      <c r="Q309" s="31">
        <f>961</f>
        <v>961</v>
      </c>
      <c r="R309" s="32" t="s">
        <v>791</v>
      </c>
      <c r="S309" s="33">
        <f>962.15</f>
        <v>962.15</v>
      </c>
      <c r="T309" s="30">
        <f>1558015</f>
        <v>1558015</v>
      </c>
      <c r="U309" s="30">
        <f>1553500</f>
        <v>1553500</v>
      </c>
      <c r="V309" s="30">
        <f>1511986629</f>
        <v>1511986629</v>
      </c>
      <c r="W309" s="30">
        <f>1507647833</f>
        <v>1507647833</v>
      </c>
      <c r="X309" s="34">
        <f>20</f>
        <v>20</v>
      </c>
    </row>
    <row r="310" spans="1:24" ht="13.5" customHeight="1" x14ac:dyDescent="0.15">
      <c r="A310" s="25" t="s">
        <v>1091</v>
      </c>
      <c r="B310" s="25" t="s">
        <v>937</v>
      </c>
      <c r="C310" s="25" t="s">
        <v>938</v>
      </c>
      <c r="D310" s="25" t="s">
        <v>939</v>
      </c>
      <c r="E310" s="26" t="s">
        <v>45</v>
      </c>
      <c r="F310" s="27" t="s">
        <v>45</v>
      </c>
      <c r="G310" s="28" t="s">
        <v>45</v>
      </c>
      <c r="H310" s="29"/>
      <c r="I310" s="29" t="s">
        <v>46</v>
      </c>
      <c r="J310" s="30">
        <v>10</v>
      </c>
      <c r="K310" s="31">
        <f>757.8</f>
        <v>757.8</v>
      </c>
      <c r="L310" s="32" t="s">
        <v>995</v>
      </c>
      <c r="M310" s="31">
        <f>764.5</f>
        <v>764.5</v>
      </c>
      <c r="N310" s="32" t="s">
        <v>1000</v>
      </c>
      <c r="O310" s="31">
        <f>740.1</f>
        <v>740.1</v>
      </c>
      <c r="P310" s="32" t="s">
        <v>1017</v>
      </c>
      <c r="Q310" s="31">
        <f>747</f>
        <v>747</v>
      </c>
      <c r="R310" s="32" t="s">
        <v>791</v>
      </c>
      <c r="S310" s="33">
        <f>754.03</f>
        <v>754.03</v>
      </c>
      <c r="T310" s="30">
        <f>339260</f>
        <v>339260</v>
      </c>
      <c r="U310" s="30" t="str">
        <f>"－"</f>
        <v>－</v>
      </c>
      <c r="V310" s="30">
        <f>255550407</f>
        <v>255550407</v>
      </c>
      <c r="W310" s="30" t="str">
        <f>"－"</f>
        <v>－</v>
      </c>
      <c r="X310" s="34">
        <f>20</f>
        <v>20</v>
      </c>
    </row>
    <row r="311" spans="1:24" ht="13.5" customHeight="1" x14ac:dyDescent="0.15">
      <c r="A311" s="25" t="s">
        <v>1091</v>
      </c>
      <c r="B311" s="25" t="s">
        <v>940</v>
      </c>
      <c r="C311" s="25" t="s">
        <v>941</v>
      </c>
      <c r="D311" s="25" t="s">
        <v>942</v>
      </c>
      <c r="E311" s="26" t="s">
        <v>45</v>
      </c>
      <c r="F311" s="27" t="s">
        <v>45</v>
      </c>
      <c r="G311" s="28" t="s">
        <v>45</v>
      </c>
      <c r="H311" s="29"/>
      <c r="I311" s="29" t="s">
        <v>46</v>
      </c>
      <c r="J311" s="30">
        <v>10</v>
      </c>
      <c r="K311" s="31">
        <f>720</f>
        <v>720</v>
      </c>
      <c r="L311" s="32" t="s">
        <v>995</v>
      </c>
      <c r="M311" s="31">
        <f>724.1</f>
        <v>724.1</v>
      </c>
      <c r="N311" s="32" t="s">
        <v>794</v>
      </c>
      <c r="O311" s="31">
        <f>705</f>
        <v>705</v>
      </c>
      <c r="P311" s="32" t="s">
        <v>786</v>
      </c>
      <c r="Q311" s="31">
        <f>715.9</f>
        <v>715.9</v>
      </c>
      <c r="R311" s="32" t="s">
        <v>791</v>
      </c>
      <c r="S311" s="33">
        <f>713.35</f>
        <v>713.35</v>
      </c>
      <c r="T311" s="30">
        <f>1372070</f>
        <v>1372070</v>
      </c>
      <c r="U311" s="30">
        <f>1178270</f>
        <v>1178270</v>
      </c>
      <c r="V311" s="30">
        <f>973973845</f>
        <v>973973845</v>
      </c>
      <c r="W311" s="30">
        <f>836570448</f>
        <v>836570448</v>
      </c>
      <c r="X311" s="34">
        <f>19</f>
        <v>19</v>
      </c>
    </row>
    <row r="312" spans="1:24" ht="13.5" customHeight="1" x14ac:dyDescent="0.15">
      <c r="A312" s="25" t="s">
        <v>1091</v>
      </c>
      <c r="B312" s="25" t="s">
        <v>943</v>
      </c>
      <c r="C312" s="25" t="s">
        <v>944</v>
      </c>
      <c r="D312" s="25" t="s">
        <v>945</v>
      </c>
      <c r="E312" s="26" t="s">
        <v>45</v>
      </c>
      <c r="F312" s="27" t="s">
        <v>45</v>
      </c>
      <c r="G312" s="28" t="s">
        <v>45</v>
      </c>
      <c r="H312" s="29"/>
      <c r="I312" s="29" t="s">
        <v>46</v>
      </c>
      <c r="J312" s="30">
        <v>1</v>
      </c>
      <c r="K312" s="31">
        <f>1065</f>
        <v>1065</v>
      </c>
      <c r="L312" s="32" t="s">
        <v>995</v>
      </c>
      <c r="M312" s="31">
        <f>1108</f>
        <v>1108</v>
      </c>
      <c r="N312" s="32" t="s">
        <v>894</v>
      </c>
      <c r="O312" s="31">
        <f>1063</f>
        <v>1063</v>
      </c>
      <c r="P312" s="32" t="s">
        <v>1000</v>
      </c>
      <c r="Q312" s="31">
        <f>1087</f>
        <v>1087</v>
      </c>
      <c r="R312" s="32" t="s">
        <v>791</v>
      </c>
      <c r="S312" s="33">
        <f>1078.1</f>
        <v>1078.0999999999999</v>
      </c>
      <c r="T312" s="30">
        <f>963922</f>
        <v>963922</v>
      </c>
      <c r="U312" s="30">
        <f>937400</f>
        <v>937400</v>
      </c>
      <c r="V312" s="30">
        <f>1030144281</f>
        <v>1030144281</v>
      </c>
      <c r="W312" s="30">
        <f>1001753451</f>
        <v>1001753451</v>
      </c>
      <c r="X312" s="34">
        <f>20</f>
        <v>20</v>
      </c>
    </row>
    <row r="313" spans="1:24" ht="13.5" customHeight="1" x14ac:dyDescent="0.15">
      <c r="A313" s="25" t="s">
        <v>1091</v>
      </c>
      <c r="B313" s="25" t="s">
        <v>952</v>
      </c>
      <c r="C313" s="25" t="s">
        <v>953</v>
      </c>
      <c r="D313" s="25" t="s">
        <v>954</v>
      </c>
      <c r="E313" s="26" t="s">
        <v>45</v>
      </c>
      <c r="F313" s="27" t="s">
        <v>45</v>
      </c>
      <c r="G313" s="28" t="s">
        <v>45</v>
      </c>
      <c r="H313" s="29"/>
      <c r="I313" s="29" t="s">
        <v>46</v>
      </c>
      <c r="J313" s="30">
        <v>10</v>
      </c>
      <c r="K313" s="31">
        <f>2429</f>
        <v>2429</v>
      </c>
      <c r="L313" s="32" t="s">
        <v>995</v>
      </c>
      <c r="M313" s="31">
        <f>2504.5</f>
        <v>2504.5</v>
      </c>
      <c r="N313" s="32" t="s">
        <v>1001</v>
      </c>
      <c r="O313" s="31">
        <f>2384</f>
        <v>2384</v>
      </c>
      <c r="P313" s="32" t="s">
        <v>789</v>
      </c>
      <c r="Q313" s="31">
        <f>2393</f>
        <v>2393</v>
      </c>
      <c r="R313" s="32" t="s">
        <v>791</v>
      </c>
      <c r="S313" s="33">
        <f>2422.33</f>
        <v>2422.33</v>
      </c>
      <c r="T313" s="30">
        <f>207040</f>
        <v>207040</v>
      </c>
      <c r="U313" s="30" t="str">
        <f>"－"</f>
        <v>－</v>
      </c>
      <c r="V313" s="30">
        <f>502309810</f>
        <v>502309810</v>
      </c>
      <c r="W313" s="30" t="str">
        <f>"－"</f>
        <v>－</v>
      </c>
      <c r="X313" s="34">
        <f>20</f>
        <v>20</v>
      </c>
    </row>
    <row r="314" spans="1:24" ht="13.5" customHeight="1" x14ac:dyDescent="0.15">
      <c r="A314" s="25" t="s">
        <v>1091</v>
      </c>
      <c r="B314" s="25" t="s">
        <v>955</v>
      </c>
      <c r="C314" s="25" t="s">
        <v>956</v>
      </c>
      <c r="D314" s="25" t="s">
        <v>957</v>
      </c>
      <c r="E314" s="26" t="s">
        <v>45</v>
      </c>
      <c r="F314" s="27" t="s">
        <v>45</v>
      </c>
      <c r="G314" s="28" t="s">
        <v>45</v>
      </c>
      <c r="H314" s="29"/>
      <c r="I314" s="29" t="s">
        <v>46</v>
      </c>
      <c r="J314" s="30">
        <v>10</v>
      </c>
      <c r="K314" s="31">
        <f>2424.5</f>
        <v>2424.5</v>
      </c>
      <c r="L314" s="32" t="s">
        <v>995</v>
      </c>
      <c r="M314" s="31">
        <f>2472.5</f>
        <v>2472.5</v>
      </c>
      <c r="N314" s="32" t="s">
        <v>999</v>
      </c>
      <c r="O314" s="31">
        <f>2362.5</f>
        <v>2362.5</v>
      </c>
      <c r="P314" s="32" t="s">
        <v>786</v>
      </c>
      <c r="Q314" s="31">
        <f>2365.5</f>
        <v>2365.5</v>
      </c>
      <c r="R314" s="32" t="s">
        <v>791</v>
      </c>
      <c r="S314" s="33">
        <f>2401.78</f>
        <v>2401.7800000000002</v>
      </c>
      <c r="T314" s="30">
        <f>636710</f>
        <v>636710</v>
      </c>
      <c r="U314" s="30">
        <f>403200</f>
        <v>403200</v>
      </c>
      <c r="V314" s="30">
        <f>1531059618</f>
        <v>1531059618</v>
      </c>
      <c r="W314" s="30">
        <f>965797548</f>
        <v>965797548</v>
      </c>
      <c r="X314" s="34">
        <f>18</f>
        <v>18</v>
      </c>
    </row>
    <row r="315" spans="1:24" ht="13.5" customHeight="1" x14ac:dyDescent="0.15">
      <c r="A315" s="25" t="s">
        <v>1091</v>
      </c>
      <c r="B315" s="25" t="s">
        <v>946</v>
      </c>
      <c r="C315" s="25" t="s">
        <v>947</v>
      </c>
      <c r="D315" s="25" t="s">
        <v>948</v>
      </c>
      <c r="E315" s="26" t="s">
        <v>45</v>
      </c>
      <c r="F315" s="27" t="s">
        <v>45</v>
      </c>
      <c r="G315" s="28" t="s">
        <v>45</v>
      </c>
      <c r="H315" s="29"/>
      <c r="I315" s="29" t="s">
        <v>46</v>
      </c>
      <c r="J315" s="30">
        <v>10</v>
      </c>
      <c r="K315" s="31">
        <f>4971</f>
        <v>4971</v>
      </c>
      <c r="L315" s="32" t="s">
        <v>995</v>
      </c>
      <c r="M315" s="31">
        <f>5007</f>
        <v>5007</v>
      </c>
      <c r="N315" s="32" t="s">
        <v>999</v>
      </c>
      <c r="O315" s="31">
        <f>4900</f>
        <v>4900</v>
      </c>
      <c r="P315" s="32" t="s">
        <v>893</v>
      </c>
      <c r="Q315" s="31">
        <f>4900</f>
        <v>4900</v>
      </c>
      <c r="R315" s="32" t="s">
        <v>893</v>
      </c>
      <c r="S315" s="33">
        <f>4936.29</f>
        <v>4936.29</v>
      </c>
      <c r="T315" s="30">
        <f>114680</f>
        <v>114680</v>
      </c>
      <c r="U315" s="30">
        <f>105000</f>
        <v>105000</v>
      </c>
      <c r="V315" s="30">
        <f>569342460</f>
        <v>569342460</v>
      </c>
      <c r="W315" s="30">
        <f>520953700</f>
        <v>520953700</v>
      </c>
      <c r="X315" s="34">
        <f>7</f>
        <v>7</v>
      </c>
    </row>
    <row r="316" spans="1:24" ht="13.5" customHeight="1" x14ac:dyDescent="0.15">
      <c r="A316" s="25" t="s">
        <v>1091</v>
      </c>
      <c r="B316" s="25" t="s">
        <v>949</v>
      </c>
      <c r="C316" s="25" t="s">
        <v>950</v>
      </c>
      <c r="D316" s="25" t="s">
        <v>951</v>
      </c>
      <c r="E316" s="26" t="s">
        <v>45</v>
      </c>
      <c r="F316" s="27" t="s">
        <v>45</v>
      </c>
      <c r="G316" s="28" t="s">
        <v>45</v>
      </c>
      <c r="H316" s="29"/>
      <c r="I316" s="29" t="s">
        <v>46</v>
      </c>
      <c r="J316" s="30">
        <v>10</v>
      </c>
      <c r="K316" s="31">
        <f>4426</f>
        <v>4426</v>
      </c>
      <c r="L316" s="32" t="s">
        <v>999</v>
      </c>
      <c r="M316" s="31">
        <f>4429</f>
        <v>4429</v>
      </c>
      <c r="N316" s="32" t="s">
        <v>999</v>
      </c>
      <c r="O316" s="31">
        <f>4389</f>
        <v>4389</v>
      </c>
      <c r="P316" s="32" t="s">
        <v>893</v>
      </c>
      <c r="Q316" s="31">
        <f>4389</f>
        <v>4389</v>
      </c>
      <c r="R316" s="32" t="s">
        <v>893</v>
      </c>
      <c r="S316" s="33">
        <f>4409</f>
        <v>4409</v>
      </c>
      <c r="T316" s="30">
        <f>8160</f>
        <v>8160</v>
      </c>
      <c r="U316" s="30" t="str">
        <f>"－"</f>
        <v>－</v>
      </c>
      <c r="V316" s="30">
        <f>36127200</f>
        <v>36127200</v>
      </c>
      <c r="W316" s="30" t="str">
        <f>"－"</f>
        <v>－</v>
      </c>
      <c r="X316" s="34">
        <f>5</f>
        <v>5</v>
      </c>
    </row>
    <row r="317" spans="1:24" ht="13.5" customHeight="1" x14ac:dyDescent="0.15">
      <c r="A317" s="25" t="s">
        <v>1091</v>
      </c>
      <c r="B317" s="25" t="s">
        <v>958</v>
      </c>
      <c r="C317" s="25" t="s">
        <v>959</v>
      </c>
      <c r="D317" s="25" t="s">
        <v>960</v>
      </c>
      <c r="E317" s="26" t="s">
        <v>45</v>
      </c>
      <c r="F317" s="27" t="s">
        <v>45</v>
      </c>
      <c r="G317" s="28" t="s">
        <v>45</v>
      </c>
      <c r="H317" s="29"/>
      <c r="I317" s="29" t="s">
        <v>46</v>
      </c>
      <c r="J317" s="30">
        <v>10</v>
      </c>
      <c r="K317" s="31">
        <f>1972.5</f>
        <v>1972.5</v>
      </c>
      <c r="L317" s="32" t="s">
        <v>1000</v>
      </c>
      <c r="M317" s="31">
        <f>2006.5</f>
        <v>2006.5</v>
      </c>
      <c r="N317" s="32" t="s">
        <v>788</v>
      </c>
      <c r="O317" s="31">
        <f>1939.5</f>
        <v>1939.5</v>
      </c>
      <c r="P317" s="32" t="s">
        <v>789</v>
      </c>
      <c r="Q317" s="31">
        <f>1952.5</f>
        <v>1952.5</v>
      </c>
      <c r="R317" s="32" t="s">
        <v>791</v>
      </c>
      <c r="S317" s="33">
        <f>1962.55</f>
        <v>1962.55</v>
      </c>
      <c r="T317" s="30">
        <f>1140</f>
        <v>1140</v>
      </c>
      <c r="U317" s="30" t="str">
        <f>"－"</f>
        <v>－</v>
      </c>
      <c r="V317" s="30">
        <f>2240715</f>
        <v>2240715</v>
      </c>
      <c r="W317" s="30" t="str">
        <f>"－"</f>
        <v>－</v>
      </c>
      <c r="X317" s="34">
        <f>10</f>
        <v>10</v>
      </c>
    </row>
    <row r="318" spans="1:24" ht="13.5" customHeight="1" x14ac:dyDescent="0.15">
      <c r="A318" s="25" t="s">
        <v>1091</v>
      </c>
      <c r="B318" s="25" t="s">
        <v>961</v>
      </c>
      <c r="C318" s="25" t="s">
        <v>962</v>
      </c>
      <c r="D318" s="25" t="s">
        <v>963</v>
      </c>
      <c r="E318" s="26" t="s">
        <v>45</v>
      </c>
      <c r="F318" s="27" t="s">
        <v>45</v>
      </c>
      <c r="G318" s="28" t="s">
        <v>45</v>
      </c>
      <c r="H318" s="29"/>
      <c r="I318" s="29" t="s">
        <v>46</v>
      </c>
      <c r="J318" s="30">
        <v>1</v>
      </c>
      <c r="K318" s="31">
        <f>1100</f>
        <v>1100</v>
      </c>
      <c r="L318" s="32" t="s">
        <v>995</v>
      </c>
      <c r="M318" s="31">
        <f>1141</f>
        <v>1141</v>
      </c>
      <c r="N318" s="32" t="s">
        <v>793</v>
      </c>
      <c r="O318" s="31">
        <f>1100</f>
        <v>1100</v>
      </c>
      <c r="P318" s="32" t="s">
        <v>995</v>
      </c>
      <c r="Q318" s="31">
        <f>1115</f>
        <v>1115</v>
      </c>
      <c r="R318" s="32" t="s">
        <v>791</v>
      </c>
      <c r="S318" s="33">
        <f>1118.8</f>
        <v>1118.8</v>
      </c>
      <c r="T318" s="30">
        <f>3952</f>
        <v>3952</v>
      </c>
      <c r="U318" s="30" t="str">
        <f>"－"</f>
        <v>－</v>
      </c>
      <c r="V318" s="30">
        <f>4427195</f>
        <v>4427195</v>
      </c>
      <c r="W318" s="30" t="str">
        <f>"－"</f>
        <v>－</v>
      </c>
      <c r="X318" s="34">
        <f>20</f>
        <v>20</v>
      </c>
    </row>
    <row r="319" spans="1:24" ht="13.5" customHeight="1" x14ac:dyDescent="0.15">
      <c r="A319" s="25" t="s">
        <v>1091</v>
      </c>
      <c r="B319" s="25" t="s">
        <v>964</v>
      </c>
      <c r="C319" s="25" t="s">
        <v>965</v>
      </c>
      <c r="D319" s="25" t="s">
        <v>966</v>
      </c>
      <c r="E319" s="26" t="s">
        <v>45</v>
      </c>
      <c r="F319" s="27" t="s">
        <v>45</v>
      </c>
      <c r="G319" s="28" t="s">
        <v>45</v>
      </c>
      <c r="H319" s="29"/>
      <c r="I319" s="29" t="s">
        <v>46</v>
      </c>
      <c r="J319" s="30">
        <v>1</v>
      </c>
      <c r="K319" s="31">
        <f>1018</f>
        <v>1018</v>
      </c>
      <c r="L319" s="32" t="s">
        <v>995</v>
      </c>
      <c r="M319" s="31">
        <f>1078</f>
        <v>1078</v>
      </c>
      <c r="N319" s="32" t="s">
        <v>1017</v>
      </c>
      <c r="O319" s="31">
        <f>1006</f>
        <v>1006</v>
      </c>
      <c r="P319" s="32" t="s">
        <v>794</v>
      </c>
      <c r="Q319" s="31">
        <f>1067</f>
        <v>1067</v>
      </c>
      <c r="R319" s="32" t="s">
        <v>791</v>
      </c>
      <c r="S319" s="33">
        <f>1037.85</f>
        <v>1037.8499999999999</v>
      </c>
      <c r="T319" s="30">
        <f>523179</f>
        <v>523179</v>
      </c>
      <c r="U319" s="30">
        <f>3</f>
        <v>3</v>
      </c>
      <c r="V319" s="30">
        <f>542227839</f>
        <v>542227839</v>
      </c>
      <c r="W319" s="30">
        <f>3216</f>
        <v>3216</v>
      </c>
      <c r="X319" s="34">
        <f>20</f>
        <v>20</v>
      </c>
    </row>
    <row r="320" spans="1:24" ht="13.5" customHeight="1" x14ac:dyDescent="0.15">
      <c r="A320" s="25" t="s">
        <v>1091</v>
      </c>
      <c r="B320" s="25" t="s">
        <v>967</v>
      </c>
      <c r="C320" s="25" t="s">
        <v>968</v>
      </c>
      <c r="D320" s="25" t="s">
        <v>969</v>
      </c>
      <c r="E320" s="26" t="s">
        <v>45</v>
      </c>
      <c r="F320" s="27" t="s">
        <v>45</v>
      </c>
      <c r="G320" s="28" t="s">
        <v>45</v>
      </c>
      <c r="H320" s="29"/>
      <c r="I320" s="29" t="s">
        <v>46</v>
      </c>
      <c r="J320" s="30">
        <v>1</v>
      </c>
      <c r="K320" s="31">
        <f>912</f>
        <v>912</v>
      </c>
      <c r="L320" s="32" t="s">
        <v>995</v>
      </c>
      <c r="M320" s="31">
        <f>916</f>
        <v>916</v>
      </c>
      <c r="N320" s="32" t="s">
        <v>995</v>
      </c>
      <c r="O320" s="31">
        <f>857</f>
        <v>857</v>
      </c>
      <c r="P320" s="32" t="s">
        <v>792</v>
      </c>
      <c r="Q320" s="31">
        <f>897</f>
        <v>897</v>
      </c>
      <c r="R320" s="32" t="s">
        <v>791</v>
      </c>
      <c r="S320" s="33">
        <f>883.7</f>
        <v>883.7</v>
      </c>
      <c r="T320" s="30">
        <f>2301137</f>
        <v>2301137</v>
      </c>
      <c r="U320" s="30">
        <f>12</f>
        <v>12</v>
      </c>
      <c r="V320" s="30">
        <f>2017664857</f>
        <v>2017664857</v>
      </c>
      <c r="W320" s="30">
        <f>9693</f>
        <v>9693</v>
      </c>
      <c r="X320" s="34">
        <f>20</f>
        <v>20</v>
      </c>
    </row>
    <row r="321" spans="1:24" ht="13.5" customHeight="1" x14ac:dyDescent="0.15">
      <c r="A321" s="25" t="s">
        <v>1091</v>
      </c>
      <c r="B321" s="25" t="s">
        <v>974</v>
      </c>
      <c r="C321" s="25" t="s">
        <v>975</v>
      </c>
      <c r="D321" s="25" t="s">
        <v>976</v>
      </c>
      <c r="E321" s="26" t="s">
        <v>45</v>
      </c>
      <c r="F321" s="27" t="s">
        <v>45</v>
      </c>
      <c r="G321" s="28" t="s">
        <v>45</v>
      </c>
      <c r="H321" s="29"/>
      <c r="I321" s="29" t="s">
        <v>46</v>
      </c>
      <c r="J321" s="30">
        <v>1</v>
      </c>
      <c r="K321" s="31">
        <f>965</f>
        <v>965</v>
      </c>
      <c r="L321" s="32" t="s">
        <v>995</v>
      </c>
      <c r="M321" s="31">
        <f>1060</f>
        <v>1060</v>
      </c>
      <c r="N321" s="32" t="s">
        <v>1017</v>
      </c>
      <c r="O321" s="31">
        <f>957</f>
        <v>957</v>
      </c>
      <c r="P321" s="32" t="s">
        <v>995</v>
      </c>
      <c r="Q321" s="31">
        <f>1042</f>
        <v>1042</v>
      </c>
      <c r="R321" s="32" t="s">
        <v>791</v>
      </c>
      <c r="S321" s="33">
        <f>1002.55</f>
        <v>1002.55</v>
      </c>
      <c r="T321" s="30">
        <f>45716</f>
        <v>45716</v>
      </c>
      <c r="U321" s="30" t="str">
        <f>"－"</f>
        <v>－</v>
      </c>
      <c r="V321" s="30">
        <f>46618508</f>
        <v>46618508</v>
      </c>
      <c r="W321" s="30" t="str">
        <f>"－"</f>
        <v>－</v>
      </c>
      <c r="X321" s="34">
        <f>20</f>
        <v>20</v>
      </c>
    </row>
    <row r="322" spans="1:24" ht="13.5" customHeight="1" x14ac:dyDescent="0.15">
      <c r="A322" s="25" t="s">
        <v>1091</v>
      </c>
      <c r="B322" s="25" t="s">
        <v>977</v>
      </c>
      <c r="C322" s="25" t="s">
        <v>978</v>
      </c>
      <c r="D322" s="25" t="s">
        <v>979</v>
      </c>
      <c r="E322" s="26" t="s">
        <v>45</v>
      </c>
      <c r="F322" s="27" t="s">
        <v>45</v>
      </c>
      <c r="G322" s="28" t="s">
        <v>45</v>
      </c>
      <c r="H322" s="29"/>
      <c r="I322" s="29" t="s">
        <v>46</v>
      </c>
      <c r="J322" s="30">
        <v>1</v>
      </c>
      <c r="K322" s="31">
        <f>952</f>
        <v>952</v>
      </c>
      <c r="L322" s="32" t="s">
        <v>995</v>
      </c>
      <c r="M322" s="31">
        <f>988</f>
        <v>988</v>
      </c>
      <c r="N322" s="32" t="s">
        <v>1017</v>
      </c>
      <c r="O322" s="31">
        <f>936</f>
        <v>936</v>
      </c>
      <c r="P322" s="32" t="s">
        <v>794</v>
      </c>
      <c r="Q322" s="31">
        <f>978</f>
        <v>978</v>
      </c>
      <c r="R322" s="32" t="s">
        <v>791</v>
      </c>
      <c r="S322" s="33">
        <f>961.1</f>
        <v>961.1</v>
      </c>
      <c r="T322" s="30">
        <f>601423</f>
        <v>601423</v>
      </c>
      <c r="U322" s="30">
        <f>10</f>
        <v>10</v>
      </c>
      <c r="V322" s="30">
        <f>579040863</f>
        <v>579040863</v>
      </c>
      <c r="W322" s="30">
        <f>10120</f>
        <v>10120</v>
      </c>
      <c r="X322" s="34">
        <f>20</f>
        <v>20</v>
      </c>
    </row>
    <row r="323" spans="1:24" ht="13.5" customHeight="1" x14ac:dyDescent="0.15">
      <c r="A323" s="25" t="s">
        <v>1091</v>
      </c>
      <c r="B323" s="25" t="s">
        <v>980</v>
      </c>
      <c r="C323" s="25" t="s">
        <v>981</v>
      </c>
      <c r="D323" s="25" t="s">
        <v>1089</v>
      </c>
      <c r="E323" s="26" t="s">
        <v>45</v>
      </c>
      <c r="F323" s="27" t="s">
        <v>45</v>
      </c>
      <c r="G323" s="28" t="s">
        <v>45</v>
      </c>
      <c r="H323" s="29"/>
      <c r="I323" s="29" t="s">
        <v>46</v>
      </c>
      <c r="J323" s="30">
        <v>1</v>
      </c>
      <c r="K323" s="31">
        <f>23630</f>
        <v>23630</v>
      </c>
      <c r="L323" s="32" t="s">
        <v>995</v>
      </c>
      <c r="M323" s="31">
        <f>27810</f>
        <v>27810</v>
      </c>
      <c r="N323" s="32" t="s">
        <v>1017</v>
      </c>
      <c r="O323" s="31">
        <f>23485</f>
        <v>23485</v>
      </c>
      <c r="P323" s="32" t="s">
        <v>875</v>
      </c>
      <c r="Q323" s="31">
        <f>27435</f>
        <v>27435</v>
      </c>
      <c r="R323" s="32" t="s">
        <v>791</v>
      </c>
      <c r="S323" s="33">
        <f>25035.75</f>
        <v>25035.75</v>
      </c>
      <c r="T323" s="30">
        <f>338958</f>
        <v>338958</v>
      </c>
      <c r="U323" s="30">
        <f>4</f>
        <v>4</v>
      </c>
      <c r="V323" s="30">
        <f>8665421965</f>
        <v>8665421965</v>
      </c>
      <c r="W323" s="30">
        <f>95100</f>
        <v>95100</v>
      </c>
      <c r="X323" s="34">
        <f>20</f>
        <v>20</v>
      </c>
    </row>
    <row r="324" spans="1:24" ht="13.5" customHeight="1" x14ac:dyDescent="0.15">
      <c r="A324" s="25" t="s">
        <v>1091</v>
      </c>
      <c r="B324" s="25" t="s">
        <v>983</v>
      </c>
      <c r="C324" s="25" t="s">
        <v>984</v>
      </c>
      <c r="D324" s="25" t="s">
        <v>1090</v>
      </c>
      <c r="E324" s="26" t="s">
        <v>45</v>
      </c>
      <c r="F324" s="27" t="s">
        <v>45</v>
      </c>
      <c r="G324" s="28" t="s">
        <v>45</v>
      </c>
      <c r="H324" s="29"/>
      <c r="I324" s="29" t="s">
        <v>46</v>
      </c>
      <c r="J324" s="30">
        <v>1</v>
      </c>
      <c r="K324" s="31">
        <f>44820</f>
        <v>44820</v>
      </c>
      <c r="L324" s="32" t="s">
        <v>995</v>
      </c>
      <c r="M324" s="31">
        <f>45070</f>
        <v>45070</v>
      </c>
      <c r="N324" s="32" t="s">
        <v>999</v>
      </c>
      <c r="O324" s="31">
        <f>37610</f>
        <v>37610</v>
      </c>
      <c r="P324" s="32" t="s">
        <v>1017</v>
      </c>
      <c r="Q324" s="31">
        <f>38140</f>
        <v>38140</v>
      </c>
      <c r="R324" s="32" t="s">
        <v>791</v>
      </c>
      <c r="S324" s="33">
        <f>42230</f>
        <v>42230</v>
      </c>
      <c r="T324" s="30">
        <f>151996</f>
        <v>151996</v>
      </c>
      <c r="U324" s="30">
        <f>8</f>
        <v>8</v>
      </c>
      <c r="V324" s="30">
        <f>6363311030</f>
        <v>6363311030</v>
      </c>
      <c r="W324" s="30">
        <f>330720</f>
        <v>330720</v>
      </c>
      <c r="X324" s="34">
        <f>20</f>
        <v>20</v>
      </c>
    </row>
  </sheetData>
  <mergeCells count="3">
    <mergeCell ref="N1:X3"/>
    <mergeCell ref="A2:M2"/>
    <mergeCell ref="A3:M3"/>
  </mergeCells>
  <phoneticPr fontId="3"/>
  <printOptions horizontalCentered="1"/>
  <pageMargins left="0.39370078740157483" right="0.39370078740157483" top="0.39370078740157483" bottom="0.59055118110236227" header="0.27559055118110237" footer="0.27559055118110237"/>
  <pageSetup paperSize="9" scale="34" fitToHeight="0" orientation="landscape" r:id="rId1"/>
  <headerFooter>
    <oddFooter>&amp;C&amp;P/&amp;N&amp;RCopyright (c) Tokyo Stock Exchange, Inc. All Rights Reserved.</oddFooter>
  </headerFooter>
  <customProperties>
    <customPr name="layoutContexts" r:id="rId2"/>
  </customPropertie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C27211-38F6-4904-BE74-4B736C41B377}">
  <sheetPr>
    <pageSetUpPr fitToPage="1"/>
  </sheetPr>
  <dimension ref="A1:X321"/>
  <sheetViews>
    <sheetView showGridLines="0" view="pageBreakPreview" zoomScaleNormal="70" zoomScaleSheetLayoutView="100" workbookViewId="0">
      <pane ySplit="6" topLeftCell="A7" activePane="bottomLeft" state="frozen"/>
      <selection activeCell="A2" sqref="A2:M2"/>
      <selection pane="bottomLeft" sqref="A1:A1048576"/>
    </sheetView>
  </sheetViews>
  <sheetFormatPr defaultRowHeight="13.5" customHeight="1" x14ac:dyDescent="0.4"/>
  <cols>
    <col min="1" max="1" width="13.125" style="3" bestFit="1" customWidth="1"/>
    <col min="2" max="2" width="10.75" style="3" bestFit="1" customWidth="1"/>
    <col min="3" max="4" width="27.625" style="3" customWidth="1"/>
    <col min="5" max="5" width="13.75" style="3" bestFit="1" customWidth="1"/>
    <col min="6" max="6" width="20.75" style="3" bestFit="1" customWidth="1"/>
    <col min="7" max="7" width="11.25" style="3" customWidth="1"/>
    <col min="8" max="8" width="8.75" style="3" bestFit="1" customWidth="1"/>
    <col min="9" max="9" width="11.75" style="3" bestFit="1" customWidth="1"/>
    <col min="10" max="10" width="12.625" style="3" bestFit="1" customWidth="1"/>
    <col min="11" max="11" width="16.25" style="3" customWidth="1"/>
    <col min="12" max="12" width="5.625" style="3" bestFit="1" customWidth="1"/>
    <col min="13" max="13" width="16.25" style="3" customWidth="1"/>
    <col min="14" max="14" width="5.625" style="3" bestFit="1" customWidth="1"/>
    <col min="15" max="15" width="16.25" style="3" customWidth="1"/>
    <col min="16" max="16" width="5.625" style="3" bestFit="1" customWidth="1"/>
    <col min="17" max="17" width="16.25" style="3" customWidth="1"/>
    <col min="18" max="18" width="5.625" style="3" bestFit="1" customWidth="1"/>
    <col min="19" max="19" width="23.875" style="3" bestFit="1" customWidth="1"/>
    <col min="20" max="20" width="16.25" style="3" customWidth="1"/>
    <col min="21" max="21" width="24.125" style="3" customWidth="1"/>
    <col min="22" max="22" width="19.875" style="3" bestFit="1" customWidth="1"/>
    <col min="23" max="23" width="25" style="3" bestFit="1" customWidth="1"/>
    <col min="24" max="24" width="13.125" style="3" bestFit="1" customWidth="1"/>
    <col min="25" max="16384" width="9" style="3"/>
  </cols>
  <sheetData>
    <row r="1" spans="1:24" ht="13.5" customHeight="1" x14ac:dyDescent="0.4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6" t="s">
        <v>0</v>
      </c>
      <c r="O1" s="36"/>
      <c r="P1" s="36"/>
      <c r="Q1" s="36"/>
      <c r="R1" s="36"/>
      <c r="S1" s="36"/>
      <c r="T1" s="36"/>
      <c r="U1" s="36"/>
      <c r="V1" s="36"/>
      <c r="W1" s="36"/>
      <c r="X1" s="37"/>
    </row>
    <row r="2" spans="1:24" ht="99" customHeight="1" x14ac:dyDescent="0.4">
      <c r="A2" s="42" t="s">
        <v>1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38"/>
      <c r="O2" s="38"/>
      <c r="P2" s="38"/>
      <c r="Q2" s="38"/>
      <c r="R2" s="38"/>
      <c r="S2" s="38"/>
      <c r="T2" s="38"/>
      <c r="U2" s="38"/>
      <c r="V2" s="38"/>
      <c r="W2" s="38"/>
      <c r="X2" s="39"/>
    </row>
    <row r="3" spans="1:24" ht="39" customHeight="1" x14ac:dyDescent="0.4">
      <c r="A3" s="44" t="s">
        <v>2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0"/>
      <c r="O3" s="40"/>
      <c r="P3" s="40"/>
      <c r="Q3" s="40"/>
      <c r="R3" s="40"/>
      <c r="S3" s="40"/>
      <c r="T3" s="40"/>
      <c r="U3" s="40"/>
      <c r="V3" s="40"/>
      <c r="W3" s="40"/>
      <c r="X3" s="41"/>
    </row>
    <row r="4" spans="1:24" s="10" customFormat="1" ht="13.5" customHeight="1" x14ac:dyDescent="0.4">
      <c r="A4" s="4" t="s">
        <v>3</v>
      </c>
      <c r="B4" s="4" t="s">
        <v>4</v>
      </c>
      <c r="C4" s="4"/>
      <c r="D4" s="4"/>
      <c r="E4" s="5"/>
      <c r="F4" s="6"/>
      <c r="G4" s="7" t="s">
        <v>5</v>
      </c>
      <c r="H4" s="4" t="s">
        <v>6</v>
      </c>
      <c r="I4" s="4" t="s">
        <v>7</v>
      </c>
      <c r="J4" s="4" t="s">
        <v>8</v>
      </c>
      <c r="K4" s="8" t="s">
        <v>9</v>
      </c>
      <c r="L4" s="7" t="s">
        <v>5</v>
      </c>
      <c r="M4" s="8" t="s">
        <v>10</v>
      </c>
      <c r="N4" s="7" t="s">
        <v>5</v>
      </c>
      <c r="O4" s="8" t="s">
        <v>11</v>
      </c>
      <c r="P4" s="7" t="s">
        <v>5</v>
      </c>
      <c r="Q4" s="8" t="s">
        <v>12</v>
      </c>
      <c r="R4" s="7" t="s">
        <v>5</v>
      </c>
      <c r="S4" s="4" t="s">
        <v>13</v>
      </c>
      <c r="T4" s="4" t="s">
        <v>14</v>
      </c>
      <c r="U4" s="9" t="s">
        <v>15</v>
      </c>
      <c r="V4" s="4" t="s">
        <v>16</v>
      </c>
      <c r="W4" s="4" t="s">
        <v>17</v>
      </c>
      <c r="X4" s="4" t="s">
        <v>18</v>
      </c>
    </row>
    <row r="5" spans="1:24" ht="13.5" customHeight="1" x14ac:dyDescent="0.4">
      <c r="A5" s="11" t="s">
        <v>19</v>
      </c>
      <c r="B5" s="11" t="s">
        <v>20</v>
      </c>
      <c r="C5" s="11" t="s">
        <v>21</v>
      </c>
      <c r="D5" s="11" t="s">
        <v>22</v>
      </c>
      <c r="E5" s="12" t="s">
        <v>23</v>
      </c>
      <c r="F5" s="13" t="s">
        <v>24</v>
      </c>
      <c r="G5" s="14" t="s">
        <v>25</v>
      </c>
      <c r="H5" s="15" t="s">
        <v>26</v>
      </c>
      <c r="I5" s="15" t="s">
        <v>27</v>
      </c>
      <c r="J5" s="15" t="s">
        <v>28</v>
      </c>
      <c r="K5" s="16" t="s">
        <v>29</v>
      </c>
      <c r="L5" s="14" t="s">
        <v>25</v>
      </c>
      <c r="M5" s="16" t="s">
        <v>30</v>
      </c>
      <c r="N5" s="14" t="s">
        <v>25</v>
      </c>
      <c r="O5" s="16" t="s">
        <v>31</v>
      </c>
      <c r="P5" s="14" t="s">
        <v>25</v>
      </c>
      <c r="Q5" s="16" t="s">
        <v>32</v>
      </c>
      <c r="R5" s="14" t="s">
        <v>25</v>
      </c>
      <c r="S5" s="17" t="s">
        <v>33</v>
      </c>
      <c r="T5" s="17" t="s">
        <v>34</v>
      </c>
      <c r="U5" s="11" t="s">
        <v>35</v>
      </c>
      <c r="V5" s="17" t="s">
        <v>36</v>
      </c>
      <c r="W5" s="17" t="s">
        <v>37</v>
      </c>
      <c r="X5" s="17" t="s">
        <v>38</v>
      </c>
    </row>
    <row r="6" spans="1:24" ht="13.5" customHeight="1" x14ac:dyDescent="0.15">
      <c r="A6" s="18"/>
      <c r="B6" s="18"/>
      <c r="C6" s="18"/>
      <c r="D6" s="18"/>
      <c r="E6" s="19"/>
      <c r="F6" s="20"/>
      <c r="G6" s="21"/>
      <c r="H6" s="22"/>
      <c r="I6" s="22"/>
      <c r="J6" s="22" t="s">
        <v>39</v>
      </c>
      <c r="K6" s="23" t="s">
        <v>40</v>
      </c>
      <c r="L6" s="24"/>
      <c r="M6" s="23" t="s">
        <v>40</v>
      </c>
      <c r="N6" s="24"/>
      <c r="O6" s="23" t="s">
        <v>40</v>
      </c>
      <c r="P6" s="24"/>
      <c r="Q6" s="23" t="s">
        <v>40</v>
      </c>
      <c r="R6" s="24"/>
      <c r="S6" s="23" t="s">
        <v>40</v>
      </c>
      <c r="T6" s="22" t="s">
        <v>41</v>
      </c>
      <c r="U6" s="22" t="s">
        <v>41</v>
      </c>
      <c r="V6" s="23" t="s">
        <v>40</v>
      </c>
      <c r="W6" s="23" t="s">
        <v>40</v>
      </c>
      <c r="X6" s="22"/>
    </row>
    <row r="7" spans="1:24" s="35" customFormat="1" ht="13.5" customHeight="1" x14ac:dyDescent="0.15">
      <c r="A7" s="25" t="s">
        <v>1032</v>
      </c>
      <c r="B7" s="25" t="s">
        <v>42</v>
      </c>
      <c r="C7" s="25" t="s">
        <v>1033</v>
      </c>
      <c r="D7" s="25" t="s">
        <v>1034</v>
      </c>
      <c r="E7" s="26" t="s">
        <v>45</v>
      </c>
      <c r="F7" s="27" t="s">
        <v>45</v>
      </c>
      <c r="G7" s="28" t="s">
        <v>45</v>
      </c>
      <c r="H7" s="29"/>
      <c r="I7" s="29" t="s">
        <v>46</v>
      </c>
      <c r="J7" s="30">
        <v>10</v>
      </c>
      <c r="K7" s="31">
        <f>2155</f>
        <v>2155</v>
      </c>
      <c r="L7" s="32" t="s">
        <v>996</v>
      </c>
      <c r="M7" s="31">
        <f>2198</f>
        <v>2198</v>
      </c>
      <c r="N7" s="32" t="s">
        <v>997</v>
      </c>
      <c r="O7" s="31">
        <f>2092</f>
        <v>2092</v>
      </c>
      <c r="P7" s="32" t="s">
        <v>78</v>
      </c>
      <c r="Q7" s="31">
        <f>2198</f>
        <v>2198</v>
      </c>
      <c r="R7" s="32" t="s">
        <v>997</v>
      </c>
      <c r="S7" s="33">
        <f>2153.85</f>
        <v>2153.85</v>
      </c>
      <c r="T7" s="30">
        <f>4393080</f>
        <v>4393080</v>
      </c>
      <c r="U7" s="30">
        <f>1098340</f>
        <v>1098340</v>
      </c>
      <c r="V7" s="30">
        <f>9493594035</f>
        <v>9493594035</v>
      </c>
      <c r="W7" s="30">
        <f>2392851615</f>
        <v>2392851615</v>
      </c>
      <c r="X7" s="34">
        <f>20</f>
        <v>20</v>
      </c>
    </row>
    <row r="8" spans="1:24" ht="13.5" customHeight="1" x14ac:dyDescent="0.15">
      <c r="A8" s="25" t="s">
        <v>1032</v>
      </c>
      <c r="B8" s="25" t="s">
        <v>47</v>
      </c>
      <c r="C8" s="25" t="s">
        <v>48</v>
      </c>
      <c r="D8" s="25" t="s">
        <v>49</v>
      </c>
      <c r="E8" s="26" t="s">
        <v>45</v>
      </c>
      <c r="F8" s="27" t="s">
        <v>45</v>
      </c>
      <c r="G8" s="28" t="s">
        <v>45</v>
      </c>
      <c r="H8" s="29"/>
      <c r="I8" s="29" t="s">
        <v>46</v>
      </c>
      <c r="J8" s="30">
        <v>10</v>
      </c>
      <c r="K8" s="31">
        <f>2131</f>
        <v>2131</v>
      </c>
      <c r="L8" s="32" t="s">
        <v>996</v>
      </c>
      <c r="M8" s="31">
        <f>2174.5</f>
        <v>2174.5</v>
      </c>
      <c r="N8" s="32" t="s">
        <v>997</v>
      </c>
      <c r="O8" s="31">
        <f>2069</f>
        <v>2069</v>
      </c>
      <c r="P8" s="32" t="s">
        <v>78</v>
      </c>
      <c r="Q8" s="31">
        <f>2174.5</f>
        <v>2174.5</v>
      </c>
      <c r="R8" s="32" t="s">
        <v>997</v>
      </c>
      <c r="S8" s="33">
        <f>2130.15</f>
        <v>2130.15</v>
      </c>
      <c r="T8" s="30">
        <f>37087100</f>
        <v>37087100</v>
      </c>
      <c r="U8" s="30">
        <f>12344610</f>
        <v>12344610</v>
      </c>
      <c r="V8" s="30">
        <f>79054133636</f>
        <v>79054133636</v>
      </c>
      <c r="W8" s="30">
        <f>26298724291</f>
        <v>26298724291</v>
      </c>
      <c r="X8" s="34">
        <f>20</f>
        <v>20</v>
      </c>
    </row>
    <row r="9" spans="1:24" ht="13.5" customHeight="1" x14ac:dyDescent="0.15">
      <c r="A9" s="25" t="s">
        <v>1032</v>
      </c>
      <c r="B9" s="25" t="s">
        <v>50</v>
      </c>
      <c r="C9" s="25" t="s">
        <v>51</v>
      </c>
      <c r="D9" s="25" t="s">
        <v>52</v>
      </c>
      <c r="E9" s="26" t="s">
        <v>45</v>
      </c>
      <c r="F9" s="27" t="s">
        <v>45</v>
      </c>
      <c r="G9" s="28" t="s">
        <v>45</v>
      </c>
      <c r="H9" s="29"/>
      <c r="I9" s="29" t="s">
        <v>46</v>
      </c>
      <c r="J9" s="30">
        <v>100</v>
      </c>
      <c r="K9" s="31">
        <f>2107</f>
        <v>2107</v>
      </c>
      <c r="L9" s="32" t="s">
        <v>996</v>
      </c>
      <c r="M9" s="31">
        <f>2148</f>
        <v>2148</v>
      </c>
      <c r="N9" s="32" t="s">
        <v>997</v>
      </c>
      <c r="O9" s="31">
        <f>2046</f>
        <v>2046</v>
      </c>
      <c r="P9" s="32" t="s">
        <v>78</v>
      </c>
      <c r="Q9" s="31">
        <f>2148</f>
        <v>2148</v>
      </c>
      <c r="R9" s="32" t="s">
        <v>997</v>
      </c>
      <c r="S9" s="33">
        <f>2105.13</f>
        <v>2105.13</v>
      </c>
      <c r="T9" s="30">
        <f>3027200</f>
        <v>3027200</v>
      </c>
      <c r="U9" s="30">
        <f>671100</f>
        <v>671100</v>
      </c>
      <c r="V9" s="30">
        <f>6378304264</f>
        <v>6378304264</v>
      </c>
      <c r="W9" s="30">
        <f>1413770914</f>
        <v>1413770914</v>
      </c>
      <c r="X9" s="34">
        <f>20</f>
        <v>20</v>
      </c>
    </row>
    <row r="10" spans="1:24" ht="13.5" customHeight="1" x14ac:dyDescent="0.15">
      <c r="A10" s="25" t="s">
        <v>1032</v>
      </c>
      <c r="B10" s="25" t="s">
        <v>53</v>
      </c>
      <c r="C10" s="25" t="s">
        <v>54</v>
      </c>
      <c r="D10" s="25" t="s">
        <v>55</v>
      </c>
      <c r="E10" s="26" t="s">
        <v>45</v>
      </c>
      <c r="F10" s="27" t="s">
        <v>45</v>
      </c>
      <c r="G10" s="28" t="s">
        <v>45</v>
      </c>
      <c r="H10" s="29"/>
      <c r="I10" s="29" t="s">
        <v>46</v>
      </c>
      <c r="J10" s="30">
        <v>1</v>
      </c>
      <c r="K10" s="31">
        <f>40000</f>
        <v>40000</v>
      </c>
      <c r="L10" s="32" t="s">
        <v>996</v>
      </c>
      <c r="M10" s="31">
        <f>41150</f>
        <v>41150</v>
      </c>
      <c r="N10" s="32" t="s">
        <v>790</v>
      </c>
      <c r="O10" s="31">
        <f>39000</f>
        <v>39000</v>
      </c>
      <c r="P10" s="32" t="s">
        <v>786</v>
      </c>
      <c r="Q10" s="31">
        <f>40100</f>
        <v>40100</v>
      </c>
      <c r="R10" s="32" t="s">
        <v>997</v>
      </c>
      <c r="S10" s="33">
        <f>39825</f>
        <v>39825</v>
      </c>
      <c r="T10" s="30">
        <f>2627</f>
        <v>2627</v>
      </c>
      <c r="U10" s="30" t="str">
        <f>"－"</f>
        <v>－</v>
      </c>
      <c r="V10" s="30">
        <f>104496660</f>
        <v>104496660</v>
      </c>
      <c r="W10" s="30" t="str">
        <f>"－"</f>
        <v>－</v>
      </c>
      <c r="X10" s="34">
        <f>20</f>
        <v>20</v>
      </c>
    </row>
    <row r="11" spans="1:24" ht="13.5" customHeight="1" x14ac:dyDescent="0.15">
      <c r="A11" s="25" t="s">
        <v>1032</v>
      </c>
      <c r="B11" s="25" t="s">
        <v>57</v>
      </c>
      <c r="C11" s="25" t="s">
        <v>58</v>
      </c>
      <c r="D11" s="25" t="s">
        <v>59</v>
      </c>
      <c r="E11" s="26" t="s">
        <v>45</v>
      </c>
      <c r="F11" s="27" t="s">
        <v>45</v>
      </c>
      <c r="G11" s="28" t="s">
        <v>45</v>
      </c>
      <c r="H11" s="29"/>
      <c r="I11" s="29" t="s">
        <v>46</v>
      </c>
      <c r="J11" s="30">
        <v>10</v>
      </c>
      <c r="K11" s="31">
        <f>1000</f>
        <v>1000</v>
      </c>
      <c r="L11" s="32" t="s">
        <v>996</v>
      </c>
      <c r="M11" s="31">
        <f>1010</f>
        <v>1010</v>
      </c>
      <c r="N11" s="32" t="s">
        <v>790</v>
      </c>
      <c r="O11" s="31">
        <f>967.1</f>
        <v>967.1</v>
      </c>
      <c r="P11" s="32" t="s">
        <v>1003</v>
      </c>
      <c r="Q11" s="31">
        <f>1010</f>
        <v>1010</v>
      </c>
      <c r="R11" s="32" t="s">
        <v>997</v>
      </c>
      <c r="S11" s="33">
        <f>994.85</f>
        <v>994.85</v>
      </c>
      <c r="T11" s="30">
        <f>77810</f>
        <v>77810</v>
      </c>
      <c r="U11" s="30" t="str">
        <f>"－"</f>
        <v>－</v>
      </c>
      <c r="V11" s="30">
        <f>77549831</f>
        <v>77549831</v>
      </c>
      <c r="W11" s="30" t="str">
        <f>"－"</f>
        <v>－</v>
      </c>
      <c r="X11" s="34">
        <f>20</f>
        <v>20</v>
      </c>
    </row>
    <row r="12" spans="1:24" ht="13.5" customHeight="1" x14ac:dyDescent="0.15">
      <c r="A12" s="25" t="s">
        <v>1032</v>
      </c>
      <c r="B12" s="25" t="s">
        <v>66</v>
      </c>
      <c r="C12" s="25" t="s">
        <v>67</v>
      </c>
      <c r="D12" s="25" t="s">
        <v>68</v>
      </c>
      <c r="E12" s="26" t="s">
        <v>45</v>
      </c>
      <c r="F12" s="27" t="s">
        <v>45</v>
      </c>
      <c r="G12" s="28" t="s">
        <v>45</v>
      </c>
      <c r="H12" s="29"/>
      <c r="I12" s="29" t="s">
        <v>46</v>
      </c>
      <c r="J12" s="30">
        <v>1000</v>
      </c>
      <c r="K12" s="31">
        <f>348.7</f>
        <v>348.7</v>
      </c>
      <c r="L12" s="32" t="s">
        <v>996</v>
      </c>
      <c r="M12" s="31">
        <f>356.9</f>
        <v>356.9</v>
      </c>
      <c r="N12" s="32" t="s">
        <v>790</v>
      </c>
      <c r="O12" s="31">
        <f>344.3</f>
        <v>344.3</v>
      </c>
      <c r="P12" s="32" t="s">
        <v>784</v>
      </c>
      <c r="Q12" s="31">
        <f>350</f>
        <v>350</v>
      </c>
      <c r="R12" s="32" t="s">
        <v>997</v>
      </c>
      <c r="S12" s="33">
        <f>350.05</f>
        <v>350.05</v>
      </c>
      <c r="T12" s="30">
        <f>39000</f>
        <v>39000</v>
      </c>
      <c r="U12" s="30" t="str">
        <f>"－"</f>
        <v>－</v>
      </c>
      <c r="V12" s="30">
        <f>13576800</f>
        <v>13576800</v>
      </c>
      <c r="W12" s="30" t="str">
        <f>"－"</f>
        <v>－</v>
      </c>
      <c r="X12" s="34">
        <f>13</f>
        <v>13</v>
      </c>
    </row>
    <row r="13" spans="1:24" ht="13.5" customHeight="1" x14ac:dyDescent="0.15">
      <c r="A13" s="25" t="s">
        <v>1032</v>
      </c>
      <c r="B13" s="25" t="s">
        <v>69</v>
      </c>
      <c r="C13" s="25" t="s">
        <v>1035</v>
      </c>
      <c r="D13" s="25" t="s">
        <v>1036</v>
      </c>
      <c r="E13" s="26" t="s">
        <v>45</v>
      </c>
      <c r="F13" s="27" t="s">
        <v>45</v>
      </c>
      <c r="G13" s="28" t="s">
        <v>45</v>
      </c>
      <c r="H13" s="29"/>
      <c r="I13" s="29" t="s">
        <v>46</v>
      </c>
      <c r="J13" s="30">
        <v>1</v>
      </c>
      <c r="K13" s="31">
        <f>29380</f>
        <v>29380</v>
      </c>
      <c r="L13" s="32" t="s">
        <v>996</v>
      </c>
      <c r="M13" s="31">
        <f>30070</f>
        <v>30070</v>
      </c>
      <c r="N13" s="32" t="s">
        <v>997</v>
      </c>
      <c r="O13" s="31">
        <f>28575</f>
        <v>28575</v>
      </c>
      <c r="P13" s="32" t="s">
        <v>78</v>
      </c>
      <c r="Q13" s="31">
        <f>30050</f>
        <v>30050</v>
      </c>
      <c r="R13" s="32" t="s">
        <v>997</v>
      </c>
      <c r="S13" s="33">
        <f>29448.25</f>
        <v>29448.25</v>
      </c>
      <c r="T13" s="30">
        <f>943141</f>
        <v>943141</v>
      </c>
      <c r="U13" s="30">
        <f>127393</f>
        <v>127393</v>
      </c>
      <c r="V13" s="30">
        <f>27829782025</f>
        <v>27829782025</v>
      </c>
      <c r="W13" s="30">
        <f>3780340245</f>
        <v>3780340245</v>
      </c>
      <c r="X13" s="34">
        <f>20</f>
        <v>20</v>
      </c>
    </row>
    <row r="14" spans="1:24" ht="13.5" customHeight="1" x14ac:dyDescent="0.15">
      <c r="A14" s="25" t="s">
        <v>1032</v>
      </c>
      <c r="B14" s="25" t="s">
        <v>72</v>
      </c>
      <c r="C14" s="25" t="s">
        <v>73</v>
      </c>
      <c r="D14" s="25" t="s">
        <v>74</v>
      </c>
      <c r="E14" s="26" t="s">
        <v>45</v>
      </c>
      <c r="F14" s="27" t="s">
        <v>45</v>
      </c>
      <c r="G14" s="28" t="s">
        <v>45</v>
      </c>
      <c r="H14" s="29"/>
      <c r="I14" s="29" t="s">
        <v>46</v>
      </c>
      <c r="J14" s="30">
        <v>1</v>
      </c>
      <c r="K14" s="31">
        <f>29465</f>
        <v>29465</v>
      </c>
      <c r="L14" s="32" t="s">
        <v>996</v>
      </c>
      <c r="M14" s="31">
        <f>30160</f>
        <v>30160</v>
      </c>
      <c r="N14" s="32" t="s">
        <v>997</v>
      </c>
      <c r="O14" s="31">
        <f>28660</f>
        <v>28660</v>
      </c>
      <c r="P14" s="32" t="s">
        <v>78</v>
      </c>
      <c r="Q14" s="31">
        <f>30140</f>
        <v>30140</v>
      </c>
      <c r="R14" s="32" t="s">
        <v>997</v>
      </c>
      <c r="S14" s="33">
        <f>29540.25</f>
        <v>29540.25</v>
      </c>
      <c r="T14" s="30">
        <f>6399843</f>
        <v>6399843</v>
      </c>
      <c r="U14" s="30">
        <f>205147</f>
        <v>205147</v>
      </c>
      <c r="V14" s="30">
        <f>188786433734</f>
        <v>188786433734</v>
      </c>
      <c r="W14" s="30">
        <f>5971404124</f>
        <v>5971404124</v>
      </c>
      <c r="X14" s="34">
        <f>20</f>
        <v>20</v>
      </c>
    </row>
    <row r="15" spans="1:24" ht="13.5" customHeight="1" x14ac:dyDescent="0.15">
      <c r="A15" s="25" t="s">
        <v>1032</v>
      </c>
      <c r="B15" s="25" t="s">
        <v>75</v>
      </c>
      <c r="C15" s="25" t="s">
        <v>76</v>
      </c>
      <c r="D15" s="25" t="s">
        <v>77</v>
      </c>
      <c r="E15" s="26" t="s">
        <v>45</v>
      </c>
      <c r="F15" s="27" t="s">
        <v>45</v>
      </c>
      <c r="G15" s="28" t="s">
        <v>45</v>
      </c>
      <c r="H15" s="29"/>
      <c r="I15" s="29" t="s">
        <v>46</v>
      </c>
      <c r="J15" s="30">
        <v>10</v>
      </c>
      <c r="K15" s="31">
        <f>7871</f>
        <v>7871</v>
      </c>
      <c r="L15" s="32" t="s">
        <v>996</v>
      </c>
      <c r="M15" s="31">
        <f>8094</f>
        <v>8094</v>
      </c>
      <c r="N15" s="32" t="s">
        <v>788</v>
      </c>
      <c r="O15" s="31">
        <f>7556</f>
        <v>7556</v>
      </c>
      <c r="P15" s="32" t="s">
        <v>255</v>
      </c>
      <c r="Q15" s="31">
        <f>7855</f>
        <v>7855</v>
      </c>
      <c r="R15" s="32" t="s">
        <v>997</v>
      </c>
      <c r="S15" s="33">
        <f>7859.35</f>
        <v>7859.35</v>
      </c>
      <c r="T15" s="30">
        <f>6040</f>
        <v>6040</v>
      </c>
      <c r="U15" s="30" t="str">
        <f>"－"</f>
        <v>－</v>
      </c>
      <c r="V15" s="30">
        <f>47374380</f>
        <v>47374380</v>
      </c>
      <c r="W15" s="30" t="str">
        <f>"－"</f>
        <v>－</v>
      </c>
      <c r="X15" s="34">
        <f>20</f>
        <v>20</v>
      </c>
    </row>
    <row r="16" spans="1:24" ht="13.5" customHeight="1" x14ac:dyDescent="0.15">
      <c r="A16" s="25" t="s">
        <v>1032</v>
      </c>
      <c r="B16" s="25" t="s">
        <v>79</v>
      </c>
      <c r="C16" s="25" t="s">
        <v>926</v>
      </c>
      <c r="D16" s="25" t="s">
        <v>927</v>
      </c>
      <c r="E16" s="26" t="s">
        <v>45</v>
      </c>
      <c r="F16" s="27" t="s">
        <v>45</v>
      </c>
      <c r="G16" s="28" t="s">
        <v>45</v>
      </c>
      <c r="H16" s="29"/>
      <c r="I16" s="29" t="s">
        <v>46</v>
      </c>
      <c r="J16" s="30">
        <v>100</v>
      </c>
      <c r="K16" s="31" t="str">
        <f>"－"</f>
        <v>－</v>
      </c>
      <c r="L16" s="32"/>
      <c r="M16" s="31" t="str">
        <f>"－"</f>
        <v>－</v>
      </c>
      <c r="N16" s="32"/>
      <c r="O16" s="31" t="str">
        <f>"－"</f>
        <v>－</v>
      </c>
      <c r="P16" s="32"/>
      <c r="Q16" s="31" t="str">
        <f>"－"</f>
        <v>－</v>
      </c>
      <c r="R16" s="32"/>
      <c r="S16" s="33" t="str">
        <f>"－"</f>
        <v>－</v>
      </c>
      <c r="T16" s="30" t="str">
        <f>"－"</f>
        <v>－</v>
      </c>
      <c r="U16" s="30" t="str">
        <f>"－"</f>
        <v>－</v>
      </c>
      <c r="V16" s="30" t="str">
        <f>"－"</f>
        <v>－</v>
      </c>
      <c r="W16" s="30" t="str">
        <f>"－"</f>
        <v>－</v>
      </c>
      <c r="X16" s="34" t="str">
        <f>"－"</f>
        <v>－</v>
      </c>
    </row>
    <row r="17" spans="1:24" ht="13.5" customHeight="1" x14ac:dyDescent="0.15">
      <c r="A17" s="25" t="s">
        <v>1032</v>
      </c>
      <c r="B17" s="25" t="s">
        <v>81</v>
      </c>
      <c r="C17" s="25" t="s">
        <v>82</v>
      </c>
      <c r="D17" s="25" t="s">
        <v>83</v>
      </c>
      <c r="E17" s="26" t="s">
        <v>45</v>
      </c>
      <c r="F17" s="27" t="s">
        <v>45</v>
      </c>
      <c r="G17" s="28" t="s">
        <v>45</v>
      </c>
      <c r="H17" s="29"/>
      <c r="I17" s="29" t="s">
        <v>46</v>
      </c>
      <c r="J17" s="30">
        <v>100</v>
      </c>
      <c r="K17" s="31">
        <f>197</f>
        <v>197</v>
      </c>
      <c r="L17" s="32" t="s">
        <v>996</v>
      </c>
      <c r="M17" s="31">
        <f>206.4</f>
        <v>206.4</v>
      </c>
      <c r="N17" s="32" t="s">
        <v>56</v>
      </c>
      <c r="O17" s="31">
        <f>194</f>
        <v>194</v>
      </c>
      <c r="P17" s="32" t="s">
        <v>785</v>
      </c>
      <c r="Q17" s="31">
        <f>197</f>
        <v>197</v>
      </c>
      <c r="R17" s="32" t="s">
        <v>997</v>
      </c>
      <c r="S17" s="33">
        <f>198.36</f>
        <v>198.36</v>
      </c>
      <c r="T17" s="30">
        <f>373400</f>
        <v>373400</v>
      </c>
      <c r="U17" s="30">
        <f>100</f>
        <v>100</v>
      </c>
      <c r="V17" s="30">
        <f>74713890</f>
        <v>74713890</v>
      </c>
      <c r="W17" s="30">
        <f>20300</f>
        <v>20300</v>
      </c>
      <c r="X17" s="34">
        <f>20</f>
        <v>20</v>
      </c>
    </row>
    <row r="18" spans="1:24" ht="13.5" customHeight="1" x14ac:dyDescent="0.15">
      <c r="A18" s="25" t="s">
        <v>1032</v>
      </c>
      <c r="B18" s="25" t="s">
        <v>84</v>
      </c>
      <c r="C18" s="25" t="s">
        <v>85</v>
      </c>
      <c r="D18" s="25" t="s">
        <v>86</v>
      </c>
      <c r="E18" s="26" t="s">
        <v>45</v>
      </c>
      <c r="F18" s="27" t="s">
        <v>45</v>
      </c>
      <c r="G18" s="28" t="s">
        <v>45</v>
      </c>
      <c r="H18" s="29"/>
      <c r="I18" s="29" t="s">
        <v>46</v>
      </c>
      <c r="J18" s="30">
        <v>1</v>
      </c>
      <c r="K18" s="31">
        <f>24405</f>
        <v>24405</v>
      </c>
      <c r="L18" s="32" t="s">
        <v>996</v>
      </c>
      <c r="M18" s="31">
        <f>25190</f>
        <v>25190</v>
      </c>
      <c r="N18" s="32" t="s">
        <v>1005</v>
      </c>
      <c r="O18" s="31">
        <f>24180</f>
        <v>24180</v>
      </c>
      <c r="P18" s="32" t="s">
        <v>996</v>
      </c>
      <c r="Q18" s="31">
        <f>24905</f>
        <v>24905</v>
      </c>
      <c r="R18" s="32" t="s">
        <v>997</v>
      </c>
      <c r="S18" s="33">
        <f>24809.5</f>
        <v>24809.5</v>
      </c>
      <c r="T18" s="30">
        <f>250704</f>
        <v>250704</v>
      </c>
      <c r="U18" s="30">
        <f>122172</f>
        <v>122172</v>
      </c>
      <c r="V18" s="30">
        <f>6223325947</f>
        <v>6223325947</v>
      </c>
      <c r="W18" s="30">
        <f>3032539752</f>
        <v>3032539752</v>
      </c>
      <c r="X18" s="34">
        <f>20</f>
        <v>20</v>
      </c>
    </row>
    <row r="19" spans="1:24" ht="13.5" customHeight="1" x14ac:dyDescent="0.15">
      <c r="A19" s="25" t="s">
        <v>1032</v>
      </c>
      <c r="B19" s="25" t="s">
        <v>87</v>
      </c>
      <c r="C19" s="25" t="s">
        <v>88</v>
      </c>
      <c r="D19" s="25" t="s">
        <v>89</v>
      </c>
      <c r="E19" s="26" t="s">
        <v>45</v>
      </c>
      <c r="F19" s="27" t="s">
        <v>45</v>
      </c>
      <c r="G19" s="28" t="s">
        <v>45</v>
      </c>
      <c r="H19" s="29"/>
      <c r="I19" s="29" t="s">
        <v>46</v>
      </c>
      <c r="J19" s="30">
        <v>10</v>
      </c>
      <c r="K19" s="31">
        <f>6495</f>
        <v>6495</v>
      </c>
      <c r="L19" s="32" t="s">
        <v>996</v>
      </c>
      <c r="M19" s="31">
        <f>6737</f>
        <v>6737</v>
      </c>
      <c r="N19" s="32" t="s">
        <v>1005</v>
      </c>
      <c r="O19" s="31">
        <f>6466</f>
        <v>6466</v>
      </c>
      <c r="P19" s="32" t="s">
        <v>996</v>
      </c>
      <c r="Q19" s="31">
        <f>6654</f>
        <v>6654</v>
      </c>
      <c r="R19" s="32" t="s">
        <v>997</v>
      </c>
      <c r="S19" s="33">
        <f>6633.75</f>
        <v>6633.75</v>
      </c>
      <c r="T19" s="30">
        <f>714210</f>
        <v>714210</v>
      </c>
      <c r="U19" s="30">
        <f>438960</f>
        <v>438960</v>
      </c>
      <c r="V19" s="30">
        <f>4737454010</f>
        <v>4737454010</v>
      </c>
      <c r="W19" s="30">
        <f>2911834620</f>
        <v>2911834620</v>
      </c>
      <c r="X19" s="34">
        <f>20</f>
        <v>20</v>
      </c>
    </row>
    <row r="20" spans="1:24" ht="13.5" customHeight="1" x14ac:dyDescent="0.15">
      <c r="A20" s="25" t="s">
        <v>1032</v>
      </c>
      <c r="B20" s="25" t="s">
        <v>90</v>
      </c>
      <c r="C20" s="25" t="s">
        <v>91</v>
      </c>
      <c r="D20" s="25" t="s">
        <v>92</v>
      </c>
      <c r="E20" s="26" t="s">
        <v>45</v>
      </c>
      <c r="F20" s="27" t="s">
        <v>45</v>
      </c>
      <c r="G20" s="28" t="s">
        <v>45</v>
      </c>
      <c r="H20" s="29"/>
      <c r="I20" s="29" t="s">
        <v>46</v>
      </c>
      <c r="J20" s="30">
        <v>1</v>
      </c>
      <c r="K20" s="31">
        <f>29355</f>
        <v>29355</v>
      </c>
      <c r="L20" s="32" t="s">
        <v>996</v>
      </c>
      <c r="M20" s="31">
        <f>30050</f>
        <v>30050</v>
      </c>
      <c r="N20" s="32" t="s">
        <v>997</v>
      </c>
      <c r="O20" s="31">
        <f>28555</f>
        <v>28555</v>
      </c>
      <c r="P20" s="32" t="s">
        <v>78</v>
      </c>
      <c r="Q20" s="31">
        <f>30050</f>
        <v>30050</v>
      </c>
      <c r="R20" s="32" t="s">
        <v>997</v>
      </c>
      <c r="S20" s="33">
        <f>29433</f>
        <v>29433</v>
      </c>
      <c r="T20" s="30">
        <f>627922</f>
        <v>627922</v>
      </c>
      <c r="U20" s="30">
        <f>48065</f>
        <v>48065</v>
      </c>
      <c r="V20" s="30">
        <f>18508259109</f>
        <v>18508259109</v>
      </c>
      <c r="W20" s="30">
        <f>1420303889</f>
        <v>1420303889</v>
      </c>
      <c r="X20" s="34">
        <f>20</f>
        <v>20</v>
      </c>
    </row>
    <row r="21" spans="1:24" ht="13.5" customHeight="1" x14ac:dyDescent="0.15">
      <c r="A21" s="25" t="s">
        <v>1032</v>
      </c>
      <c r="B21" s="25" t="s">
        <v>93</v>
      </c>
      <c r="C21" s="25" t="s">
        <v>94</v>
      </c>
      <c r="D21" s="25" t="s">
        <v>95</v>
      </c>
      <c r="E21" s="26" t="s">
        <v>45</v>
      </c>
      <c r="F21" s="27" t="s">
        <v>45</v>
      </c>
      <c r="G21" s="28" t="s">
        <v>45</v>
      </c>
      <c r="H21" s="29"/>
      <c r="I21" s="29" t="s">
        <v>46</v>
      </c>
      <c r="J21" s="30">
        <v>10</v>
      </c>
      <c r="K21" s="31">
        <f>29480</f>
        <v>29480</v>
      </c>
      <c r="L21" s="32" t="s">
        <v>996</v>
      </c>
      <c r="M21" s="31">
        <f>30180</f>
        <v>30180</v>
      </c>
      <c r="N21" s="32" t="s">
        <v>997</v>
      </c>
      <c r="O21" s="31">
        <f>28680</f>
        <v>28680</v>
      </c>
      <c r="P21" s="32" t="s">
        <v>78</v>
      </c>
      <c r="Q21" s="31">
        <f>30180</f>
        <v>30180</v>
      </c>
      <c r="R21" s="32" t="s">
        <v>997</v>
      </c>
      <c r="S21" s="33">
        <f>29559.5</f>
        <v>29559.5</v>
      </c>
      <c r="T21" s="30">
        <f>718160</f>
        <v>718160</v>
      </c>
      <c r="U21" s="30">
        <f>104290</f>
        <v>104290</v>
      </c>
      <c r="V21" s="30">
        <f>21268346271</f>
        <v>21268346271</v>
      </c>
      <c r="W21" s="30">
        <f>3104596321</f>
        <v>3104596321</v>
      </c>
      <c r="X21" s="34">
        <f>20</f>
        <v>20</v>
      </c>
    </row>
    <row r="22" spans="1:24" ht="13.5" customHeight="1" x14ac:dyDescent="0.15">
      <c r="A22" s="25" t="s">
        <v>1032</v>
      </c>
      <c r="B22" s="25" t="s">
        <v>96</v>
      </c>
      <c r="C22" s="25" t="s">
        <v>97</v>
      </c>
      <c r="D22" s="25" t="s">
        <v>98</v>
      </c>
      <c r="E22" s="26" t="s">
        <v>45</v>
      </c>
      <c r="F22" s="27" t="s">
        <v>45</v>
      </c>
      <c r="G22" s="28" t="s">
        <v>45</v>
      </c>
      <c r="H22" s="29"/>
      <c r="I22" s="29" t="s">
        <v>46</v>
      </c>
      <c r="J22" s="30">
        <v>10</v>
      </c>
      <c r="K22" s="31">
        <f>1931.5</f>
        <v>1931.5</v>
      </c>
      <c r="L22" s="32" t="s">
        <v>996</v>
      </c>
      <c r="M22" s="31">
        <f>2024.5</f>
        <v>2024.5</v>
      </c>
      <c r="N22" s="32" t="s">
        <v>997</v>
      </c>
      <c r="O22" s="31">
        <f>1929.5</f>
        <v>1929.5</v>
      </c>
      <c r="P22" s="32" t="s">
        <v>996</v>
      </c>
      <c r="Q22" s="31">
        <f>2023</f>
        <v>2023</v>
      </c>
      <c r="R22" s="32" t="s">
        <v>997</v>
      </c>
      <c r="S22" s="33">
        <f>1975.18</f>
        <v>1975.18</v>
      </c>
      <c r="T22" s="30">
        <f>12856980</f>
        <v>12856980</v>
      </c>
      <c r="U22" s="30">
        <f>230600</f>
        <v>230600</v>
      </c>
      <c r="V22" s="30">
        <f>25420352365</f>
        <v>25420352365</v>
      </c>
      <c r="W22" s="30">
        <f>455289475</f>
        <v>455289475</v>
      </c>
      <c r="X22" s="34">
        <f>20</f>
        <v>20</v>
      </c>
    </row>
    <row r="23" spans="1:24" ht="13.5" customHeight="1" x14ac:dyDescent="0.15">
      <c r="A23" s="25" t="s">
        <v>1032</v>
      </c>
      <c r="B23" s="25" t="s">
        <v>99</v>
      </c>
      <c r="C23" s="25" t="s">
        <v>100</v>
      </c>
      <c r="D23" s="25" t="s">
        <v>101</v>
      </c>
      <c r="E23" s="26" t="s">
        <v>45</v>
      </c>
      <c r="F23" s="27" t="s">
        <v>45</v>
      </c>
      <c r="G23" s="28" t="s">
        <v>45</v>
      </c>
      <c r="H23" s="29"/>
      <c r="I23" s="29" t="s">
        <v>46</v>
      </c>
      <c r="J23" s="30">
        <v>100</v>
      </c>
      <c r="K23" s="31">
        <f>1809.5</f>
        <v>1809.5</v>
      </c>
      <c r="L23" s="32" t="s">
        <v>996</v>
      </c>
      <c r="M23" s="31">
        <f>1898.5</f>
        <v>1898.5</v>
      </c>
      <c r="N23" s="32" t="s">
        <v>997</v>
      </c>
      <c r="O23" s="31">
        <f>1809</f>
        <v>1809</v>
      </c>
      <c r="P23" s="32" t="s">
        <v>996</v>
      </c>
      <c r="Q23" s="31">
        <f>1897</f>
        <v>1897</v>
      </c>
      <c r="R23" s="32" t="s">
        <v>997</v>
      </c>
      <c r="S23" s="33">
        <f>1850.5</f>
        <v>1850.5</v>
      </c>
      <c r="T23" s="30">
        <f>2063900</f>
        <v>2063900</v>
      </c>
      <c r="U23" s="30">
        <f>707100</f>
        <v>707100</v>
      </c>
      <c r="V23" s="30">
        <f>3830295804</f>
        <v>3830295804</v>
      </c>
      <c r="W23" s="30">
        <f>1317077254</f>
        <v>1317077254</v>
      </c>
      <c r="X23" s="34">
        <f>20</f>
        <v>20</v>
      </c>
    </row>
    <row r="24" spans="1:24" ht="13.5" customHeight="1" x14ac:dyDescent="0.15">
      <c r="A24" s="25" t="s">
        <v>1032</v>
      </c>
      <c r="B24" s="25" t="s">
        <v>102</v>
      </c>
      <c r="C24" s="25" t="s">
        <v>103</v>
      </c>
      <c r="D24" s="25" t="s">
        <v>104</v>
      </c>
      <c r="E24" s="26" t="s">
        <v>45</v>
      </c>
      <c r="F24" s="27" t="s">
        <v>45</v>
      </c>
      <c r="G24" s="28" t="s">
        <v>45</v>
      </c>
      <c r="H24" s="29"/>
      <c r="I24" s="29" t="s">
        <v>46</v>
      </c>
      <c r="J24" s="30">
        <v>1</v>
      </c>
      <c r="K24" s="31">
        <f>29300</f>
        <v>29300</v>
      </c>
      <c r="L24" s="32" t="s">
        <v>996</v>
      </c>
      <c r="M24" s="31">
        <f>29990</f>
        <v>29990</v>
      </c>
      <c r="N24" s="32" t="s">
        <v>997</v>
      </c>
      <c r="O24" s="31">
        <f>28505</f>
        <v>28505</v>
      </c>
      <c r="P24" s="32" t="s">
        <v>78</v>
      </c>
      <c r="Q24" s="31">
        <f>29980</f>
        <v>29980</v>
      </c>
      <c r="R24" s="32" t="s">
        <v>997</v>
      </c>
      <c r="S24" s="33">
        <f>29373.5</f>
        <v>29373.5</v>
      </c>
      <c r="T24" s="30">
        <f>548029</f>
        <v>548029</v>
      </c>
      <c r="U24" s="30">
        <f>107990</f>
        <v>107990</v>
      </c>
      <c r="V24" s="30">
        <f>16097215303</f>
        <v>16097215303</v>
      </c>
      <c r="W24" s="30">
        <f>3167630493</f>
        <v>3167630493</v>
      </c>
      <c r="X24" s="34">
        <f>20</f>
        <v>20</v>
      </c>
    </row>
    <row r="25" spans="1:24" ht="13.5" customHeight="1" x14ac:dyDescent="0.15">
      <c r="A25" s="25" t="s">
        <v>1032</v>
      </c>
      <c r="B25" s="25" t="s">
        <v>105</v>
      </c>
      <c r="C25" s="25" t="s">
        <v>106</v>
      </c>
      <c r="D25" s="25" t="s">
        <v>107</v>
      </c>
      <c r="E25" s="26" t="s">
        <v>45</v>
      </c>
      <c r="F25" s="27" t="s">
        <v>45</v>
      </c>
      <c r="G25" s="28" t="s">
        <v>45</v>
      </c>
      <c r="H25" s="29"/>
      <c r="I25" s="29" t="s">
        <v>46</v>
      </c>
      <c r="J25" s="30">
        <v>10</v>
      </c>
      <c r="K25" s="31">
        <f>2107</f>
        <v>2107</v>
      </c>
      <c r="L25" s="32" t="s">
        <v>996</v>
      </c>
      <c r="M25" s="31">
        <f>2149</f>
        <v>2149</v>
      </c>
      <c r="N25" s="32" t="s">
        <v>997</v>
      </c>
      <c r="O25" s="31">
        <f>2046</f>
        <v>2046</v>
      </c>
      <c r="P25" s="32" t="s">
        <v>78</v>
      </c>
      <c r="Q25" s="31">
        <f>2149</f>
        <v>2149</v>
      </c>
      <c r="R25" s="32" t="s">
        <v>997</v>
      </c>
      <c r="S25" s="33">
        <f>2105.95</f>
        <v>2105.9499999999998</v>
      </c>
      <c r="T25" s="30">
        <f>24387940</f>
        <v>24387940</v>
      </c>
      <c r="U25" s="30">
        <f>20986790</f>
        <v>20986790</v>
      </c>
      <c r="V25" s="30">
        <f>51214518503</f>
        <v>51214518503</v>
      </c>
      <c r="W25" s="30">
        <f>44045671738</f>
        <v>44045671738</v>
      </c>
      <c r="X25" s="34">
        <f>20</f>
        <v>20</v>
      </c>
    </row>
    <row r="26" spans="1:24" ht="13.5" customHeight="1" x14ac:dyDescent="0.15">
      <c r="A26" s="25" t="s">
        <v>1032</v>
      </c>
      <c r="B26" s="25" t="s">
        <v>108</v>
      </c>
      <c r="C26" s="25" t="s">
        <v>109</v>
      </c>
      <c r="D26" s="25" t="s">
        <v>110</v>
      </c>
      <c r="E26" s="26" t="s">
        <v>45</v>
      </c>
      <c r="F26" s="27" t="s">
        <v>45</v>
      </c>
      <c r="G26" s="28" t="s">
        <v>45</v>
      </c>
      <c r="H26" s="29"/>
      <c r="I26" s="29" t="s">
        <v>46</v>
      </c>
      <c r="J26" s="30">
        <v>1</v>
      </c>
      <c r="K26" s="31">
        <f>14590</f>
        <v>14590</v>
      </c>
      <c r="L26" s="32" t="s">
        <v>996</v>
      </c>
      <c r="M26" s="31">
        <f>14745</f>
        <v>14745</v>
      </c>
      <c r="N26" s="32" t="s">
        <v>997</v>
      </c>
      <c r="O26" s="31">
        <f>14405</f>
        <v>14405</v>
      </c>
      <c r="P26" s="32" t="s">
        <v>78</v>
      </c>
      <c r="Q26" s="31">
        <f>14745</f>
        <v>14745</v>
      </c>
      <c r="R26" s="32" t="s">
        <v>997</v>
      </c>
      <c r="S26" s="33">
        <f>14589.71</f>
        <v>14589.71</v>
      </c>
      <c r="T26" s="30">
        <f>541</f>
        <v>541</v>
      </c>
      <c r="U26" s="30" t="str">
        <f>"－"</f>
        <v>－</v>
      </c>
      <c r="V26" s="30">
        <f>7899225</f>
        <v>7899225</v>
      </c>
      <c r="W26" s="30" t="str">
        <f>"－"</f>
        <v>－</v>
      </c>
      <c r="X26" s="34">
        <f>17</f>
        <v>17</v>
      </c>
    </row>
    <row r="27" spans="1:24" ht="13.5" customHeight="1" x14ac:dyDescent="0.15">
      <c r="A27" s="25" t="s">
        <v>1032</v>
      </c>
      <c r="B27" s="25" t="s">
        <v>111</v>
      </c>
      <c r="C27" s="25" t="s">
        <v>112</v>
      </c>
      <c r="D27" s="25" t="s">
        <v>113</v>
      </c>
      <c r="E27" s="26" t="s">
        <v>45</v>
      </c>
      <c r="F27" s="27" t="s">
        <v>45</v>
      </c>
      <c r="G27" s="28" t="s">
        <v>45</v>
      </c>
      <c r="H27" s="29"/>
      <c r="I27" s="29" t="s">
        <v>46</v>
      </c>
      <c r="J27" s="30">
        <v>10</v>
      </c>
      <c r="K27" s="31">
        <f>807</f>
        <v>807</v>
      </c>
      <c r="L27" s="32" t="s">
        <v>996</v>
      </c>
      <c r="M27" s="31">
        <f>855.8</f>
        <v>855.8</v>
      </c>
      <c r="N27" s="32" t="s">
        <v>78</v>
      </c>
      <c r="O27" s="31">
        <f>772.9</f>
        <v>772.9</v>
      </c>
      <c r="P27" s="32" t="s">
        <v>997</v>
      </c>
      <c r="Q27" s="31">
        <f>772.9</f>
        <v>772.9</v>
      </c>
      <c r="R27" s="32" t="s">
        <v>997</v>
      </c>
      <c r="S27" s="33">
        <f>807.18</f>
        <v>807.18</v>
      </c>
      <c r="T27" s="30">
        <f>8460190</f>
        <v>8460190</v>
      </c>
      <c r="U27" s="30">
        <f>1510</f>
        <v>1510</v>
      </c>
      <c r="V27" s="30">
        <f>6839279508</f>
        <v>6839279508</v>
      </c>
      <c r="W27" s="30">
        <f>1214370</f>
        <v>1214370</v>
      </c>
      <c r="X27" s="34">
        <f>20</f>
        <v>20</v>
      </c>
    </row>
    <row r="28" spans="1:24" ht="13.5" customHeight="1" x14ac:dyDescent="0.15">
      <c r="A28" s="25" t="s">
        <v>1032</v>
      </c>
      <c r="B28" s="25" t="s">
        <v>114</v>
      </c>
      <c r="C28" s="25" t="s">
        <v>115</v>
      </c>
      <c r="D28" s="25" t="s">
        <v>116</v>
      </c>
      <c r="E28" s="26" t="s">
        <v>45</v>
      </c>
      <c r="F28" s="27" t="s">
        <v>45</v>
      </c>
      <c r="G28" s="28" t="s">
        <v>45</v>
      </c>
      <c r="H28" s="29"/>
      <c r="I28" s="29" t="s">
        <v>46</v>
      </c>
      <c r="J28" s="30">
        <v>1</v>
      </c>
      <c r="K28" s="31">
        <f>322</f>
        <v>322</v>
      </c>
      <c r="L28" s="32" t="s">
        <v>996</v>
      </c>
      <c r="M28" s="31">
        <f>340</f>
        <v>340</v>
      </c>
      <c r="N28" s="32" t="s">
        <v>78</v>
      </c>
      <c r="O28" s="31">
        <f>306</f>
        <v>306</v>
      </c>
      <c r="P28" s="32" t="s">
        <v>997</v>
      </c>
      <c r="Q28" s="31">
        <f>306</f>
        <v>306</v>
      </c>
      <c r="R28" s="32" t="s">
        <v>997</v>
      </c>
      <c r="S28" s="33">
        <f>319.35</f>
        <v>319.35000000000002</v>
      </c>
      <c r="T28" s="30">
        <f>1084902744</f>
        <v>1084902744</v>
      </c>
      <c r="U28" s="30">
        <f>4699164</f>
        <v>4699164</v>
      </c>
      <c r="V28" s="30">
        <f>345934709308</f>
        <v>345934709308</v>
      </c>
      <c r="W28" s="30">
        <f>1463621899</f>
        <v>1463621899</v>
      </c>
      <c r="X28" s="34">
        <f>20</f>
        <v>20</v>
      </c>
    </row>
    <row r="29" spans="1:24" ht="13.5" customHeight="1" x14ac:dyDescent="0.15">
      <c r="A29" s="25" t="s">
        <v>1032</v>
      </c>
      <c r="B29" s="25" t="s">
        <v>117</v>
      </c>
      <c r="C29" s="25" t="s">
        <v>118</v>
      </c>
      <c r="D29" s="25" t="s">
        <v>119</v>
      </c>
      <c r="E29" s="26" t="s">
        <v>45</v>
      </c>
      <c r="F29" s="27" t="s">
        <v>45</v>
      </c>
      <c r="G29" s="28" t="s">
        <v>45</v>
      </c>
      <c r="H29" s="29"/>
      <c r="I29" s="29" t="s">
        <v>46</v>
      </c>
      <c r="J29" s="30">
        <v>1</v>
      </c>
      <c r="K29" s="31">
        <f>28035</f>
        <v>28035</v>
      </c>
      <c r="L29" s="32" t="s">
        <v>996</v>
      </c>
      <c r="M29" s="31">
        <f>29335</f>
        <v>29335</v>
      </c>
      <c r="N29" s="32" t="s">
        <v>997</v>
      </c>
      <c r="O29" s="31">
        <f>26520</f>
        <v>26520</v>
      </c>
      <c r="P29" s="32" t="s">
        <v>78</v>
      </c>
      <c r="Q29" s="31">
        <f>29325</f>
        <v>29325</v>
      </c>
      <c r="R29" s="32" t="s">
        <v>997</v>
      </c>
      <c r="S29" s="33">
        <f>28161.75</f>
        <v>28161.75</v>
      </c>
      <c r="T29" s="30">
        <f>307312</f>
        <v>307312</v>
      </c>
      <c r="U29" s="30" t="str">
        <f>"－"</f>
        <v>－</v>
      </c>
      <c r="V29" s="30">
        <f>8619357415</f>
        <v>8619357415</v>
      </c>
      <c r="W29" s="30" t="str">
        <f>"－"</f>
        <v>－</v>
      </c>
      <c r="X29" s="34">
        <f>20</f>
        <v>20</v>
      </c>
    </row>
    <row r="30" spans="1:24" ht="13.5" customHeight="1" x14ac:dyDescent="0.15">
      <c r="A30" s="25" t="s">
        <v>1032</v>
      </c>
      <c r="B30" s="25" t="s">
        <v>120</v>
      </c>
      <c r="C30" s="25" t="s">
        <v>121</v>
      </c>
      <c r="D30" s="25" t="s">
        <v>122</v>
      </c>
      <c r="E30" s="26" t="s">
        <v>45</v>
      </c>
      <c r="F30" s="27" t="s">
        <v>45</v>
      </c>
      <c r="G30" s="28" t="s">
        <v>45</v>
      </c>
      <c r="H30" s="29"/>
      <c r="I30" s="29" t="s">
        <v>46</v>
      </c>
      <c r="J30" s="30">
        <v>10</v>
      </c>
      <c r="K30" s="31">
        <f>785.4</f>
        <v>785.4</v>
      </c>
      <c r="L30" s="32" t="s">
        <v>996</v>
      </c>
      <c r="M30" s="31">
        <f>829.4</f>
        <v>829.4</v>
      </c>
      <c r="N30" s="32" t="s">
        <v>78</v>
      </c>
      <c r="O30" s="31">
        <f>747.5</f>
        <v>747.5</v>
      </c>
      <c r="P30" s="32" t="s">
        <v>997</v>
      </c>
      <c r="Q30" s="31">
        <f>747.5</f>
        <v>747.5</v>
      </c>
      <c r="R30" s="32" t="s">
        <v>997</v>
      </c>
      <c r="S30" s="33">
        <f>780.68</f>
        <v>780.68</v>
      </c>
      <c r="T30" s="30">
        <f>226325970</f>
        <v>226325970</v>
      </c>
      <c r="U30" s="30">
        <f>543200</f>
        <v>543200</v>
      </c>
      <c r="V30" s="30">
        <f>176722778196</f>
        <v>176722778196</v>
      </c>
      <c r="W30" s="30">
        <f>425397290</f>
        <v>425397290</v>
      </c>
      <c r="X30" s="34">
        <f>20</f>
        <v>20</v>
      </c>
    </row>
    <row r="31" spans="1:24" ht="13.5" customHeight="1" x14ac:dyDescent="0.15">
      <c r="A31" s="25" t="s">
        <v>1032</v>
      </c>
      <c r="B31" s="25" t="s">
        <v>123</v>
      </c>
      <c r="C31" s="25" t="s">
        <v>124</v>
      </c>
      <c r="D31" s="25" t="s">
        <v>125</v>
      </c>
      <c r="E31" s="26" t="s">
        <v>45</v>
      </c>
      <c r="F31" s="27" t="s">
        <v>45</v>
      </c>
      <c r="G31" s="28" t="s">
        <v>45</v>
      </c>
      <c r="H31" s="29"/>
      <c r="I31" s="29" t="s">
        <v>46</v>
      </c>
      <c r="J31" s="30">
        <v>1</v>
      </c>
      <c r="K31" s="31">
        <f>18725</f>
        <v>18725</v>
      </c>
      <c r="L31" s="32" t="s">
        <v>996</v>
      </c>
      <c r="M31" s="31">
        <f>19070</f>
        <v>19070</v>
      </c>
      <c r="N31" s="32" t="s">
        <v>789</v>
      </c>
      <c r="O31" s="31">
        <f>18180</f>
        <v>18180</v>
      </c>
      <c r="P31" s="32" t="s">
        <v>78</v>
      </c>
      <c r="Q31" s="31">
        <f>18970</f>
        <v>18970</v>
      </c>
      <c r="R31" s="32" t="s">
        <v>997</v>
      </c>
      <c r="S31" s="33">
        <f>18702.25</f>
        <v>18702.25</v>
      </c>
      <c r="T31" s="30">
        <f>5424</f>
        <v>5424</v>
      </c>
      <c r="U31" s="30">
        <f>1062</f>
        <v>1062</v>
      </c>
      <c r="V31" s="30">
        <f>101643810</f>
        <v>101643810</v>
      </c>
      <c r="W31" s="30">
        <f>19901880</f>
        <v>19901880</v>
      </c>
      <c r="X31" s="34">
        <f>20</f>
        <v>20</v>
      </c>
    </row>
    <row r="32" spans="1:24" ht="13.5" customHeight="1" x14ac:dyDescent="0.15">
      <c r="A32" s="25" t="s">
        <v>1032</v>
      </c>
      <c r="B32" s="25" t="s">
        <v>126</v>
      </c>
      <c r="C32" s="25" t="s">
        <v>1037</v>
      </c>
      <c r="D32" s="25" t="s">
        <v>1038</v>
      </c>
      <c r="E32" s="26" t="s">
        <v>45</v>
      </c>
      <c r="F32" s="27" t="s">
        <v>45</v>
      </c>
      <c r="G32" s="28" t="s">
        <v>45</v>
      </c>
      <c r="H32" s="29"/>
      <c r="I32" s="29" t="s">
        <v>46</v>
      </c>
      <c r="J32" s="30">
        <v>1</v>
      </c>
      <c r="K32" s="31">
        <f>23320</f>
        <v>23320</v>
      </c>
      <c r="L32" s="32" t="s">
        <v>996</v>
      </c>
      <c r="M32" s="31">
        <f>24395</f>
        <v>24395</v>
      </c>
      <c r="N32" s="32" t="s">
        <v>997</v>
      </c>
      <c r="O32" s="31">
        <f>22045</f>
        <v>22045</v>
      </c>
      <c r="P32" s="32" t="s">
        <v>78</v>
      </c>
      <c r="Q32" s="31">
        <f>24395</f>
        <v>24395</v>
      </c>
      <c r="R32" s="32" t="s">
        <v>997</v>
      </c>
      <c r="S32" s="33">
        <f>23419</f>
        <v>23419</v>
      </c>
      <c r="T32" s="30">
        <f>435505</f>
        <v>435505</v>
      </c>
      <c r="U32" s="30">
        <f>2713</f>
        <v>2713</v>
      </c>
      <c r="V32" s="30">
        <f>10200599715</f>
        <v>10200599715</v>
      </c>
      <c r="W32" s="30">
        <f>61503710</f>
        <v>61503710</v>
      </c>
      <c r="X32" s="34">
        <f>20</f>
        <v>20</v>
      </c>
    </row>
    <row r="33" spans="1:24" ht="13.5" customHeight="1" x14ac:dyDescent="0.15">
      <c r="A33" s="25" t="s">
        <v>1032</v>
      </c>
      <c r="B33" s="25" t="s">
        <v>129</v>
      </c>
      <c r="C33" s="25" t="s">
        <v>1039</v>
      </c>
      <c r="D33" s="25" t="s">
        <v>1040</v>
      </c>
      <c r="E33" s="26" t="s">
        <v>45</v>
      </c>
      <c r="F33" s="27" t="s">
        <v>45</v>
      </c>
      <c r="G33" s="28" t="s">
        <v>45</v>
      </c>
      <c r="H33" s="29"/>
      <c r="I33" s="29" t="s">
        <v>46</v>
      </c>
      <c r="J33" s="30">
        <v>1</v>
      </c>
      <c r="K33" s="31">
        <f>837</f>
        <v>837</v>
      </c>
      <c r="L33" s="32" t="s">
        <v>996</v>
      </c>
      <c r="M33" s="31">
        <f>883</f>
        <v>883</v>
      </c>
      <c r="N33" s="32" t="s">
        <v>78</v>
      </c>
      <c r="O33" s="31">
        <f>796</f>
        <v>796</v>
      </c>
      <c r="P33" s="32" t="s">
        <v>997</v>
      </c>
      <c r="Q33" s="31">
        <f>797</f>
        <v>797</v>
      </c>
      <c r="R33" s="32" t="s">
        <v>997</v>
      </c>
      <c r="S33" s="33">
        <f>831.5</f>
        <v>831.5</v>
      </c>
      <c r="T33" s="30">
        <f>16480908</f>
        <v>16480908</v>
      </c>
      <c r="U33" s="30">
        <f>4415</f>
        <v>4415</v>
      </c>
      <c r="V33" s="30">
        <f>13660070183</f>
        <v>13660070183</v>
      </c>
      <c r="W33" s="30">
        <f>3613420</f>
        <v>3613420</v>
      </c>
      <c r="X33" s="34">
        <f>20</f>
        <v>20</v>
      </c>
    </row>
    <row r="34" spans="1:24" ht="13.5" customHeight="1" x14ac:dyDescent="0.15">
      <c r="A34" s="25" t="s">
        <v>1032</v>
      </c>
      <c r="B34" s="25" t="s">
        <v>132</v>
      </c>
      <c r="C34" s="25" t="s">
        <v>1041</v>
      </c>
      <c r="D34" s="25" t="s">
        <v>1042</v>
      </c>
      <c r="E34" s="26" t="s">
        <v>45</v>
      </c>
      <c r="F34" s="27" t="s">
        <v>45</v>
      </c>
      <c r="G34" s="28" t="s">
        <v>45</v>
      </c>
      <c r="H34" s="29"/>
      <c r="I34" s="29" t="s">
        <v>46</v>
      </c>
      <c r="J34" s="30">
        <v>1</v>
      </c>
      <c r="K34" s="31">
        <f>20575</f>
        <v>20575</v>
      </c>
      <c r="L34" s="32" t="s">
        <v>996</v>
      </c>
      <c r="M34" s="31">
        <f>21360</f>
        <v>21360</v>
      </c>
      <c r="N34" s="32" t="s">
        <v>997</v>
      </c>
      <c r="O34" s="31">
        <f>19380</f>
        <v>19380</v>
      </c>
      <c r="P34" s="32" t="s">
        <v>78</v>
      </c>
      <c r="Q34" s="31">
        <f>21360</f>
        <v>21360</v>
      </c>
      <c r="R34" s="32" t="s">
        <v>997</v>
      </c>
      <c r="S34" s="33">
        <f>20545.25</f>
        <v>20545.25</v>
      </c>
      <c r="T34" s="30">
        <f>232354</f>
        <v>232354</v>
      </c>
      <c r="U34" s="30" t="str">
        <f>"－"</f>
        <v>－</v>
      </c>
      <c r="V34" s="30">
        <f>4771024255</f>
        <v>4771024255</v>
      </c>
      <c r="W34" s="30" t="str">
        <f>"－"</f>
        <v>－</v>
      </c>
      <c r="X34" s="34">
        <f>20</f>
        <v>20</v>
      </c>
    </row>
    <row r="35" spans="1:24" ht="13.5" customHeight="1" x14ac:dyDescent="0.15">
      <c r="A35" s="25" t="s">
        <v>1032</v>
      </c>
      <c r="B35" s="25" t="s">
        <v>135</v>
      </c>
      <c r="C35" s="25" t="s">
        <v>1043</v>
      </c>
      <c r="D35" s="25" t="s">
        <v>1044</v>
      </c>
      <c r="E35" s="26" t="s">
        <v>45</v>
      </c>
      <c r="F35" s="27" t="s">
        <v>45</v>
      </c>
      <c r="G35" s="28" t="s">
        <v>45</v>
      </c>
      <c r="H35" s="29"/>
      <c r="I35" s="29" t="s">
        <v>46</v>
      </c>
      <c r="J35" s="30">
        <v>1</v>
      </c>
      <c r="K35" s="31">
        <f>1170</f>
        <v>1170</v>
      </c>
      <c r="L35" s="32" t="s">
        <v>996</v>
      </c>
      <c r="M35" s="31">
        <f>1241</f>
        <v>1241</v>
      </c>
      <c r="N35" s="32" t="s">
        <v>78</v>
      </c>
      <c r="O35" s="31">
        <f>1121</f>
        <v>1121</v>
      </c>
      <c r="P35" s="32" t="s">
        <v>997</v>
      </c>
      <c r="Q35" s="31">
        <f>1121</f>
        <v>1121</v>
      </c>
      <c r="R35" s="32" t="s">
        <v>997</v>
      </c>
      <c r="S35" s="33">
        <f>1170.75</f>
        <v>1170.75</v>
      </c>
      <c r="T35" s="30">
        <f>846496</f>
        <v>846496</v>
      </c>
      <c r="U35" s="30">
        <f>32000</f>
        <v>32000</v>
      </c>
      <c r="V35" s="30">
        <f>985454218</f>
        <v>985454218</v>
      </c>
      <c r="W35" s="30">
        <f>37321600</f>
        <v>37321600</v>
      </c>
      <c r="X35" s="34">
        <f>20</f>
        <v>20</v>
      </c>
    </row>
    <row r="36" spans="1:24" ht="13.5" customHeight="1" x14ac:dyDescent="0.15">
      <c r="A36" s="25" t="s">
        <v>1032</v>
      </c>
      <c r="B36" s="25" t="s">
        <v>138</v>
      </c>
      <c r="C36" s="25" t="s">
        <v>139</v>
      </c>
      <c r="D36" s="25" t="s">
        <v>140</v>
      </c>
      <c r="E36" s="26" t="s">
        <v>45</v>
      </c>
      <c r="F36" s="27" t="s">
        <v>45</v>
      </c>
      <c r="G36" s="28" t="s">
        <v>45</v>
      </c>
      <c r="H36" s="29"/>
      <c r="I36" s="29" t="s">
        <v>46</v>
      </c>
      <c r="J36" s="30">
        <v>1</v>
      </c>
      <c r="K36" s="31">
        <f>28470</f>
        <v>28470</v>
      </c>
      <c r="L36" s="32" t="s">
        <v>996</v>
      </c>
      <c r="M36" s="31">
        <f>29135</f>
        <v>29135</v>
      </c>
      <c r="N36" s="32" t="s">
        <v>997</v>
      </c>
      <c r="O36" s="31">
        <f>27695</f>
        <v>27695</v>
      </c>
      <c r="P36" s="32" t="s">
        <v>78</v>
      </c>
      <c r="Q36" s="31">
        <f>29135</f>
        <v>29135</v>
      </c>
      <c r="R36" s="32" t="s">
        <v>997</v>
      </c>
      <c r="S36" s="33">
        <f>28541.25</f>
        <v>28541.25</v>
      </c>
      <c r="T36" s="30">
        <f>244518</f>
        <v>244518</v>
      </c>
      <c r="U36" s="30">
        <f>66000</f>
        <v>66000</v>
      </c>
      <c r="V36" s="30">
        <f>7008639405</f>
        <v>7008639405</v>
      </c>
      <c r="W36" s="30">
        <f>1884866160</f>
        <v>1884866160</v>
      </c>
      <c r="X36" s="34">
        <f>20</f>
        <v>20</v>
      </c>
    </row>
    <row r="37" spans="1:24" ht="13.5" customHeight="1" x14ac:dyDescent="0.15">
      <c r="A37" s="25" t="s">
        <v>1032</v>
      </c>
      <c r="B37" s="25" t="s">
        <v>141</v>
      </c>
      <c r="C37" s="25" t="s">
        <v>142</v>
      </c>
      <c r="D37" s="25" t="s">
        <v>143</v>
      </c>
      <c r="E37" s="26" t="s">
        <v>45</v>
      </c>
      <c r="F37" s="27" t="s">
        <v>45</v>
      </c>
      <c r="G37" s="28" t="s">
        <v>45</v>
      </c>
      <c r="H37" s="29" t="s">
        <v>316</v>
      </c>
      <c r="I37" s="29" t="s">
        <v>46</v>
      </c>
      <c r="J37" s="30">
        <v>1</v>
      </c>
      <c r="K37" s="31">
        <f>6240</f>
        <v>6240</v>
      </c>
      <c r="L37" s="32" t="s">
        <v>996</v>
      </c>
      <c r="M37" s="31">
        <f>6570</f>
        <v>6570</v>
      </c>
      <c r="N37" s="32" t="s">
        <v>789</v>
      </c>
      <c r="O37" s="31">
        <f>6100</f>
        <v>6100</v>
      </c>
      <c r="P37" s="32" t="s">
        <v>78</v>
      </c>
      <c r="Q37" s="31">
        <f>6570</f>
        <v>6570</v>
      </c>
      <c r="R37" s="32" t="s">
        <v>997</v>
      </c>
      <c r="S37" s="33">
        <f>6401</f>
        <v>6401</v>
      </c>
      <c r="T37" s="30">
        <f>9884</f>
        <v>9884</v>
      </c>
      <c r="U37" s="30" t="str">
        <f t="shared" ref="U37:U42" si="0">"－"</f>
        <v>－</v>
      </c>
      <c r="V37" s="30">
        <f>62752670</f>
        <v>62752670</v>
      </c>
      <c r="W37" s="30" t="str">
        <f t="shared" ref="W37:W42" si="1">"－"</f>
        <v>－</v>
      </c>
      <c r="X37" s="34">
        <f>20</f>
        <v>20</v>
      </c>
    </row>
    <row r="38" spans="1:24" ht="13.5" customHeight="1" x14ac:dyDescent="0.15">
      <c r="A38" s="25" t="s">
        <v>1032</v>
      </c>
      <c r="B38" s="25" t="s">
        <v>144</v>
      </c>
      <c r="C38" s="25" t="s">
        <v>145</v>
      </c>
      <c r="D38" s="25" t="s">
        <v>146</v>
      </c>
      <c r="E38" s="26" t="s">
        <v>45</v>
      </c>
      <c r="F38" s="27" t="s">
        <v>45</v>
      </c>
      <c r="G38" s="28" t="s">
        <v>45</v>
      </c>
      <c r="H38" s="29" t="s">
        <v>316</v>
      </c>
      <c r="I38" s="29" t="s">
        <v>46</v>
      </c>
      <c r="J38" s="30">
        <v>1</v>
      </c>
      <c r="K38" s="31">
        <f>10890</f>
        <v>10890</v>
      </c>
      <c r="L38" s="32" t="s">
        <v>996</v>
      </c>
      <c r="M38" s="31">
        <f>11500</f>
        <v>11500</v>
      </c>
      <c r="N38" s="32" t="s">
        <v>997</v>
      </c>
      <c r="O38" s="31">
        <f>10625</f>
        <v>10625</v>
      </c>
      <c r="P38" s="32" t="s">
        <v>78</v>
      </c>
      <c r="Q38" s="31">
        <f>11500</f>
        <v>11500</v>
      </c>
      <c r="R38" s="32" t="s">
        <v>997</v>
      </c>
      <c r="S38" s="33">
        <f>11101.25</f>
        <v>11101.25</v>
      </c>
      <c r="T38" s="30">
        <f>4198</f>
        <v>4198</v>
      </c>
      <c r="U38" s="30" t="str">
        <f t="shared" si="0"/>
        <v>－</v>
      </c>
      <c r="V38" s="30">
        <f>46130670</f>
        <v>46130670</v>
      </c>
      <c r="W38" s="30" t="str">
        <f t="shared" si="1"/>
        <v>－</v>
      </c>
      <c r="X38" s="34">
        <f>20</f>
        <v>20</v>
      </c>
    </row>
    <row r="39" spans="1:24" ht="13.5" customHeight="1" x14ac:dyDescent="0.15">
      <c r="A39" s="25" t="s">
        <v>1032</v>
      </c>
      <c r="B39" s="25" t="s">
        <v>147</v>
      </c>
      <c r="C39" s="25" t="s">
        <v>148</v>
      </c>
      <c r="D39" s="25" t="s">
        <v>149</v>
      </c>
      <c r="E39" s="26" t="s">
        <v>45</v>
      </c>
      <c r="F39" s="27" t="s">
        <v>45</v>
      </c>
      <c r="G39" s="28" t="s">
        <v>45</v>
      </c>
      <c r="H39" s="29" t="s">
        <v>316</v>
      </c>
      <c r="I39" s="29" t="s">
        <v>46</v>
      </c>
      <c r="J39" s="30">
        <v>1</v>
      </c>
      <c r="K39" s="31">
        <f>21010</f>
        <v>21010</v>
      </c>
      <c r="L39" s="32" t="s">
        <v>996</v>
      </c>
      <c r="M39" s="31">
        <f>21995</f>
        <v>21995</v>
      </c>
      <c r="N39" s="32" t="s">
        <v>789</v>
      </c>
      <c r="O39" s="31">
        <f>20790</f>
        <v>20790</v>
      </c>
      <c r="P39" s="32" t="s">
        <v>784</v>
      </c>
      <c r="Q39" s="31">
        <f>21810</f>
        <v>21810</v>
      </c>
      <c r="R39" s="32" t="s">
        <v>789</v>
      </c>
      <c r="S39" s="33">
        <f>21262.92</f>
        <v>21262.92</v>
      </c>
      <c r="T39" s="30">
        <f>161</f>
        <v>161</v>
      </c>
      <c r="U39" s="30" t="str">
        <f t="shared" si="0"/>
        <v>－</v>
      </c>
      <c r="V39" s="30">
        <f>3391450</f>
        <v>3391450</v>
      </c>
      <c r="W39" s="30" t="str">
        <f t="shared" si="1"/>
        <v>－</v>
      </c>
      <c r="X39" s="34">
        <f>12</f>
        <v>12</v>
      </c>
    </row>
    <row r="40" spans="1:24" ht="13.5" customHeight="1" x14ac:dyDescent="0.15">
      <c r="A40" s="25" t="s">
        <v>1032</v>
      </c>
      <c r="B40" s="25" t="s">
        <v>150</v>
      </c>
      <c r="C40" s="25" t="s">
        <v>151</v>
      </c>
      <c r="D40" s="25" t="s">
        <v>152</v>
      </c>
      <c r="E40" s="26" t="s">
        <v>45</v>
      </c>
      <c r="F40" s="27" t="s">
        <v>45</v>
      </c>
      <c r="G40" s="28" t="s">
        <v>45</v>
      </c>
      <c r="H40" s="29" t="s">
        <v>316</v>
      </c>
      <c r="I40" s="29" t="s">
        <v>46</v>
      </c>
      <c r="J40" s="30">
        <v>1</v>
      </c>
      <c r="K40" s="31">
        <f>16265</f>
        <v>16265</v>
      </c>
      <c r="L40" s="32" t="s">
        <v>785</v>
      </c>
      <c r="M40" s="31">
        <f>17570</f>
        <v>17570</v>
      </c>
      <c r="N40" s="32" t="s">
        <v>790</v>
      </c>
      <c r="O40" s="31">
        <f>16265</f>
        <v>16265</v>
      </c>
      <c r="P40" s="32" t="s">
        <v>785</v>
      </c>
      <c r="Q40" s="31">
        <f>17570</f>
        <v>17570</v>
      </c>
      <c r="R40" s="32" t="s">
        <v>790</v>
      </c>
      <c r="S40" s="33">
        <f>16958</f>
        <v>16958</v>
      </c>
      <c r="T40" s="30">
        <f>38</f>
        <v>38</v>
      </c>
      <c r="U40" s="30" t="str">
        <f t="shared" si="0"/>
        <v>－</v>
      </c>
      <c r="V40" s="30">
        <f>634675</f>
        <v>634675</v>
      </c>
      <c r="W40" s="30" t="str">
        <f t="shared" si="1"/>
        <v>－</v>
      </c>
      <c r="X40" s="34">
        <f>5</f>
        <v>5</v>
      </c>
    </row>
    <row r="41" spans="1:24" ht="13.5" customHeight="1" x14ac:dyDescent="0.15">
      <c r="A41" s="25" t="s">
        <v>1032</v>
      </c>
      <c r="B41" s="25" t="s">
        <v>153</v>
      </c>
      <c r="C41" s="25" t="s">
        <v>154</v>
      </c>
      <c r="D41" s="25" t="s">
        <v>155</v>
      </c>
      <c r="E41" s="26" t="s">
        <v>45</v>
      </c>
      <c r="F41" s="27" t="s">
        <v>45</v>
      </c>
      <c r="G41" s="28" t="s">
        <v>45</v>
      </c>
      <c r="H41" s="29" t="s">
        <v>316</v>
      </c>
      <c r="I41" s="29" t="s">
        <v>46</v>
      </c>
      <c r="J41" s="30">
        <v>1</v>
      </c>
      <c r="K41" s="31">
        <f>11750</f>
        <v>11750</v>
      </c>
      <c r="L41" s="32" t="s">
        <v>996</v>
      </c>
      <c r="M41" s="31">
        <f>12200</f>
        <v>12200</v>
      </c>
      <c r="N41" s="32" t="s">
        <v>789</v>
      </c>
      <c r="O41" s="31">
        <f>11450</f>
        <v>11450</v>
      </c>
      <c r="P41" s="32" t="s">
        <v>78</v>
      </c>
      <c r="Q41" s="31">
        <f>12150</f>
        <v>12150</v>
      </c>
      <c r="R41" s="32" t="s">
        <v>997</v>
      </c>
      <c r="S41" s="33">
        <f>11901</f>
        <v>11901</v>
      </c>
      <c r="T41" s="30">
        <f>1146</f>
        <v>1146</v>
      </c>
      <c r="U41" s="30" t="str">
        <f t="shared" si="0"/>
        <v>－</v>
      </c>
      <c r="V41" s="30">
        <f>13566420</f>
        <v>13566420</v>
      </c>
      <c r="W41" s="30" t="str">
        <f t="shared" si="1"/>
        <v>－</v>
      </c>
      <c r="X41" s="34">
        <f>20</f>
        <v>20</v>
      </c>
    </row>
    <row r="42" spans="1:24" ht="13.5" customHeight="1" x14ac:dyDescent="0.15">
      <c r="A42" s="25" t="s">
        <v>1032</v>
      </c>
      <c r="B42" s="25" t="s">
        <v>156</v>
      </c>
      <c r="C42" s="25" t="s">
        <v>157</v>
      </c>
      <c r="D42" s="25" t="s">
        <v>158</v>
      </c>
      <c r="E42" s="26" t="s">
        <v>45</v>
      </c>
      <c r="F42" s="27" t="s">
        <v>45</v>
      </c>
      <c r="G42" s="28" t="s">
        <v>45</v>
      </c>
      <c r="H42" s="29" t="s">
        <v>316</v>
      </c>
      <c r="I42" s="29" t="s">
        <v>46</v>
      </c>
      <c r="J42" s="30">
        <v>1</v>
      </c>
      <c r="K42" s="31">
        <f>5790</f>
        <v>5790</v>
      </c>
      <c r="L42" s="32" t="s">
        <v>996</v>
      </c>
      <c r="M42" s="31">
        <f>5920</f>
        <v>5920</v>
      </c>
      <c r="N42" s="32" t="s">
        <v>996</v>
      </c>
      <c r="O42" s="31">
        <f>5630</f>
        <v>5630</v>
      </c>
      <c r="P42" s="32" t="s">
        <v>786</v>
      </c>
      <c r="Q42" s="31">
        <f>5760</f>
        <v>5760</v>
      </c>
      <c r="R42" s="32" t="s">
        <v>997</v>
      </c>
      <c r="S42" s="33">
        <f>5763</f>
        <v>5763</v>
      </c>
      <c r="T42" s="30">
        <f>3352</f>
        <v>3352</v>
      </c>
      <c r="U42" s="30" t="str">
        <f t="shared" si="0"/>
        <v>－</v>
      </c>
      <c r="V42" s="30">
        <f>19315380</f>
        <v>19315380</v>
      </c>
      <c r="W42" s="30" t="str">
        <f t="shared" si="1"/>
        <v>－</v>
      </c>
      <c r="X42" s="34">
        <f>20</f>
        <v>20</v>
      </c>
    </row>
    <row r="43" spans="1:24" ht="13.5" customHeight="1" x14ac:dyDescent="0.15">
      <c r="A43" s="25" t="s">
        <v>1032</v>
      </c>
      <c r="B43" s="25" t="s">
        <v>159</v>
      </c>
      <c r="C43" s="25" t="s">
        <v>160</v>
      </c>
      <c r="D43" s="25" t="s">
        <v>161</v>
      </c>
      <c r="E43" s="26" t="s">
        <v>45</v>
      </c>
      <c r="F43" s="27" t="s">
        <v>45</v>
      </c>
      <c r="G43" s="28" t="s">
        <v>45</v>
      </c>
      <c r="H43" s="29" t="s">
        <v>316</v>
      </c>
      <c r="I43" s="29" t="s">
        <v>46</v>
      </c>
      <c r="J43" s="30">
        <v>1</v>
      </c>
      <c r="K43" s="31">
        <f>3095</f>
        <v>3095</v>
      </c>
      <c r="L43" s="32" t="s">
        <v>996</v>
      </c>
      <c r="M43" s="31">
        <f>3335</f>
        <v>3335</v>
      </c>
      <c r="N43" s="32" t="s">
        <v>789</v>
      </c>
      <c r="O43" s="31">
        <f>3020</f>
        <v>3020</v>
      </c>
      <c r="P43" s="32" t="s">
        <v>784</v>
      </c>
      <c r="Q43" s="31">
        <f>3260</f>
        <v>3260</v>
      </c>
      <c r="R43" s="32" t="s">
        <v>997</v>
      </c>
      <c r="S43" s="33">
        <f>3171.75</f>
        <v>3171.75</v>
      </c>
      <c r="T43" s="30">
        <f>12535</f>
        <v>12535</v>
      </c>
      <c r="U43" s="30">
        <f>4</f>
        <v>4</v>
      </c>
      <c r="V43" s="30">
        <f>39388708</f>
        <v>39388708</v>
      </c>
      <c r="W43" s="30">
        <f>11368</f>
        <v>11368</v>
      </c>
      <c r="X43" s="34">
        <f>20</f>
        <v>20</v>
      </c>
    </row>
    <row r="44" spans="1:24" ht="13.5" customHeight="1" x14ac:dyDescent="0.15">
      <c r="A44" s="25" t="s">
        <v>1032</v>
      </c>
      <c r="B44" s="25" t="s">
        <v>162</v>
      </c>
      <c r="C44" s="25" t="s">
        <v>163</v>
      </c>
      <c r="D44" s="25" t="s">
        <v>164</v>
      </c>
      <c r="E44" s="26" t="s">
        <v>45</v>
      </c>
      <c r="F44" s="27" t="s">
        <v>45</v>
      </c>
      <c r="G44" s="28" t="s">
        <v>45</v>
      </c>
      <c r="H44" s="29" t="s">
        <v>316</v>
      </c>
      <c r="I44" s="29" t="s">
        <v>46</v>
      </c>
      <c r="J44" s="30">
        <v>1</v>
      </c>
      <c r="K44" s="31">
        <f>3145</f>
        <v>3145</v>
      </c>
      <c r="L44" s="32" t="s">
        <v>996</v>
      </c>
      <c r="M44" s="31">
        <f>3360</f>
        <v>3360</v>
      </c>
      <c r="N44" s="32" t="s">
        <v>790</v>
      </c>
      <c r="O44" s="31">
        <f>3125</f>
        <v>3125</v>
      </c>
      <c r="P44" s="32" t="s">
        <v>78</v>
      </c>
      <c r="Q44" s="31">
        <f>3310</f>
        <v>3310</v>
      </c>
      <c r="R44" s="32" t="s">
        <v>997</v>
      </c>
      <c r="S44" s="33">
        <f>3244.75</f>
        <v>3244.75</v>
      </c>
      <c r="T44" s="30">
        <f>4377</f>
        <v>4377</v>
      </c>
      <c r="U44" s="30" t="str">
        <f>"－"</f>
        <v>－</v>
      </c>
      <c r="V44" s="30">
        <f>14222310</f>
        <v>14222310</v>
      </c>
      <c r="W44" s="30" t="str">
        <f>"－"</f>
        <v>－</v>
      </c>
      <c r="X44" s="34">
        <f>20</f>
        <v>20</v>
      </c>
    </row>
    <row r="45" spans="1:24" ht="13.5" customHeight="1" x14ac:dyDescent="0.15">
      <c r="A45" s="25" t="s">
        <v>1032</v>
      </c>
      <c r="B45" s="25" t="s">
        <v>165</v>
      </c>
      <c r="C45" s="25" t="s">
        <v>166</v>
      </c>
      <c r="D45" s="25" t="s">
        <v>167</v>
      </c>
      <c r="E45" s="26" t="s">
        <v>45</v>
      </c>
      <c r="F45" s="27" t="s">
        <v>45</v>
      </c>
      <c r="G45" s="28" t="s">
        <v>45</v>
      </c>
      <c r="H45" s="29" t="s">
        <v>316</v>
      </c>
      <c r="I45" s="29" t="s">
        <v>46</v>
      </c>
      <c r="J45" s="30">
        <v>1</v>
      </c>
      <c r="K45" s="31">
        <f>52500</f>
        <v>52500</v>
      </c>
      <c r="L45" s="32" t="s">
        <v>996</v>
      </c>
      <c r="M45" s="31">
        <f>54090</f>
        <v>54090</v>
      </c>
      <c r="N45" s="32" t="s">
        <v>80</v>
      </c>
      <c r="O45" s="31">
        <f>51500</f>
        <v>51500</v>
      </c>
      <c r="P45" s="32" t="s">
        <v>78</v>
      </c>
      <c r="Q45" s="31">
        <f>52880</f>
        <v>52880</v>
      </c>
      <c r="R45" s="32" t="s">
        <v>997</v>
      </c>
      <c r="S45" s="33">
        <f>52672.78</f>
        <v>52672.78</v>
      </c>
      <c r="T45" s="30">
        <f>508</f>
        <v>508</v>
      </c>
      <c r="U45" s="30" t="str">
        <f>"－"</f>
        <v>－</v>
      </c>
      <c r="V45" s="30">
        <f>26852640</f>
        <v>26852640</v>
      </c>
      <c r="W45" s="30" t="str">
        <f>"－"</f>
        <v>－</v>
      </c>
      <c r="X45" s="34">
        <f>18</f>
        <v>18</v>
      </c>
    </row>
    <row r="46" spans="1:24" ht="13.5" customHeight="1" x14ac:dyDescent="0.15">
      <c r="A46" s="25" t="s">
        <v>1032</v>
      </c>
      <c r="B46" s="25" t="s">
        <v>168</v>
      </c>
      <c r="C46" s="25" t="s">
        <v>169</v>
      </c>
      <c r="D46" s="25" t="s">
        <v>170</v>
      </c>
      <c r="E46" s="26" t="s">
        <v>45</v>
      </c>
      <c r="F46" s="27" t="s">
        <v>45</v>
      </c>
      <c r="G46" s="28" t="s">
        <v>45</v>
      </c>
      <c r="H46" s="29" t="s">
        <v>316</v>
      </c>
      <c r="I46" s="29" t="s">
        <v>46</v>
      </c>
      <c r="J46" s="30">
        <v>1</v>
      </c>
      <c r="K46" s="31">
        <f>37330</f>
        <v>37330</v>
      </c>
      <c r="L46" s="32" t="s">
        <v>996</v>
      </c>
      <c r="M46" s="31">
        <f>39400</f>
        <v>39400</v>
      </c>
      <c r="N46" s="32" t="s">
        <v>80</v>
      </c>
      <c r="O46" s="31">
        <f>37080</f>
        <v>37080</v>
      </c>
      <c r="P46" s="32" t="s">
        <v>996</v>
      </c>
      <c r="Q46" s="31">
        <f>38080</f>
        <v>38080</v>
      </c>
      <c r="R46" s="32" t="s">
        <v>997</v>
      </c>
      <c r="S46" s="33">
        <f>38005</f>
        <v>38005</v>
      </c>
      <c r="T46" s="30">
        <f>187</f>
        <v>187</v>
      </c>
      <c r="U46" s="30" t="str">
        <f>"－"</f>
        <v>－</v>
      </c>
      <c r="V46" s="30">
        <f>7101900</f>
        <v>7101900</v>
      </c>
      <c r="W46" s="30" t="str">
        <f>"－"</f>
        <v>－</v>
      </c>
      <c r="X46" s="34">
        <f>14</f>
        <v>14</v>
      </c>
    </row>
    <row r="47" spans="1:24" ht="13.5" customHeight="1" x14ac:dyDescent="0.15">
      <c r="A47" s="25" t="s">
        <v>1032</v>
      </c>
      <c r="B47" s="25" t="s">
        <v>171</v>
      </c>
      <c r="C47" s="25" t="s">
        <v>172</v>
      </c>
      <c r="D47" s="25" t="s">
        <v>173</v>
      </c>
      <c r="E47" s="26" t="s">
        <v>45</v>
      </c>
      <c r="F47" s="27" t="s">
        <v>45</v>
      </c>
      <c r="G47" s="28" t="s">
        <v>45</v>
      </c>
      <c r="H47" s="29"/>
      <c r="I47" s="29" t="s">
        <v>46</v>
      </c>
      <c r="J47" s="30">
        <v>1</v>
      </c>
      <c r="K47" s="31">
        <f>28750</f>
        <v>28750</v>
      </c>
      <c r="L47" s="32" t="s">
        <v>996</v>
      </c>
      <c r="M47" s="31">
        <f>29015</f>
        <v>29015</v>
      </c>
      <c r="N47" s="32" t="s">
        <v>998</v>
      </c>
      <c r="O47" s="31">
        <f>27690</f>
        <v>27690</v>
      </c>
      <c r="P47" s="32" t="s">
        <v>78</v>
      </c>
      <c r="Q47" s="31">
        <f>29000</f>
        <v>29000</v>
      </c>
      <c r="R47" s="32" t="s">
        <v>997</v>
      </c>
      <c r="S47" s="33">
        <f>28600.5</f>
        <v>28600.5</v>
      </c>
      <c r="T47" s="30">
        <f>165343</f>
        <v>165343</v>
      </c>
      <c r="U47" s="30">
        <f>87000</f>
        <v>87000</v>
      </c>
      <c r="V47" s="30">
        <f>4691123215</f>
        <v>4691123215</v>
      </c>
      <c r="W47" s="30">
        <f>2462700300</f>
        <v>2462700300</v>
      </c>
      <c r="X47" s="34">
        <f>20</f>
        <v>20</v>
      </c>
    </row>
    <row r="48" spans="1:24" ht="13.5" customHeight="1" x14ac:dyDescent="0.15">
      <c r="A48" s="25" t="s">
        <v>1032</v>
      </c>
      <c r="B48" s="25" t="s">
        <v>174</v>
      </c>
      <c r="C48" s="25" t="s">
        <v>175</v>
      </c>
      <c r="D48" s="25" t="s">
        <v>176</v>
      </c>
      <c r="E48" s="26" t="s">
        <v>45</v>
      </c>
      <c r="F48" s="27" t="s">
        <v>45</v>
      </c>
      <c r="G48" s="28" t="s">
        <v>45</v>
      </c>
      <c r="H48" s="29"/>
      <c r="I48" s="29" t="s">
        <v>46</v>
      </c>
      <c r="J48" s="30">
        <v>10</v>
      </c>
      <c r="K48" s="31">
        <f>1828.5</f>
        <v>1828.5</v>
      </c>
      <c r="L48" s="32" t="s">
        <v>996</v>
      </c>
      <c r="M48" s="31">
        <f>1918</f>
        <v>1918</v>
      </c>
      <c r="N48" s="32" t="s">
        <v>997</v>
      </c>
      <c r="O48" s="31">
        <f>1827.5</f>
        <v>1827.5</v>
      </c>
      <c r="P48" s="32" t="s">
        <v>996</v>
      </c>
      <c r="Q48" s="31">
        <f>1916.5</f>
        <v>1916.5</v>
      </c>
      <c r="R48" s="32" t="s">
        <v>997</v>
      </c>
      <c r="S48" s="33">
        <f>1869.35</f>
        <v>1869.35</v>
      </c>
      <c r="T48" s="30">
        <f>1377020</f>
        <v>1377020</v>
      </c>
      <c r="U48" s="30">
        <f>425320</f>
        <v>425320</v>
      </c>
      <c r="V48" s="30">
        <f>2580057262</f>
        <v>2580057262</v>
      </c>
      <c r="W48" s="30">
        <f>799697752</f>
        <v>799697752</v>
      </c>
      <c r="X48" s="34">
        <f>20</f>
        <v>20</v>
      </c>
    </row>
    <row r="49" spans="1:24" ht="13.5" customHeight="1" x14ac:dyDescent="0.15">
      <c r="A49" s="25" t="s">
        <v>1032</v>
      </c>
      <c r="B49" s="25" t="s">
        <v>177</v>
      </c>
      <c r="C49" s="25" t="s">
        <v>178</v>
      </c>
      <c r="D49" s="25" t="s">
        <v>179</v>
      </c>
      <c r="E49" s="26" t="s">
        <v>45</v>
      </c>
      <c r="F49" s="27" t="s">
        <v>45</v>
      </c>
      <c r="G49" s="28" t="s">
        <v>45</v>
      </c>
      <c r="H49" s="29"/>
      <c r="I49" s="29" t="s">
        <v>46</v>
      </c>
      <c r="J49" s="30">
        <v>10</v>
      </c>
      <c r="K49" s="31">
        <f>1699.5</f>
        <v>1699.5</v>
      </c>
      <c r="L49" s="32" t="s">
        <v>996</v>
      </c>
      <c r="M49" s="31">
        <f>1728</f>
        <v>1728</v>
      </c>
      <c r="N49" s="32" t="s">
        <v>785</v>
      </c>
      <c r="O49" s="31">
        <f>1635</f>
        <v>1635</v>
      </c>
      <c r="P49" s="32" t="s">
        <v>78</v>
      </c>
      <c r="Q49" s="31">
        <f>1720</f>
        <v>1720</v>
      </c>
      <c r="R49" s="32" t="s">
        <v>997</v>
      </c>
      <c r="S49" s="33">
        <f>1687.35</f>
        <v>1687.35</v>
      </c>
      <c r="T49" s="30">
        <f>8100</f>
        <v>8100</v>
      </c>
      <c r="U49" s="30" t="str">
        <f>"－"</f>
        <v>－</v>
      </c>
      <c r="V49" s="30">
        <f>13602790</f>
        <v>13602790</v>
      </c>
      <c r="W49" s="30" t="str">
        <f>"－"</f>
        <v>－</v>
      </c>
      <c r="X49" s="34">
        <f>17</f>
        <v>17</v>
      </c>
    </row>
    <row r="50" spans="1:24" ht="13.5" customHeight="1" x14ac:dyDescent="0.15">
      <c r="A50" s="25" t="s">
        <v>1032</v>
      </c>
      <c r="B50" s="25" t="s">
        <v>180</v>
      </c>
      <c r="C50" s="25" t="s">
        <v>1045</v>
      </c>
      <c r="D50" s="25" t="s">
        <v>1046</v>
      </c>
      <c r="E50" s="26" t="s">
        <v>45</v>
      </c>
      <c r="F50" s="27" t="s">
        <v>45</v>
      </c>
      <c r="G50" s="28" t="s">
        <v>45</v>
      </c>
      <c r="H50" s="29"/>
      <c r="I50" s="29" t="s">
        <v>46</v>
      </c>
      <c r="J50" s="30">
        <v>1</v>
      </c>
      <c r="K50" s="31">
        <f>3930</f>
        <v>3930</v>
      </c>
      <c r="L50" s="32" t="s">
        <v>996</v>
      </c>
      <c r="M50" s="31">
        <f>4035</f>
        <v>4035</v>
      </c>
      <c r="N50" s="32" t="s">
        <v>78</v>
      </c>
      <c r="O50" s="31">
        <f>3830</f>
        <v>3830</v>
      </c>
      <c r="P50" s="32" t="s">
        <v>997</v>
      </c>
      <c r="Q50" s="31">
        <f>3830</f>
        <v>3830</v>
      </c>
      <c r="R50" s="32" t="s">
        <v>997</v>
      </c>
      <c r="S50" s="33">
        <f>3913.5</f>
        <v>3913.5</v>
      </c>
      <c r="T50" s="30">
        <f>3448066</f>
        <v>3448066</v>
      </c>
      <c r="U50" s="30">
        <f>2833496</f>
        <v>2833496</v>
      </c>
      <c r="V50" s="30">
        <f>13462630032</f>
        <v>13462630032</v>
      </c>
      <c r="W50" s="30">
        <f>11059737937</f>
        <v>11059737937</v>
      </c>
      <c r="X50" s="34">
        <f>20</f>
        <v>20</v>
      </c>
    </row>
    <row r="51" spans="1:24" ht="13.5" customHeight="1" x14ac:dyDescent="0.15">
      <c r="A51" s="25" t="s">
        <v>1032</v>
      </c>
      <c r="B51" s="25" t="s">
        <v>183</v>
      </c>
      <c r="C51" s="25" t="s">
        <v>1047</v>
      </c>
      <c r="D51" s="25" t="s">
        <v>1048</v>
      </c>
      <c r="E51" s="26" t="s">
        <v>45</v>
      </c>
      <c r="F51" s="27" t="s">
        <v>45</v>
      </c>
      <c r="G51" s="28" t="s">
        <v>45</v>
      </c>
      <c r="H51" s="29"/>
      <c r="I51" s="29" t="s">
        <v>46</v>
      </c>
      <c r="J51" s="30">
        <v>1</v>
      </c>
      <c r="K51" s="31">
        <f>4555</f>
        <v>4555</v>
      </c>
      <c r="L51" s="32" t="s">
        <v>996</v>
      </c>
      <c r="M51" s="31">
        <f>4685</f>
        <v>4685</v>
      </c>
      <c r="N51" s="32" t="s">
        <v>78</v>
      </c>
      <c r="O51" s="31">
        <f>4460</f>
        <v>4460</v>
      </c>
      <c r="P51" s="32" t="s">
        <v>997</v>
      </c>
      <c r="Q51" s="31">
        <f>4460</f>
        <v>4460</v>
      </c>
      <c r="R51" s="32" t="s">
        <v>997</v>
      </c>
      <c r="S51" s="33">
        <f>4550.25</f>
        <v>4550.25</v>
      </c>
      <c r="T51" s="30">
        <f>120798</f>
        <v>120798</v>
      </c>
      <c r="U51" s="30">
        <f>107401</f>
        <v>107401</v>
      </c>
      <c r="V51" s="30">
        <f>551168225</f>
        <v>551168225</v>
      </c>
      <c r="W51" s="30">
        <f>489934535</f>
        <v>489934535</v>
      </c>
      <c r="X51" s="34">
        <f>20</f>
        <v>20</v>
      </c>
    </row>
    <row r="52" spans="1:24" ht="13.5" customHeight="1" x14ac:dyDescent="0.15">
      <c r="A52" s="25" t="s">
        <v>1032</v>
      </c>
      <c r="B52" s="25" t="s">
        <v>186</v>
      </c>
      <c r="C52" s="25" t="s">
        <v>187</v>
      </c>
      <c r="D52" s="25" t="s">
        <v>188</v>
      </c>
      <c r="E52" s="26" t="s">
        <v>45</v>
      </c>
      <c r="F52" s="27" t="s">
        <v>45</v>
      </c>
      <c r="G52" s="28" t="s">
        <v>45</v>
      </c>
      <c r="H52" s="29"/>
      <c r="I52" s="29" t="s">
        <v>46</v>
      </c>
      <c r="J52" s="30">
        <v>1</v>
      </c>
      <c r="K52" s="31">
        <f>17760</f>
        <v>17760</v>
      </c>
      <c r="L52" s="32" t="s">
        <v>996</v>
      </c>
      <c r="M52" s="31">
        <f>18580</f>
        <v>18580</v>
      </c>
      <c r="N52" s="32" t="s">
        <v>997</v>
      </c>
      <c r="O52" s="31">
        <f>16780</f>
        <v>16780</v>
      </c>
      <c r="P52" s="32" t="s">
        <v>78</v>
      </c>
      <c r="Q52" s="31">
        <f>18580</f>
        <v>18580</v>
      </c>
      <c r="R52" s="32" t="s">
        <v>997</v>
      </c>
      <c r="S52" s="33">
        <f>17830</f>
        <v>17830</v>
      </c>
      <c r="T52" s="30">
        <f>9084946</f>
        <v>9084946</v>
      </c>
      <c r="U52" s="30" t="str">
        <f>"－"</f>
        <v>－</v>
      </c>
      <c r="V52" s="30">
        <f>161583461335</f>
        <v>161583461335</v>
      </c>
      <c r="W52" s="30" t="str">
        <f>"－"</f>
        <v>－</v>
      </c>
      <c r="X52" s="34">
        <f>20</f>
        <v>20</v>
      </c>
    </row>
    <row r="53" spans="1:24" ht="13.5" customHeight="1" x14ac:dyDescent="0.15">
      <c r="A53" s="25" t="s">
        <v>1032</v>
      </c>
      <c r="B53" s="25" t="s">
        <v>189</v>
      </c>
      <c r="C53" s="25" t="s">
        <v>190</v>
      </c>
      <c r="D53" s="25" t="s">
        <v>191</v>
      </c>
      <c r="E53" s="26" t="s">
        <v>45</v>
      </c>
      <c r="F53" s="27" t="s">
        <v>45</v>
      </c>
      <c r="G53" s="28" t="s">
        <v>45</v>
      </c>
      <c r="H53" s="29"/>
      <c r="I53" s="29" t="s">
        <v>46</v>
      </c>
      <c r="J53" s="30">
        <v>1</v>
      </c>
      <c r="K53" s="31">
        <f>1292</f>
        <v>1292</v>
      </c>
      <c r="L53" s="32" t="s">
        <v>996</v>
      </c>
      <c r="M53" s="31">
        <f>1365</f>
        <v>1365</v>
      </c>
      <c r="N53" s="32" t="s">
        <v>78</v>
      </c>
      <c r="O53" s="31">
        <f>1230</f>
        <v>1230</v>
      </c>
      <c r="P53" s="32" t="s">
        <v>997</v>
      </c>
      <c r="Q53" s="31">
        <f>1230</f>
        <v>1230</v>
      </c>
      <c r="R53" s="32" t="s">
        <v>997</v>
      </c>
      <c r="S53" s="33">
        <f>1284.5</f>
        <v>1284.5</v>
      </c>
      <c r="T53" s="30">
        <f>157089841</f>
        <v>157089841</v>
      </c>
      <c r="U53" s="30">
        <f>702767</f>
        <v>702767</v>
      </c>
      <c r="V53" s="30">
        <f>202004677908</f>
        <v>202004677908</v>
      </c>
      <c r="W53" s="30">
        <f>880541833</f>
        <v>880541833</v>
      </c>
      <c r="X53" s="34">
        <f>20</f>
        <v>20</v>
      </c>
    </row>
    <row r="54" spans="1:24" ht="13.5" customHeight="1" x14ac:dyDescent="0.15">
      <c r="A54" s="25" t="s">
        <v>1032</v>
      </c>
      <c r="B54" s="25" t="s">
        <v>192</v>
      </c>
      <c r="C54" s="25" t="s">
        <v>1049</v>
      </c>
      <c r="D54" s="25" t="s">
        <v>1050</v>
      </c>
      <c r="E54" s="26" t="s">
        <v>45</v>
      </c>
      <c r="F54" s="27" t="s">
        <v>45</v>
      </c>
      <c r="G54" s="28" t="s">
        <v>45</v>
      </c>
      <c r="H54" s="29"/>
      <c r="I54" s="29" t="s">
        <v>46</v>
      </c>
      <c r="J54" s="30">
        <v>1</v>
      </c>
      <c r="K54" s="31">
        <f>16395</f>
        <v>16395</v>
      </c>
      <c r="L54" s="32" t="s">
        <v>996</v>
      </c>
      <c r="M54" s="31">
        <f>16900</f>
        <v>16900</v>
      </c>
      <c r="N54" s="32" t="s">
        <v>789</v>
      </c>
      <c r="O54" s="31">
        <f>15435</f>
        <v>15435</v>
      </c>
      <c r="P54" s="32" t="s">
        <v>78</v>
      </c>
      <c r="Q54" s="31">
        <f>16870</f>
        <v>16870</v>
      </c>
      <c r="R54" s="32" t="s">
        <v>997</v>
      </c>
      <c r="S54" s="33">
        <f>16325</f>
        <v>16325</v>
      </c>
      <c r="T54" s="30">
        <f>2987</f>
        <v>2987</v>
      </c>
      <c r="U54" s="30" t="str">
        <f>"－"</f>
        <v>－</v>
      </c>
      <c r="V54" s="30">
        <f>48840520</f>
        <v>48840520</v>
      </c>
      <c r="W54" s="30" t="str">
        <f>"－"</f>
        <v>－</v>
      </c>
      <c r="X54" s="34">
        <f>20</f>
        <v>20</v>
      </c>
    </row>
    <row r="55" spans="1:24" ht="13.5" customHeight="1" x14ac:dyDescent="0.15">
      <c r="A55" s="25" t="s">
        <v>1032</v>
      </c>
      <c r="B55" s="25" t="s">
        <v>195</v>
      </c>
      <c r="C55" s="25" t="s">
        <v>1051</v>
      </c>
      <c r="D55" s="25" t="s">
        <v>1052</v>
      </c>
      <c r="E55" s="26" t="s">
        <v>45</v>
      </c>
      <c r="F55" s="27" t="s">
        <v>45</v>
      </c>
      <c r="G55" s="28" t="s">
        <v>45</v>
      </c>
      <c r="H55" s="29"/>
      <c r="I55" s="29" t="s">
        <v>46</v>
      </c>
      <c r="J55" s="30">
        <v>1</v>
      </c>
      <c r="K55" s="31">
        <f>4435</f>
        <v>4435</v>
      </c>
      <c r="L55" s="32" t="s">
        <v>996</v>
      </c>
      <c r="M55" s="31">
        <f>4560</f>
        <v>4560</v>
      </c>
      <c r="N55" s="32" t="s">
        <v>78</v>
      </c>
      <c r="O55" s="31">
        <f>4335</f>
        <v>4335</v>
      </c>
      <c r="P55" s="32" t="s">
        <v>998</v>
      </c>
      <c r="Q55" s="31">
        <f>4345</f>
        <v>4345</v>
      </c>
      <c r="R55" s="32" t="s">
        <v>997</v>
      </c>
      <c r="S55" s="33">
        <f>4415</f>
        <v>4415</v>
      </c>
      <c r="T55" s="30">
        <f>2855</f>
        <v>2855</v>
      </c>
      <c r="U55" s="30">
        <f>2776</f>
        <v>2776</v>
      </c>
      <c r="V55" s="30">
        <f>12382335</f>
        <v>12382335</v>
      </c>
      <c r="W55" s="30">
        <f>12033960</f>
        <v>12033960</v>
      </c>
      <c r="X55" s="34">
        <f>11</f>
        <v>11</v>
      </c>
    </row>
    <row r="56" spans="1:24" ht="13.5" customHeight="1" x14ac:dyDescent="0.15">
      <c r="A56" s="25" t="s">
        <v>1032</v>
      </c>
      <c r="B56" s="25" t="s">
        <v>198</v>
      </c>
      <c r="C56" s="25" t="s">
        <v>1053</v>
      </c>
      <c r="D56" s="25" t="s">
        <v>1054</v>
      </c>
      <c r="E56" s="26" t="s">
        <v>45</v>
      </c>
      <c r="F56" s="27" t="s">
        <v>45</v>
      </c>
      <c r="G56" s="28" t="s">
        <v>45</v>
      </c>
      <c r="H56" s="29"/>
      <c r="I56" s="29" t="s">
        <v>46</v>
      </c>
      <c r="J56" s="30">
        <v>1</v>
      </c>
      <c r="K56" s="31">
        <f>1517</f>
        <v>1517</v>
      </c>
      <c r="L56" s="32" t="s">
        <v>996</v>
      </c>
      <c r="M56" s="31">
        <f>1611</f>
        <v>1611</v>
      </c>
      <c r="N56" s="32" t="s">
        <v>78</v>
      </c>
      <c r="O56" s="31">
        <f>1451</f>
        <v>1451</v>
      </c>
      <c r="P56" s="32" t="s">
        <v>789</v>
      </c>
      <c r="Q56" s="31">
        <f>1456</f>
        <v>1456</v>
      </c>
      <c r="R56" s="32" t="s">
        <v>997</v>
      </c>
      <c r="S56" s="33">
        <f>1507.75</f>
        <v>1507.75</v>
      </c>
      <c r="T56" s="30">
        <f>44201</f>
        <v>44201</v>
      </c>
      <c r="U56" s="30">
        <f>6401</f>
        <v>6401</v>
      </c>
      <c r="V56" s="30">
        <f>66202059</f>
        <v>66202059</v>
      </c>
      <c r="W56" s="30">
        <f>9460678</f>
        <v>9460678</v>
      </c>
      <c r="X56" s="34">
        <f>20</f>
        <v>20</v>
      </c>
    </row>
    <row r="57" spans="1:24" ht="13.5" customHeight="1" x14ac:dyDescent="0.15">
      <c r="A57" s="25" t="s">
        <v>1032</v>
      </c>
      <c r="B57" s="25" t="s">
        <v>201</v>
      </c>
      <c r="C57" s="25" t="s">
        <v>202</v>
      </c>
      <c r="D57" s="25" t="s">
        <v>203</v>
      </c>
      <c r="E57" s="26" t="s">
        <v>45</v>
      </c>
      <c r="F57" s="27" t="s">
        <v>45</v>
      </c>
      <c r="G57" s="28" t="s">
        <v>45</v>
      </c>
      <c r="H57" s="29" t="s">
        <v>316</v>
      </c>
      <c r="I57" s="29" t="s">
        <v>46</v>
      </c>
      <c r="J57" s="30">
        <v>10</v>
      </c>
      <c r="K57" s="31">
        <f>14605</f>
        <v>14605</v>
      </c>
      <c r="L57" s="32" t="s">
        <v>784</v>
      </c>
      <c r="M57" s="31">
        <f>15020</f>
        <v>15020</v>
      </c>
      <c r="N57" s="32" t="s">
        <v>793</v>
      </c>
      <c r="O57" s="31">
        <f>14500</f>
        <v>14500</v>
      </c>
      <c r="P57" s="32" t="s">
        <v>875</v>
      </c>
      <c r="Q57" s="31">
        <f>15000</f>
        <v>15000</v>
      </c>
      <c r="R57" s="32" t="s">
        <v>997</v>
      </c>
      <c r="S57" s="33">
        <f>14817.86</f>
        <v>14817.86</v>
      </c>
      <c r="T57" s="30">
        <f>780</f>
        <v>780</v>
      </c>
      <c r="U57" s="30" t="str">
        <f>"－"</f>
        <v>－</v>
      </c>
      <c r="V57" s="30">
        <f>11531000</f>
        <v>11531000</v>
      </c>
      <c r="W57" s="30" t="str">
        <f>"－"</f>
        <v>－</v>
      </c>
      <c r="X57" s="34">
        <f>14</f>
        <v>14</v>
      </c>
    </row>
    <row r="58" spans="1:24" ht="13.5" customHeight="1" x14ac:dyDescent="0.15">
      <c r="A58" s="25" t="s">
        <v>1032</v>
      </c>
      <c r="B58" s="25" t="s">
        <v>204</v>
      </c>
      <c r="C58" s="25" t="s">
        <v>205</v>
      </c>
      <c r="D58" s="25" t="s">
        <v>206</v>
      </c>
      <c r="E58" s="26" t="s">
        <v>45</v>
      </c>
      <c r="F58" s="27" t="s">
        <v>45</v>
      </c>
      <c r="G58" s="28" t="s">
        <v>45</v>
      </c>
      <c r="H58" s="29" t="s">
        <v>316</v>
      </c>
      <c r="I58" s="29" t="s">
        <v>46</v>
      </c>
      <c r="J58" s="30">
        <v>10</v>
      </c>
      <c r="K58" s="31">
        <f>3661</f>
        <v>3661</v>
      </c>
      <c r="L58" s="32" t="s">
        <v>785</v>
      </c>
      <c r="M58" s="31">
        <f>3700</f>
        <v>3700</v>
      </c>
      <c r="N58" s="32" t="s">
        <v>794</v>
      </c>
      <c r="O58" s="31">
        <f>3580</f>
        <v>3580</v>
      </c>
      <c r="P58" s="32" t="s">
        <v>794</v>
      </c>
      <c r="Q58" s="31">
        <f>3690</f>
        <v>3690</v>
      </c>
      <c r="R58" s="32" t="s">
        <v>786</v>
      </c>
      <c r="S58" s="33">
        <f>3646.6</f>
        <v>3646.6</v>
      </c>
      <c r="T58" s="30">
        <f>860</f>
        <v>860</v>
      </c>
      <c r="U58" s="30">
        <f>670</f>
        <v>670</v>
      </c>
      <c r="V58" s="30">
        <f>3171650</f>
        <v>3171650</v>
      </c>
      <c r="W58" s="30">
        <f>2472300</f>
        <v>2472300</v>
      </c>
      <c r="X58" s="34">
        <f>5</f>
        <v>5</v>
      </c>
    </row>
    <row r="59" spans="1:24" ht="13.5" customHeight="1" x14ac:dyDescent="0.15">
      <c r="A59" s="25" t="s">
        <v>1032</v>
      </c>
      <c r="B59" s="25" t="s">
        <v>207</v>
      </c>
      <c r="C59" s="25" t="s">
        <v>208</v>
      </c>
      <c r="D59" s="25" t="s">
        <v>209</v>
      </c>
      <c r="E59" s="26" t="s">
        <v>45</v>
      </c>
      <c r="F59" s="27" t="s">
        <v>45</v>
      </c>
      <c r="G59" s="28" t="s">
        <v>45</v>
      </c>
      <c r="H59" s="29"/>
      <c r="I59" s="29" t="s">
        <v>46</v>
      </c>
      <c r="J59" s="30">
        <v>10</v>
      </c>
      <c r="K59" s="31">
        <f>1490</f>
        <v>1490</v>
      </c>
      <c r="L59" s="32" t="s">
        <v>996</v>
      </c>
      <c r="M59" s="31">
        <f>1565</f>
        <v>1565</v>
      </c>
      <c r="N59" s="32" t="s">
        <v>78</v>
      </c>
      <c r="O59" s="31">
        <f>1419.5</f>
        <v>1419.5</v>
      </c>
      <c r="P59" s="32" t="s">
        <v>997</v>
      </c>
      <c r="Q59" s="31">
        <f>1435</f>
        <v>1435</v>
      </c>
      <c r="R59" s="32" t="s">
        <v>997</v>
      </c>
      <c r="S59" s="33">
        <f>1483</f>
        <v>1483</v>
      </c>
      <c r="T59" s="30">
        <f>48560</f>
        <v>48560</v>
      </c>
      <c r="U59" s="30">
        <f>4070</f>
        <v>4070</v>
      </c>
      <c r="V59" s="30">
        <f>71826380</f>
        <v>71826380</v>
      </c>
      <c r="W59" s="30">
        <f>5936095</f>
        <v>5936095</v>
      </c>
      <c r="X59" s="34">
        <f>20</f>
        <v>20</v>
      </c>
    </row>
    <row r="60" spans="1:24" ht="13.5" customHeight="1" x14ac:dyDescent="0.15">
      <c r="A60" s="25" t="s">
        <v>1032</v>
      </c>
      <c r="B60" s="25" t="s">
        <v>210</v>
      </c>
      <c r="C60" s="25" t="s">
        <v>211</v>
      </c>
      <c r="D60" s="25" t="s">
        <v>212</v>
      </c>
      <c r="E60" s="26" t="s">
        <v>45</v>
      </c>
      <c r="F60" s="27" t="s">
        <v>45</v>
      </c>
      <c r="G60" s="28" t="s">
        <v>45</v>
      </c>
      <c r="H60" s="29"/>
      <c r="I60" s="29" t="s">
        <v>46</v>
      </c>
      <c r="J60" s="30">
        <v>1</v>
      </c>
      <c r="K60" s="31">
        <f>605</f>
        <v>605</v>
      </c>
      <c r="L60" s="32" t="s">
        <v>996</v>
      </c>
      <c r="M60" s="31">
        <f>645</f>
        <v>645</v>
      </c>
      <c r="N60" s="32" t="s">
        <v>78</v>
      </c>
      <c r="O60" s="31">
        <f>577</f>
        <v>577</v>
      </c>
      <c r="P60" s="32" t="s">
        <v>790</v>
      </c>
      <c r="Q60" s="31">
        <f>580</f>
        <v>580</v>
      </c>
      <c r="R60" s="32" t="s">
        <v>997</v>
      </c>
      <c r="S60" s="33">
        <f>604.25</f>
        <v>604.25</v>
      </c>
      <c r="T60" s="30">
        <f>40053</f>
        <v>40053</v>
      </c>
      <c r="U60" s="30" t="str">
        <f>"－"</f>
        <v>－</v>
      </c>
      <c r="V60" s="30">
        <f>24247550</f>
        <v>24247550</v>
      </c>
      <c r="W60" s="30" t="str">
        <f>"－"</f>
        <v>－</v>
      </c>
      <c r="X60" s="34">
        <f>20</f>
        <v>20</v>
      </c>
    </row>
    <row r="61" spans="1:24" ht="13.5" customHeight="1" x14ac:dyDescent="0.15">
      <c r="A61" s="25" t="s">
        <v>1032</v>
      </c>
      <c r="B61" s="25" t="s">
        <v>213</v>
      </c>
      <c r="C61" s="25" t="s">
        <v>214</v>
      </c>
      <c r="D61" s="25" t="s">
        <v>215</v>
      </c>
      <c r="E61" s="26" t="s">
        <v>45</v>
      </c>
      <c r="F61" s="27" t="s">
        <v>45</v>
      </c>
      <c r="G61" s="28" t="s">
        <v>45</v>
      </c>
      <c r="H61" s="29"/>
      <c r="I61" s="29" t="s">
        <v>46</v>
      </c>
      <c r="J61" s="30">
        <v>10</v>
      </c>
      <c r="K61" s="31">
        <f>2066</f>
        <v>2066</v>
      </c>
      <c r="L61" s="32" t="s">
        <v>996</v>
      </c>
      <c r="M61" s="31">
        <f>2106</f>
        <v>2106</v>
      </c>
      <c r="N61" s="32" t="s">
        <v>997</v>
      </c>
      <c r="O61" s="31">
        <f>2006</f>
        <v>2006</v>
      </c>
      <c r="P61" s="32" t="s">
        <v>78</v>
      </c>
      <c r="Q61" s="31">
        <f>2106</f>
        <v>2106</v>
      </c>
      <c r="R61" s="32" t="s">
        <v>997</v>
      </c>
      <c r="S61" s="33">
        <f>2065.48</f>
        <v>2065.48</v>
      </c>
      <c r="T61" s="30">
        <f>575750</f>
        <v>575750</v>
      </c>
      <c r="U61" s="30">
        <f>288670</f>
        <v>288670</v>
      </c>
      <c r="V61" s="30">
        <f>1184256690</f>
        <v>1184256690</v>
      </c>
      <c r="W61" s="30">
        <f>595312530</f>
        <v>595312530</v>
      </c>
      <c r="X61" s="34">
        <f>20</f>
        <v>20</v>
      </c>
    </row>
    <row r="62" spans="1:24" ht="13.5" customHeight="1" x14ac:dyDescent="0.15">
      <c r="A62" s="25" t="s">
        <v>1032</v>
      </c>
      <c r="B62" s="25" t="s">
        <v>216</v>
      </c>
      <c r="C62" s="25" t="s">
        <v>217</v>
      </c>
      <c r="D62" s="25" t="s">
        <v>218</v>
      </c>
      <c r="E62" s="26" t="s">
        <v>45</v>
      </c>
      <c r="F62" s="27" t="s">
        <v>45</v>
      </c>
      <c r="G62" s="28" t="s">
        <v>45</v>
      </c>
      <c r="H62" s="29"/>
      <c r="I62" s="29" t="s">
        <v>46</v>
      </c>
      <c r="J62" s="30">
        <v>1</v>
      </c>
      <c r="K62" s="31">
        <f>18480</f>
        <v>18480</v>
      </c>
      <c r="L62" s="32" t="s">
        <v>996</v>
      </c>
      <c r="M62" s="31">
        <f>18995</f>
        <v>18995</v>
      </c>
      <c r="N62" s="32" t="s">
        <v>790</v>
      </c>
      <c r="O62" s="31">
        <f>17985</f>
        <v>17985</v>
      </c>
      <c r="P62" s="32" t="s">
        <v>78</v>
      </c>
      <c r="Q62" s="31">
        <f>18815</f>
        <v>18815</v>
      </c>
      <c r="R62" s="32" t="s">
        <v>997</v>
      </c>
      <c r="S62" s="33">
        <f>18511.58</f>
        <v>18511.580000000002</v>
      </c>
      <c r="T62" s="30">
        <f>7859</f>
        <v>7859</v>
      </c>
      <c r="U62" s="30">
        <f>2274</f>
        <v>2274</v>
      </c>
      <c r="V62" s="30">
        <f>146373620</f>
        <v>146373620</v>
      </c>
      <c r="W62" s="30">
        <f>42785310</f>
        <v>42785310</v>
      </c>
      <c r="X62" s="34">
        <f>19</f>
        <v>19</v>
      </c>
    </row>
    <row r="63" spans="1:24" ht="13.5" customHeight="1" x14ac:dyDescent="0.15">
      <c r="A63" s="25" t="s">
        <v>1032</v>
      </c>
      <c r="B63" s="25" t="s">
        <v>219</v>
      </c>
      <c r="C63" s="25" t="s">
        <v>220</v>
      </c>
      <c r="D63" s="25" t="s">
        <v>221</v>
      </c>
      <c r="E63" s="26" t="s">
        <v>45</v>
      </c>
      <c r="F63" s="27" t="s">
        <v>45</v>
      </c>
      <c r="G63" s="28" t="s">
        <v>45</v>
      </c>
      <c r="H63" s="29"/>
      <c r="I63" s="29" t="s">
        <v>46</v>
      </c>
      <c r="J63" s="30">
        <v>1</v>
      </c>
      <c r="K63" s="31">
        <f>2084</f>
        <v>2084</v>
      </c>
      <c r="L63" s="32" t="s">
        <v>996</v>
      </c>
      <c r="M63" s="31">
        <f>2125</f>
        <v>2125</v>
      </c>
      <c r="N63" s="32" t="s">
        <v>997</v>
      </c>
      <c r="O63" s="31">
        <f>2022</f>
        <v>2022</v>
      </c>
      <c r="P63" s="32" t="s">
        <v>78</v>
      </c>
      <c r="Q63" s="31">
        <f>2125</f>
        <v>2125</v>
      </c>
      <c r="R63" s="32" t="s">
        <v>997</v>
      </c>
      <c r="S63" s="33">
        <f>2081.45</f>
        <v>2081.4499999999998</v>
      </c>
      <c r="T63" s="30">
        <f>12598911</f>
        <v>12598911</v>
      </c>
      <c r="U63" s="30">
        <f>7004913</f>
        <v>7004913</v>
      </c>
      <c r="V63" s="30">
        <f>26036399968</f>
        <v>26036399968</v>
      </c>
      <c r="W63" s="30">
        <f>14396004214</f>
        <v>14396004214</v>
      </c>
      <c r="X63" s="34">
        <f>20</f>
        <v>20</v>
      </c>
    </row>
    <row r="64" spans="1:24" ht="13.5" customHeight="1" x14ac:dyDescent="0.15">
      <c r="A64" s="25" t="s">
        <v>1032</v>
      </c>
      <c r="B64" s="25" t="s">
        <v>222</v>
      </c>
      <c r="C64" s="25" t="s">
        <v>223</v>
      </c>
      <c r="D64" s="25" t="s">
        <v>224</v>
      </c>
      <c r="E64" s="26" t="s">
        <v>45</v>
      </c>
      <c r="F64" s="27" t="s">
        <v>45</v>
      </c>
      <c r="G64" s="28" t="s">
        <v>45</v>
      </c>
      <c r="H64" s="29"/>
      <c r="I64" s="29" t="s">
        <v>46</v>
      </c>
      <c r="J64" s="30">
        <v>1</v>
      </c>
      <c r="K64" s="31">
        <f>1851</f>
        <v>1851</v>
      </c>
      <c r="L64" s="32" t="s">
        <v>996</v>
      </c>
      <c r="M64" s="31">
        <f>1942</f>
        <v>1942</v>
      </c>
      <c r="N64" s="32" t="s">
        <v>997</v>
      </c>
      <c r="O64" s="31">
        <f>1849</f>
        <v>1849</v>
      </c>
      <c r="P64" s="32" t="s">
        <v>996</v>
      </c>
      <c r="Q64" s="31">
        <f>1942</f>
        <v>1942</v>
      </c>
      <c r="R64" s="32" t="s">
        <v>997</v>
      </c>
      <c r="S64" s="33">
        <f>1892.4</f>
        <v>1892.4</v>
      </c>
      <c r="T64" s="30">
        <f>4641751</f>
        <v>4641751</v>
      </c>
      <c r="U64" s="30">
        <f>1587569</f>
        <v>1587569</v>
      </c>
      <c r="V64" s="30">
        <f>8784638020</f>
        <v>8784638020</v>
      </c>
      <c r="W64" s="30">
        <f>3007837381</f>
        <v>3007837381</v>
      </c>
      <c r="X64" s="34">
        <f>20</f>
        <v>20</v>
      </c>
    </row>
    <row r="65" spans="1:24" ht="13.5" customHeight="1" x14ac:dyDescent="0.15">
      <c r="A65" s="25" t="s">
        <v>1032</v>
      </c>
      <c r="B65" s="25" t="s">
        <v>225</v>
      </c>
      <c r="C65" s="25" t="s">
        <v>226</v>
      </c>
      <c r="D65" s="25" t="s">
        <v>227</v>
      </c>
      <c r="E65" s="26" t="s">
        <v>45</v>
      </c>
      <c r="F65" s="27" t="s">
        <v>45</v>
      </c>
      <c r="G65" s="28" t="s">
        <v>45</v>
      </c>
      <c r="H65" s="29"/>
      <c r="I65" s="29" t="s">
        <v>46</v>
      </c>
      <c r="J65" s="30">
        <v>1</v>
      </c>
      <c r="K65" s="31">
        <f>1950</f>
        <v>1950</v>
      </c>
      <c r="L65" s="32" t="s">
        <v>996</v>
      </c>
      <c r="M65" s="31">
        <f>2034</f>
        <v>2034</v>
      </c>
      <c r="N65" s="32" t="s">
        <v>997</v>
      </c>
      <c r="O65" s="31">
        <f>1919</f>
        <v>1919</v>
      </c>
      <c r="P65" s="32" t="s">
        <v>78</v>
      </c>
      <c r="Q65" s="31">
        <f>2034</f>
        <v>2034</v>
      </c>
      <c r="R65" s="32" t="s">
        <v>997</v>
      </c>
      <c r="S65" s="33">
        <f>1971.75</f>
        <v>1971.75</v>
      </c>
      <c r="T65" s="30">
        <f>144158</f>
        <v>144158</v>
      </c>
      <c r="U65" s="30">
        <f>48163</f>
        <v>48163</v>
      </c>
      <c r="V65" s="30">
        <f>287844429</f>
        <v>287844429</v>
      </c>
      <c r="W65" s="30">
        <f>96499868</f>
        <v>96499868</v>
      </c>
      <c r="X65" s="34">
        <f>20</f>
        <v>20</v>
      </c>
    </row>
    <row r="66" spans="1:24" ht="13.5" customHeight="1" x14ac:dyDescent="0.15">
      <c r="A66" s="25" t="s">
        <v>1032</v>
      </c>
      <c r="B66" s="25" t="s">
        <v>228</v>
      </c>
      <c r="C66" s="25" t="s">
        <v>229</v>
      </c>
      <c r="D66" s="25" t="s">
        <v>230</v>
      </c>
      <c r="E66" s="26" t="s">
        <v>45</v>
      </c>
      <c r="F66" s="27" t="s">
        <v>45</v>
      </c>
      <c r="G66" s="28" t="s">
        <v>45</v>
      </c>
      <c r="H66" s="29"/>
      <c r="I66" s="29" t="s">
        <v>46</v>
      </c>
      <c r="J66" s="30">
        <v>1</v>
      </c>
      <c r="K66" s="31">
        <f>2497</f>
        <v>2497</v>
      </c>
      <c r="L66" s="32" t="s">
        <v>996</v>
      </c>
      <c r="M66" s="31">
        <f>2580</f>
        <v>2580</v>
      </c>
      <c r="N66" s="32" t="s">
        <v>997</v>
      </c>
      <c r="O66" s="31">
        <f>2432</f>
        <v>2432</v>
      </c>
      <c r="P66" s="32" t="s">
        <v>78</v>
      </c>
      <c r="Q66" s="31">
        <f>2580</f>
        <v>2580</v>
      </c>
      <c r="R66" s="32" t="s">
        <v>997</v>
      </c>
      <c r="S66" s="33">
        <f>2508.55</f>
        <v>2508.5500000000002</v>
      </c>
      <c r="T66" s="30">
        <f>345111</f>
        <v>345111</v>
      </c>
      <c r="U66" s="30">
        <f>101917</f>
        <v>101917</v>
      </c>
      <c r="V66" s="30">
        <f>868243023</f>
        <v>868243023</v>
      </c>
      <c r="W66" s="30">
        <f>257710105</f>
        <v>257710105</v>
      </c>
      <c r="X66" s="34">
        <f>20</f>
        <v>20</v>
      </c>
    </row>
    <row r="67" spans="1:24" ht="13.5" customHeight="1" x14ac:dyDescent="0.15">
      <c r="A67" s="25" t="s">
        <v>1032</v>
      </c>
      <c r="B67" s="25" t="s">
        <v>231</v>
      </c>
      <c r="C67" s="25" t="s">
        <v>1055</v>
      </c>
      <c r="D67" s="25" t="s">
        <v>1056</v>
      </c>
      <c r="E67" s="26" t="s">
        <v>45</v>
      </c>
      <c r="F67" s="27" t="s">
        <v>45</v>
      </c>
      <c r="G67" s="28" t="s">
        <v>45</v>
      </c>
      <c r="H67" s="29"/>
      <c r="I67" s="29" t="s">
        <v>46</v>
      </c>
      <c r="J67" s="30">
        <v>1</v>
      </c>
      <c r="K67" s="31">
        <f>24835</f>
        <v>24835</v>
      </c>
      <c r="L67" s="32" t="s">
        <v>996</v>
      </c>
      <c r="M67" s="31">
        <f>25250</f>
        <v>25250</v>
      </c>
      <c r="N67" s="32" t="s">
        <v>788</v>
      </c>
      <c r="O67" s="31">
        <f>24280</f>
        <v>24280</v>
      </c>
      <c r="P67" s="32" t="s">
        <v>78</v>
      </c>
      <c r="Q67" s="31">
        <f>25250</f>
        <v>25250</v>
      </c>
      <c r="R67" s="32" t="s">
        <v>788</v>
      </c>
      <c r="S67" s="33">
        <f>24826.88</f>
        <v>24826.880000000001</v>
      </c>
      <c r="T67" s="30">
        <f>18</f>
        <v>18</v>
      </c>
      <c r="U67" s="30" t="str">
        <f>"－"</f>
        <v>－</v>
      </c>
      <c r="V67" s="30">
        <f>447790</f>
        <v>447790</v>
      </c>
      <c r="W67" s="30" t="str">
        <f>"－"</f>
        <v>－</v>
      </c>
      <c r="X67" s="34">
        <f>8</f>
        <v>8</v>
      </c>
    </row>
    <row r="68" spans="1:24" ht="13.5" customHeight="1" x14ac:dyDescent="0.15">
      <c r="A68" s="25" t="s">
        <v>1032</v>
      </c>
      <c r="B68" s="25" t="s">
        <v>234</v>
      </c>
      <c r="C68" s="25" t="s">
        <v>235</v>
      </c>
      <c r="D68" s="25" t="s">
        <v>236</v>
      </c>
      <c r="E68" s="26" t="s">
        <v>45</v>
      </c>
      <c r="F68" s="27" t="s">
        <v>45</v>
      </c>
      <c r="G68" s="28" t="s">
        <v>45</v>
      </c>
      <c r="H68" s="29"/>
      <c r="I68" s="29" t="s">
        <v>46</v>
      </c>
      <c r="J68" s="30">
        <v>1</v>
      </c>
      <c r="K68" s="31">
        <f>20480</f>
        <v>20480</v>
      </c>
      <c r="L68" s="32" t="s">
        <v>996</v>
      </c>
      <c r="M68" s="31">
        <f>20660</f>
        <v>20660</v>
      </c>
      <c r="N68" s="32" t="s">
        <v>788</v>
      </c>
      <c r="O68" s="31">
        <f>20105</f>
        <v>20105</v>
      </c>
      <c r="P68" s="32" t="s">
        <v>794</v>
      </c>
      <c r="Q68" s="31">
        <f>20500</f>
        <v>20500</v>
      </c>
      <c r="R68" s="32" t="s">
        <v>789</v>
      </c>
      <c r="S68" s="33">
        <f>20434.29</f>
        <v>20434.29</v>
      </c>
      <c r="T68" s="30">
        <f>42</f>
        <v>42</v>
      </c>
      <c r="U68" s="30" t="str">
        <f>"－"</f>
        <v>－</v>
      </c>
      <c r="V68" s="30">
        <f>859555</f>
        <v>859555</v>
      </c>
      <c r="W68" s="30" t="str">
        <f>"－"</f>
        <v>－</v>
      </c>
      <c r="X68" s="34">
        <f>7</f>
        <v>7</v>
      </c>
    </row>
    <row r="69" spans="1:24" ht="13.5" customHeight="1" x14ac:dyDescent="0.15">
      <c r="A69" s="25" t="s">
        <v>1032</v>
      </c>
      <c r="B69" s="25" t="s">
        <v>237</v>
      </c>
      <c r="C69" s="25" t="s">
        <v>238</v>
      </c>
      <c r="D69" s="25" t="s">
        <v>239</v>
      </c>
      <c r="E69" s="26" t="s">
        <v>45</v>
      </c>
      <c r="F69" s="27" t="s">
        <v>45</v>
      </c>
      <c r="G69" s="28" t="s">
        <v>45</v>
      </c>
      <c r="H69" s="29"/>
      <c r="I69" s="29" t="s">
        <v>46</v>
      </c>
      <c r="J69" s="30">
        <v>1</v>
      </c>
      <c r="K69" s="31">
        <f>2112</f>
        <v>2112</v>
      </c>
      <c r="L69" s="32" t="s">
        <v>996</v>
      </c>
      <c r="M69" s="31">
        <f>2167</f>
        <v>2167</v>
      </c>
      <c r="N69" s="32" t="s">
        <v>997</v>
      </c>
      <c r="O69" s="31">
        <f>2062</f>
        <v>2062</v>
      </c>
      <c r="P69" s="32" t="s">
        <v>1003</v>
      </c>
      <c r="Q69" s="31">
        <f>2167</f>
        <v>2167</v>
      </c>
      <c r="R69" s="32" t="s">
        <v>997</v>
      </c>
      <c r="S69" s="33">
        <f>2119.28</f>
        <v>2119.2800000000002</v>
      </c>
      <c r="T69" s="30">
        <f>651</f>
        <v>651</v>
      </c>
      <c r="U69" s="30" t="str">
        <f>"－"</f>
        <v>－</v>
      </c>
      <c r="V69" s="30">
        <f>1378178</f>
        <v>1378178</v>
      </c>
      <c r="W69" s="30" t="str">
        <f>"－"</f>
        <v>－</v>
      </c>
      <c r="X69" s="34">
        <f>18</f>
        <v>18</v>
      </c>
    </row>
    <row r="70" spans="1:24" ht="13.5" customHeight="1" x14ac:dyDescent="0.15">
      <c r="A70" s="25" t="s">
        <v>1032</v>
      </c>
      <c r="B70" s="25" t="s">
        <v>240</v>
      </c>
      <c r="C70" s="25" t="s">
        <v>241</v>
      </c>
      <c r="D70" s="25" t="s">
        <v>242</v>
      </c>
      <c r="E70" s="26" t="s">
        <v>45</v>
      </c>
      <c r="F70" s="27" t="s">
        <v>45</v>
      </c>
      <c r="G70" s="28" t="s">
        <v>45</v>
      </c>
      <c r="H70" s="29"/>
      <c r="I70" s="29" t="s">
        <v>46</v>
      </c>
      <c r="J70" s="30">
        <v>1</v>
      </c>
      <c r="K70" s="31">
        <f>1930</f>
        <v>1930</v>
      </c>
      <c r="L70" s="32" t="s">
        <v>996</v>
      </c>
      <c r="M70" s="31">
        <f>1962</f>
        <v>1962</v>
      </c>
      <c r="N70" s="32" t="s">
        <v>78</v>
      </c>
      <c r="O70" s="31">
        <f>1906</f>
        <v>1906</v>
      </c>
      <c r="P70" s="32" t="s">
        <v>788</v>
      </c>
      <c r="Q70" s="31">
        <f>1923</f>
        <v>1923</v>
      </c>
      <c r="R70" s="32" t="s">
        <v>997</v>
      </c>
      <c r="S70" s="33">
        <f>1930.7</f>
        <v>1930.7</v>
      </c>
      <c r="T70" s="30">
        <f>5343682</f>
        <v>5343682</v>
      </c>
      <c r="U70" s="30">
        <f>4638485</f>
        <v>4638485</v>
      </c>
      <c r="V70" s="30">
        <f>10272704278</f>
        <v>10272704278</v>
      </c>
      <c r="W70" s="30">
        <f>8912844011</f>
        <v>8912844011</v>
      </c>
      <c r="X70" s="34">
        <f>20</f>
        <v>20</v>
      </c>
    </row>
    <row r="71" spans="1:24" ht="13.5" customHeight="1" x14ac:dyDescent="0.15">
      <c r="A71" s="25" t="s">
        <v>1032</v>
      </c>
      <c r="B71" s="25" t="s">
        <v>243</v>
      </c>
      <c r="C71" s="25" t="s">
        <v>244</v>
      </c>
      <c r="D71" s="25" t="s">
        <v>245</v>
      </c>
      <c r="E71" s="26" t="s">
        <v>45</v>
      </c>
      <c r="F71" s="27" t="s">
        <v>45</v>
      </c>
      <c r="G71" s="28" t="s">
        <v>45</v>
      </c>
      <c r="H71" s="29"/>
      <c r="I71" s="29" t="s">
        <v>46</v>
      </c>
      <c r="J71" s="30">
        <v>1</v>
      </c>
      <c r="K71" s="31">
        <f>2065</f>
        <v>2065</v>
      </c>
      <c r="L71" s="32" t="s">
        <v>996</v>
      </c>
      <c r="M71" s="31">
        <f>2150</f>
        <v>2150</v>
      </c>
      <c r="N71" s="32" t="s">
        <v>789</v>
      </c>
      <c r="O71" s="31">
        <f>2046</f>
        <v>2046</v>
      </c>
      <c r="P71" s="32" t="s">
        <v>78</v>
      </c>
      <c r="Q71" s="31">
        <f>2140</f>
        <v>2140</v>
      </c>
      <c r="R71" s="32" t="s">
        <v>997</v>
      </c>
      <c r="S71" s="33">
        <f>2105.5</f>
        <v>2105.5</v>
      </c>
      <c r="T71" s="30">
        <f>1941</f>
        <v>1941</v>
      </c>
      <c r="U71" s="30" t="str">
        <f>"－"</f>
        <v>－</v>
      </c>
      <c r="V71" s="30">
        <f>4091477</f>
        <v>4091477</v>
      </c>
      <c r="W71" s="30" t="str">
        <f>"－"</f>
        <v>－</v>
      </c>
      <c r="X71" s="34">
        <f>20</f>
        <v>20</v>
      </c>
    </row>
    <row r="72" spans="1:24" ht="13.5" customHeight="1" x14ac:dyDescent="0.15">
      <c r="A72" s="25" t="s">
        <v>1032</v>
      </c>
      <c r="B72" s="25" t="s">
        <v>246</v>
      </c>
      <c r="C72" s="25" t="s">
        <v>247</v>
      </c>
      <c r="D72" s="25" t="s">
        <v>248</v>
      </c>
      <c r="E72" s="26" t="s">
        <v>45</v>
      </c>
      <c r="F72" s="27" t="s">
        <v>45</v>
      </c>
      <c r="G72" s="28" t="s">
        <v>45</v>
      </c>
      <c r="H72" s="29"/>
      <c r="I72" s="29" t="s">
        <v>46</v>
      </c>
      <c r="J72" s="30">
        <v>10</v>
      </c>
      <c r="K72" s="31">
        <f>2080.5</f>
        <v>2080.5</v>
      </c>
      <c r="L72" s="32" t="s">
        <v>996</v>
      </c>
      <c r="M72" s="31">
        <f>2138</f>
        <v>2138</v>
      </c>
      <c r="N72" s="32" t="s">
        <v>997</v>
      </c>
      <c r="O72" s="31">
        <f>2023.5</f>
        <v>2023.5</v>
      </c>
      <c r="P72" s="32" t="s">
        <v>794</v>
      </c>
      <c r="Q72" s="31">
        <f>2138</f>
        <v>2138</v>
      </c>
      <c r="R72" s="32" t="s">
        <v>997</v>
      </c>
      <c r="S72" s="33">
        <f>2090.33</f>
        <v>2090.33</v>
      </c>
      <c r="T72" s="30">
        <f>3100</f>
        <v>3100</v>
      </c>
      <c r="U72" s="30" t="str">
        <f>"－"</f>
        <v>－</v>
      </c>
      <c r="V72" s="30">
        <f>6476125</f>
        <v>6476125</v>
      </c>
      <c r="W72" s="30" t="str">
        <f>"－"</f>
        <v>－</v>
      </c>
      <c r="X72" s="34">
        <f>20</f>
        <v>20</v>
      </c>
    </row>
    <row r="73" spans="1:24" ht="13.5" customHeight="1" x14ac:dyDescent="0.15">
      <c r="A73" s="25" t="s">
        <v>1032</v>
      </c>
      <c r="B73" s="25" t="s">
        <v>249</v>
      </c>
      <c r="C73" s="25" t="s">
        <v>250</v>
      </c>
      <c r="D73" s="25" t="s">
        <v>251</v>
      </c>
      <c r="E73" s="26" t="s">
        <v>45</v>
      </c>
      <c r="F73" s="27" t="s">
        <v>45</v>
      </c>
      <c r="G73" s="28" t="s">
        <v>45</v>
      </c>
      <c r="H73" s="29"/>
      <c r="I73" s="29" t="s">
        <v>46</v>
      </c>
      <c r="J73" s="30">
        <v>1</v>
      </c>
      <c r="K73" s="31">
        <f>31100</f>
        <v>31100</v>
      </c>
      <c r="L73" s="32" t="s">
        <v>794</v>
      </c>
      <c r="M73" s="31">
        <f>31990</f>
        <v>31990</v>
      </c>
      <c r="N73" s="32" t="s">
        <v>789</v>
      </c>
      <c r="O73" s="31">
        <f>30400</f>
        <v>30400</v>
      </c>
      <c r="P73" s="32" t="s">
        <v>787</v>
      </c>
      <c r="Q73" s="31">
        <f>31690</f>
        <v>31690</v>
      </c>
      <c r="R73" s="32" t="s">
        <v>786</v>
      </c>
      <c r="S73" s="33">
        <f>31440</f>
        <v>31440</v>
      </c>
      <c r="T73" s="30">
        <f>255</f>
        <v>255</v>
      </c>
      <c r="U73" s="30" t="str">
        <f>"－"</f>
        <v>－</v>
      </c>
      <c r="V73" s="30">
        <f>8088690</f>
        <v>8088690</v>
      </c>
      <c r="W73" s="30" t="str">
        <f>"－"</f>
        <v>－</v>
      </c>
      <c r="X73" s="34">
        <f>6</f>
        <v>6</v>
      </c>
    </row>
    <row r="74" spans="1:24" ht="13.5" customHeight="1" x14ac:dyDescent="0.15">
      <c r="A74" s="25" t="s">
        <v>1032</v>
      </c>
      <c r="B74" s="25" t="s">
        <v>252</v>
      </c>
      <c r="C74" s="25" t="s">
        <v>253</v>
      </c>
      <c r="D74" s="25" t="s">
        <v>254</v>
      </c>
      <c r="E74" s="26" t="s">
        <v>45</v>
      </c>
      <c r="F74" s="27" t="s">
        <v>45</v>
      </c>
      <c r="G74" s="28" t="s">
        <v>45</v>
      </c>
      <c r="H74" s="29"/>
      <c r="I74" s="29" t="s">
        <v>46</v>
      </c>
      <c r="J74" s="30">
        <v>1</v>
      </c>
      <c r="K74" s="31">
        <f>21855</f>
        <v>21855</v>
      </c>
      <c r="L74" s="32" t="s">
        <v>996</v>
      </c>
      <c r="M74" s="31">
        <f>22235</f>
        <v>22235</v>
      </c>
      <c r="N74" s="32" t="s">
        <v>997</v>
      </c>
      <c r="O74" s="31">
        <f>21730</f>
        <v>21730</v>
      </c>
      <c r="P74" s="32" t="s">
        <v>996</v>
      </c>
      <c r="Q74" s="31">
        <f>22225</f>
        <v>22225</v>
      </c>
      <c r="R74" s="32" t="s">
        <v>997</v>
      </c>
      <c r="S74" s="33">
        <f>21978.75</f>
        <v>21978.75</v>
      </c>
      <c r="T74" s="30">
        <f>178072</f>
        <v>178072</v>
      </c>
      <c r="U74" s="30">
        <f>92504</f>
        <v>92504</v>
      </c>
      <c r="V74" s="30">
        <f>3923374952</f>
        <v>3923374952</v>
      </c>
      <c r="W74" s="30">
        <f>2044306052</f>
        <v>2044306052</v>
      </c>
      <c r="X74" s="34">
        <f>20</f>
        <v>20</v>
      </c>
    </row>
    <row r="75" spans="1:24" ht="13.5" customHeight="1" x14ac:dyDescent="0.15">
      <c r="A75" s="25" t="s">
        <v>1032</v>
      </c>
      <c r="B75" s="25" t="s">
        <v>256</v>
      </c>
      <c r="C75" s="25" t="s">
        <v>257</v>
      </c>
      <c r="D75" s="25" t="s">
        <v>258</v>
      </c>
      <c r="E75" s="26" t="s">
        <v>45</v>
      </c>
      <c r="F75" s="27" t="s">
        <v>45</v>
      </c>
      <c r="G75" s="28" t="s">
        <v>45</v>
      </c>
      <c r="H75" s="29"/>
      <c r="I75" s="29" t="s">
        <v>46</v>
      </c>
      <c r="J75" s="30">
        <v>1</v>
      </c>
      <c r="K75" s="31">
        <f>14855</f>
        <v>14855</v>
      </c>
      <c r="L75" s="32" t="s">
        <v>996</v>
      </c>
      <c r="M75" s="31">
        <f>15055</f>
        <v>15055</v>
      </c>
      <c r="N75" s="32" t="s">
        <v>78</v>
      </c>
      <c r="O75" s="31">
        <f>14705</f>
        <v>14705</v>
      </c>
      <c r="P75" s="32" t="s">
        <v>788</v>
      </c>
      <c r="Q75" s="31">
        <f>14840</f>
        <v>14840</v>
      </c>
      <c r="R75" s="32" t="s">
        <v>997</v>
      </c>
      <c r="S75" s="33">
        <f>14876.25</f>
        <v>14876.25</v>
      </c>
      <c r="T75" s="30">
        <f>457879</f>
        <v>457879</v>
      </c>
      <c r="U75" s="30">
        <f>388001</f>
        <v>388001</v>
      </c>
      <c r="V75" s="30">
        <f>6814052790</f>
        <v>6814052790</v>
      </c>
      <c r="W75" s="30">
        <f>5770581010</f>
        <v>5770581010</v>
      </c>
      <c r="X75" s="34">
        <f>20</f>
        <v>20</v>
      </c>
    </row>
    <row r="76" spans="1:24" ht="13.5" customHeight="1" x14ac:dyDescent="0.15">
      <c r="A76" s="25" t="s">
        <v>1032</v>
      </c>
      <c r="B76" s="25" t="s">
        <v>259</v>
      </c>
      <c r="C76" s="25" t="s">
        <v>1057</v>
      </c>
      <c r="D76" s="25" t="s">
        <v>1058</v>
      </c>
      <c r="E76" s="26" t="s">
        <v>45</v>
      </c>
      <c r="F76" s="27" t="s">
        <v>45</v>
      </c>
      <c r="G76" s="28" t="s">
        <v>45</v>
      </c>
      <c r="H76" s="29"/>
      <c r="I76" s="29" t="s">
        <v>46</v>
      </c>
      <c r="J76" s="30">
        <v>10</v>
      </c>
      <c r="K76" s="31">
        <f>1847.5</f>
        <v>1847.5</v>
      </c>
      <c r="L76" s="32" t="s">
        <v>996</v>
      </c>
      <c r="M76" s="31">
        <f>1930</f>
        <v>1930</v>
      </c>
      <c r="N76" s="32" t="s">
        <v>997</v>
      </c>
      <c r="O76" s="31">
        <f>1839</f>
        <v>1839</v>
      </c>
      <c r="P76" s="32" t="s">
        <v>996</v>
      </c>
      <c r="Q76" s="31">
        <f>1930</f>
        <v>1930</v>
      </c>
      <c r="R76" s="32" t="s">
        <v>997</v>
      </c>
      <c r="S76" s="33">
        <f>1883.43</f>
        <v>1883.43</v>
      </c>
      <c r="T76" s="30">
        <f>2144130</f>
        <v>2144130</v>
      </c>
      <c r="U76" s="30">
        <f>1208360</f>
        <v>1208360</v>
      </c>
      <c r="V76" s="30">
        <f>4027510937</f>
        <v>4027510937</v>
      </c>
      <c r="W76" s="30">
        <f>2264838452</f>
        <v>2264838452</v>
      </c>
      <c r="X76" s="34">
        <f>20</f>
        <v>20</v>
      </c>
    </row>
    <row r="77" spans="1:24" ht="13.5" customHeight="1" x14ac:dyDescent="0.15">
      <c r="A77" s="25" t="s">
        <v>1032</v>
      </c>
      <c r="B77" s="25" t="s">
        <v>262</v>
      </c>
      <c r="C77" s="25" t="s">
        <v>263</v>
      </c>
      <c r="D77" s="25" t="s">
        <v>264</v>
      </c>
      <c r="E77" s="26" t="s">
        <v>45</v>
      </c>
      <c r="F77" s="27" t="s">
        <v>45</v>
      </c>
      <c r="G77" s="28" t="s">
        <v>45</v>
      </c>
      <c r="H77" s="29"/>
      <c r="I77" s="29" t="s">
        <v>46</v>
      </c>
      <c r="J77" s="30">
        <v>1</v>
      </c>
      <c r="K77" s="31">
        <f>46710</f>
        <v>46710</v>
      </c>
      <c r="L77" s="32" t="s">
        <v>996</v>
      </c>
      <c r="M77" s="31">
        <f>46710</f>
        <v>46710</v>
      </c>
      <c r="N77" s="32" t="s">
        <v>996</v>
      </c>
      <c r="O77" s="31">
        <f>44150</f>
        <v>44150</v>
      </c>
      <c r="P77" s="32" t="s">
        <v>78</v>
      </c>
      <c r="Q77" s="31">
        <f>45910</f>
        <v>45910</v>
      </c>
      <c r="R77" s="32" t="s">
        <v>997</v>
      </c>
      <c r="S77" s="33">
        <f>45645</f>
        <v>45645</v>
      </c>
      <c r="T77" s="30">
        <f>456068</f>
        <v>456068</v>
      </c>
      <c r="U77" s="30">
        <f>104232</f>
        <v>104232</v>
      </c>
      <c r="V77" s="30">
        <f>20805585516</f>
        <v>20805585516</v>
      </c>
      <c r="W77" s="30">
        <f>4786519186</f>
        <v>4786519186</v>
      </c>
      <c r="X77" s="34">
        <f>20</f>
        <v>20</v>
      </c>
    </row>
    <row r="78" spans="1:24" ht="13.5" customHeight="1" x14ac:dyDescent="0.15">
      <c r="A78" s="25" t="s">
        <v>1032</v>
      </c>
      <c r="B78" s="25" t="s">
        <v>265</v>
      </c>
      <c r="C78" s="25" t="s">
        <v>266</v>
      </c>
      <c r="D78" s="25" t="s">
        <v>267</v>
      </c>
      <c r="E78" s="26" t="s">
        <v>45</v>
      </c>
      <c r="F78" s="27" t="s">
        <v>45</v>
      </c>
      <c r="G78" s="28" t="s">
        <v>45</v>
      </c>
      <c r="H78" s="29"/>
      <c r="I78" s="29" t="s">
        <v>46</v>
      </c>
      <c r="J78" s="30">
        <v>10</v>
      </c>
      <c r="K78" s="31">
        <f>7650</f>
        <v>7650</v>
      </c>
      <c r="L78" s="32" t="s">
        <v>998</v>
      </c>
      <c r="M78" s="31">
        <f>7731</f>
        <v>7731</v>
      </c>
      <c r="N78" s="32" t="s">
        <v>997</v>
      </c>
      <c r="O78" s="31">
        <f>7648</f>
        <v>7648</v>
      </c>
      <c r="P78" s="32" t="s">
        <v>998</v>
      </c>
      <c r="Q78" s="31">
        <f>7731</f>
        <v>7731</v>
      </c>
      <c r="R78" s="32" t="s">
        <v>997</v>
      </c>
      <c r="S78" s="33">
        <f>7689.5</f>
        <v>7689.5</v>
      </c>
      <c r="T78" s="30">
        <f>120</f>
        <v>120</v>
      </c>
      <c r="U78" s="30" t="str">
        <f>"－"</f>
        <v>－</v>
      </c>
      <c r="V78" s="30">
        <f>926080</f>
        <v>926080</v>
      </c>
      <c r="W78" s="30" t="str">
        <f>"－"</f>
        <v>－</v>
      </c>
      <c r="X78" s="34">
        <f>2</f>
        <v>2</v>
      </c>
    </row>
    <row r="79" spans="1:24" ht="13.5" customHeight="1" x14ac:dyDescent="0.15">
      <c r="A79" s="25" t="s">
        <v>1032</v>
      </c>
      <c r="B79" s="25" t="s">
        <v>268</v>
      </c>
      <c r="C79" s="25" t="s">
        <v>269</v>
      </c>
      <c r="D79" s="25" t="s">
        <v>270</v>
      </c>
      <c r="E79" s="26" t="s">
        <v>45</v>
      </c>
      <c r="F79" s="27" t="s">
        <v>45</v>
      </c>
      <c r="G79" s="28" t="s">
        <v>45</v>
      </c>
      <c r="H79" s="29"/>
      <c r="I79" s="29" t="s">
        <v>46</v>
      </c>
      <c r="J79" s="30">
        <v>1</v>
      </c>
      <c r="K79" s="31">
        <f>15920</f>
        <v>15920</v>
      </c>
      <c r="L79" s="32" t="s">
        <v>996</v>
      </c>
      <c r="M79" s="31">
        <f>16300</f>
        <v>16300</v>
      </c>
      <c r="N79" s="32" t="s">
        <v>792</v>
      </c>
      <c r="O79" s="31">
        <f>15625</f>
        <v>15625</v>
      </c>
      <c r="P79" s="32" t="s">
        <v>875</v>
      </c>
      <c r="Q79" s="31">
        <f>16145</f>
        <v>16145</v>
      </c>
      <c r="R79" s="32" t="s">
        <v>997</v>
      </c>
      <c r="S79" s="33">
        <f>16018.5</f>
        <v>16018.5</v>
      </c>
      <c r="T79" s="30">
        <f>399</f>
        <v>399</v>
      </c>
      <c r="U79" s="30" t="str">
        <f>"－"</f>
        <v>－</v>
      </c>
      <c r="V79" s="30">
        <f>6364960</f>
        <v>6364960</v>
      </c>
      <c r="W79" s="30" t="str">
        <f>"－"</f>
        <v>－</v>
      </c>
      <c r="X79" s="34">
        <f>20</f>
        <v>20</v>
      </c>
    </row>
    <row r="80" spans="1:24" ht="13.5" customHeight="1" x14ac:dyDescent="0.15">
      <c r="A80" s="25" t="s">
        <v>1032</v>
      </c>
      <c r="B80" s="25" t="s">
        <v>271</v>
      </c>
      <c r="C80" s="25" t="s">
        <v>272</v>
      </c>
      <c r="D80" s="25" t="s">
        <v>273</v>
      </c>
      <c r="E80" s="26" t="s">
        <v>45</v>
      </c>
      <c r="F80" s="27" t="s">
        <v>45</v>
      </c>
      <c r="G80" s="28" t="s">
        <v>45</v>
      </c>
      <c r="H80" s="29"/>
      <c r="I80" s="29" t="s">
        <v>46</v>
      </c>
      <c r="J80" s="30">
        <v>1</v>
      </c>
      <c r="K80" s="31">
        <f>16085</f>
        <v>16085</v>
      </c>
      <c r="L80" s="32" t="s">
        <v>996</v>
      </c>
      <c r="M80" s="31">
        <f>16140</f>
        <v>16140</v>
      </c>
      <c r="N80" s="32" t="s">
        <v>996</v>
      </c>
      <c r="O80" s="31">
        <f>15445</f>
        <v>15445</v>
      </c>
      <c r="P80" s="32" t="s">
        <v>78</v>
      </c>
      <c r="Q80" s="31">
        <f>16085</f>
        <v>16085</v>
      </c>
      <c r="R80" s="32" t="s">
        <v>997</v>
      </c>
      <c r="S80" s="33">
        <f>15894</f>
        <v>15894</v>
      </c>
      <c r="T80" s="30">
        <f>345</f>
        <v>345</v>
      </c>
      <c r="U80" s="30" t="str">
        <f>"－"</f>
        <v>－</v>
      </c>
      <c r="V80" s="30">
        <f>5463940</f>
        <v>5463940</v>
      </c>
      <c r="W80" s="30" t="str">
        <f>"－"</f>
        <v>－</v>
      </c>
      <c r="X80" s="34">
        <f>20</f>
        <v>20</v>
      </c>
    </row>
    <row r="81" spans="1:24" ht="13.5" customHeight="1" x14ac:dyDescent="0.15">
      <c r="A81" s="25" t="s">
        <v>1032</v>
      </c>
      <c r="B81" s="25" t="s">
        <v>274</v>
      </c>
      <c r="C81" s="25" t="s">
        <v>275</v>
      </c>
      <c r="D81" s="25" t="s">
        <v>276</v>
      </c>
      <c r="E81" s="26" t="s">
        <v>45</v>
      </c>
      <c r="F81" s="27" t="s">
        <v>45</v>
      </c>
      <c r="G81" s="28" t="s">
        <v>45</v>
      </c>
      <c r="H81" s="29"/>
      <c r="I81" s="29" t="s">
        <v>46</v>
      </c>
      <c r="J81" s="30">
        <v>1</v>
      </c>
      <c r="K81" s="31">
        <f>21790</f>
        <v>21790</v>
      </c>
      <c r="L81" s="32" t="s">
        <v>996</v>
      </c>
      <c r="M81" s="31">
        <f>22400</f>
        <v>22400</v>
      </c>
      <c r="N81" s="32" t="s">
        <v>997</v>
      </c>
      <c r="O81" s="31">
        <f>21020</f>
        <v>21020</v>
      </c>
      <c r="P81" s="32" t="s">
        <v>78</v>
      </c>
      <c r="Q81" s="31">
        <f>22305</f>
        <v>22305</v>
      </c>
      <c r="R81" s="32" t="s">
        <v>997</v>
      </c>
      <c r="S81" s="33">
        <f>21729.25</f>
        <v>21729.25</v>
      </c>
      <c r="T81" s="30">
        <f>181364</f>
        <v>181364</v>
      </c>
      <c r="U81" s="30">
        <f>159558</f>
        <v>159558</v>
      </c>
      <c r="V81" s="30">
        <f>3964571053</f>
        <v>3964571053</v>
      </c>
      <c r="W81" s="30">
        <f>3494863138</f>
        <v>3494863138</v>
      </c>
      <c r="X81" s="34">
        <f>20</f>
        <v>20</v>
      </c>
    </row>
    <row r="82" spans="1:24" ht="13.5" customHeight="1" x14ac:dyDescent="0.15">
      <c r="A82" s="25" t="s">
        <v>1032</v>
      </c>
      <c r="B82" s="25" t="s">
        <v>277</v>
      </c>
      <c r="C82" s="25" t="s">
        <v>278</v>
      </c>
      <c r="D82" s="25" t="s">
        <v>279</v>
      </c>
      <c r="E82" s="26" t="s">
        <v>45</v>
      </c>
      <c r="F82" s="27" t="s">
        <v>45</v>
      </c>
      <c r="G82" s="28" t="s">
        <v>45</v>
      </c>
      <c r="H82" s="29"/>
      <c r="I82" s="29" t="s">
        <v>46</v>
      </c>
      <c r="J82" s="30">
        <v>10</v>
      </c>
      <c r="K82" s="31">
        <f>10520</f>
        <v>10520</v>
      </c>
      <c r="L82" s="32" t="s">
        <v>996</v>
      </c>
      <c r="M82" s="31">
        <f>10975</f>
        <v>10975</v>
      </c>
      <c r="N82" s="32" t="s">
        <v>78</v>
      </c>
      <c r="O82" s="31">
        <f>10250</f>
        <v>10250</v>
      </c>
      <c r="P82" s="32" t="s">
        <v>790</v>
      </c>
      <c r="Q82" s="31">
        <f>10735</f>
        <v>10735</v>
      </c>
      <c r="R82" s="32" t="s">
        <v>997</v>
      </c>
      <c r="S82" s="33">
        <f>10662.25</f>
        <v>10662.25</v>
      </c>
      <c r="T82" s="30">
        <f>10430</f>
        <v>10430</v>
      </c>
      <c r="U82" s="30">
        <f>40</f>
        <v>40</v>
      </c>
      <c r="V82" s="30">
        <f>111388850</f>
        <v>111388850</v>
      </c>
      <c r="W82" s="30">
        <f>430450</f>
        <v>430450</v>
      </c>
      <c r="X82" s="34">
        <f>20</f>
        <v>20</v>
      </c>
    </row>
    <row r="83" spans="1:24" ht="13.5" customHeight="1" x14ac:dyDescent="0.15">
      <c r="A83" s="25" t="s">
        <v>1032</v>
      </c>
      <c r="B83" s="25" t="s">
        <v>280</v>
      </c>
      <c r="C83" s="25" t="s">
        <v>281</v>
      </c>
      <c r="D83" s="25" t="s">
        <v>282</v>
      </c>
      <c r="E83" s="26" t="s">
        <v>45</v>
      </c>
      <c r="F83" s="27" t="s">
        <v>45</v>
      </c>
      <c r="G83" s="28" t="s">
        <v>45</v>
      </c>
      <c r="H83" s="29"/>
      <c r="I83" s="29" t="s">
        <v>46</v>
      </c>
      <c r="J83" s="30">
        <v>1</v>
      </c>
      <c r="K83" s="31">
        <f>2009</f>
        <v>2009</v>
      </c>
      <c r="L83" s="32" t="s">
        <v>996</v>
      </c>
      <c r="M83" s="31">
        <f>2042</f>
        <v>2042</v>
      </c>
      <c r="N83" s="32" t="s">
        <v>1003</v>
      </c>
      <c r="O83" s="31">
        <f>1976</f>
        <v>1976</v>
      </c>
      <c r="P83" s="32" t="s">
        <v>80</v>
      </c>
      <c r="Q83" s="31">
        <f>1989</f>
        <v>1989</v>
      </c>
      <c r="R83" s="32" t="s">
        <v>997</v>
      </c>
      <c r="S83" s="33">
        <f>2002.1</f>
        <v>2002.1</v>
      </c>
      <c r="T83" s="30">
        <f>226116</f>
        <v>226116</v>
      </c>
      <c r="U83" s="30" t="str">
        <f>"－"</f>
        <v>－</v>
      </c>
      <c r="V83" s="30">
        <f>451987773</f>
        <v>451987773</v>
      </c>
      <c r="W83" s="30" t="str">
        <f>"－"</f>
        <v>－</v>
      </c>
      <c r="X83" s="34">
        <f>20</f>
        <v>20</v>
      </c>
    </row>
    <row r="84" spans="1:24" ht="13.5" customHeight="1" x14ac:dyDescent="0.15">
      <c r="A84" s="25" t="s">
        <v>1032</v>
      </c>
      <c r="B84" s="25" t="s">
        <v>283</v>
      </c>
      <c r="C84" s="25" t="s">
        <v>284</v>
      </c>
      <c r="D84" s="25" t="s">
        <v>285</v>
      </c>
      <c r="E84" s="26" t="s">
        <v>45</v>
      </c>
      <c r="F84" s="27" t="s">
        <v>45</v>
      </c>
      <c r="G84" s="28" t="s">
        <v>45</v>
      </c>
      <c r="H84" s="29"/>
      <c r="I84" s="29" t="s">
        <v>46</v>
      </c>
      <c r="J84" s="30">
        <v>1</v>
      </c>
      <c r="K84" s="31">
        <f>1943</f>
        <v>1943</v>
      </c>
      <c r="L84" s="32" t="s">
        <v>996</v>
      </c>
      <c r="M84" s="31">
        <f>1979</f>
        <v>1979</v>
      </c>
      <c r="N84" s="32" t="s">
        <v>1003</v>
      </c>
      <c r="O84" s="31">
        <f>1915</f>
        <v>1915</v>
      </c>
      <c r="P84" s="32" t="s">
        <v>875</v>
      </c>
      <c r="Q84" s="31">
        <f>1922</f>
        <v>1922</v>
      </c>
      <c r="R84" s="32" t="s">
        <v>997</v>
      </c>
      <c r="S84" s="33">
        <f>1930.15</f>
        <v>1930.15</v>
      </c>
      <c r="T84" s="30">
        <f>645754</f>
        <v>645754</v>
      </c>
      <c r="U84" s="30">
        <f>5000</f>
        <v>5000</v>
      </c>
      <c r="V84" s="30">
        <f>1247550783</f>
        <v>1247550783</v>
      </c>
      <c r="W84" s="30">
        <f>9619500</f>
        <v>9619500</v>
      </c>
      <c r="X84" s="34">
        <f>20</f>
        <v>20</v>
      </c>
    </row>
    <row r="85" spans="1:24" ht="13.5" customHeight="1" x14ac:dyDescent="0.15">
      <c r="A85" s="25" t="s">
        <v>1032</v>
      </c>
      <c r="B85" s="25" t="s">
        <v>286</v>
      </c>
      <c r="C85" s="25" t="s">
        <v>287</v>
      </c>
      <c r="D85" s="25" t="s">
        <v>288</v>
      </c>
      <c r="E85" s="26" t="s">
        <v>45</v>
      </c>
      <c r="F85" s="27" t="s">
        <v>45</v>
      </c>
      <c r="G85" s="28" t="s">
        <v>45</v>
      </c>
      <c r="H85" s="29"/>
      <c r="I85" s="29" t="s">
        <v>46</v>
      </c>
      <c r="J85" s="30">
        <v>1</v>
      </c>
      <c r="K85" s="31">
        <f>15460</f>
        <v>15460</v>
      </c>
      <c r="L85" s="32" t="s">
        <v>996</v>
      </c>
      <c r="M85" s="31">
        <f>15820</f>
        <v>15820</v>
      </c>
      <c r="N85" s="32" t="s">
        <v>997</v>
      </c>
      <c r="O85" s="31">
        <f>15035</f>
        <v>15035</v>
      </c>
      <c r="P85" s="32" t="s">
        <v>78</v>
      </c>
      <c r="Q85" s="31">
        <f>15820</f>
        <v>15820</v>
      </c>
      <c r="R85" s="32" t="s">
        <v>997</v>
      </c>
      <c r="S85" s="33">
        <f>15488.75</f>
        <v>15488.75</v>
      </c>
      <c r="T85" s="30">
        <f>12402</f>
        <v>12402</v>
      </c>
      <c r="U85" s="30">
        <f>2800</f>
        <v>2800</v>
      </c>
      <c r="V85" s="30">
        <f>192585920</f>
        <v>192585920</v>
      </c>
      <c r="W85" s="30">
        <f>43880405</f>
        <v>43880405</v>
      </c>
      <c r="X85" s="34">
        <f>20</f>
        <v>20</v>
      </c>
    </row>
    <row r="86" spans="1:24" ht="13.5" customHeight="1" x14ac:dyDescent="0.15">
      <c r="A86" s="25" t="s">
        <v>1032</v>
      </c>
      <c r="B86" s="25" t="s">
        <v>289</v>
      </c>
      <c r="C86" s="25" t="s">
        <v>290</v>
      </c>
      <c r="D86" s="25" t="s">
        <v>291</v>
      </c>
      <c r="E86" s="26" t="s">
        <v>45</v>
      </c>
      <c r="F86" s="27" t="s">
        <v>45</v>
      </c>
      <c r="G86" s="28" t="s">
        <v>45</v>
      </c>
      <c r="H86" s="29"/>
      <c r="I86" s="29" t="s">
        <v>46</v>
      </c>
      <c r="J86" s="30">
        <v>1</v>
      </c>
      <c r="K86" s="31">
        <f>8807</f>
        <v>8807</v>
      </c>
      <c r="L86" s="32" t="s">
        <v>996</v>
      </c>
      <c r="M86" s="31">
        <f>8807</f>
        <v>8807</v>
      </c>
      <c r="N86" s="32" t="s">
        <v>996</v>
      </c>
      <c r="O86" s="31">
        <f>8570</f>
        <v>8570</v>
      </c>
      <c r="P86" s="32" t="s">
        <v>789</v>
      </c>
      <c r="Q86" s="31">
        <f>8735</f>
        <v>8735</v>
      </c>
      <c r="R86" s="32" t="s">
        <v>997</v>
      </c>
      <c r="S86" s="33">
        <f>8749.75</f>
        <v>8749.75</v>
      </c>
      <c r="T86" s="30">
        <f>2656</f>
        <v>2656</v>
      </c>
      <c r="U86" s="30" t="str">
        <f>"－"</f>
        <v>－</v>
      </c>
      <c r="V86" s="30">
        <f>23198076</f>
        <v>23198076</v>
      </c>
      <c r="W86" s="30" t="str">
        <f>"－"</f>
        <v>－</v>
      </c>
      <c r="X86" s="34">
        <f>20</f>
        <v>20</v>
      </c>
    </row>
    <row r="87" spans="1:24" ht="13.5" customHeight="1" x14ac:dyDescent="0.15">
      <c r="A87" s="25" t="s">
        <v>1032</v>
      </c>
      <c r="B87" s="25" t="s">
        <v>292</v>
      </c>
      <c r="C87" s="25" t="s">
        <v>293</v>
      </c>
      <c r="D87" s="25" t="s">
        <v>294</v>
      </c>
      <c r="E87" s="26" t="s">
        <v>45</v>
      </c>
      <c r="F87" s="27" t="s">
        <v>45</v>
      </c>
      <c r="G87" s="28" t="s">
        <v>45</v>
      </c>
      <c r="H87" s="29"/>
      <c r="I87" s="29" t="s">
        <v>46</v>
      </c>
      <c r="J87" s="30">
        <v>1</v>
      </c>
      <c r="K87" s="31">
        <f>7966</f>
        <v>7966</v>
      </c>
      <c r="L87" s="32" t="s">
        <v>996</v>
      </c>
      <c r="M87" s="31">
        <f>8278</f>
        <v>8278</v>
      </c>
      <c r="N87" s="32" t="s">
        <v>1005</v>
      </c>
      <c r="O87" s="31">
        <f>7950</f>
        <v>7950</v>
      </c>
      <c r="P87" s="32" t="s">
        <v>996</v>
      </c>
      <c r="Q87" s="31">
        <f>8172</f>
        <v>8172</v>
      </c>
      <c r="R87" s="32" t="s">
        <v>997</v>
      </c>
      <c r="S87" s="33">
        <f>8151</f>
        <v>8151</v>
      </c>
      <c r="T87" s="30">
        <f>2789241</f>
        <v>2789241</v>
      </c>
      <c r="U87" s="30">
        <f>421245</f>
        <v>421245</v>
      </c>
      <c r="V87" s="30">
        <f>22715277305</f>
        <v>22715277305</v>
      </c>
      <c r="W87" s="30">
        <f>3424471603</f>
        <v>3424471603</v>
      </c>
      <c r="X87" s="34">
        <f>20</f>
        <v>20</v>
      </c>
    </row>
    <row r="88" spans="1:24" ht="13.5" customHeight="1" x14ac:dyDescent="0.15">
      <c r="A88" s="25" t="s">
        <v>1032</v>
      </c>
      <c r="B88" s="25" t="s">
        <v>295</v>
      </c>
      <c r="C88" s="25" t="s">
        <v>296</v>
      </c>
      <c r="D88" s="25" t="s">
        <v>297</v>
      </c>
      <c r="E88" s="26" t="s">
        <v>45</v>
      </c>
      <c r="F88" s="27" t="s">
        <v>45</v>
      </c>
      <c r="G88" s="28" t="s">
        <v>45</v>
      </c>
      <c r="H88" s="29"/>
      <c r="I88" s="29" t="s">
        <v>46</v>
      </c>
      <c r="J88" s="30">
        <v>1</v>
      </c>
      <c r="K88" s="31">
        <f>3925</f>
        <v>3925</v>
      </c>
      <c r="L88" s="32" t="s">
        <v>996</v>
      </c>
      <c r="M88" s="31">
        <f>4350</f>
        <v>4350</v>
      </c>
      <c r="N88" s="32" t="s">
        <v>793</v>
      </c>
      <c r="O88" s="31">
        <f>3910</f>
        <v>3910</v>
      </c>
      <c r="P88" s="32" t="s">
        <v>996</v>
      </c>
      <c r="Q88" s="31">
        <f>4245</f>
        <v>4245</v>
      </c>
      <c r="R88" s="32" t="s">
        <v>997</v>
      </c>
      <c r="S88" s="33">
        <f>4107.75</f>
        <v>4107.75</v>
      </c>
      <c r="T88" s="30">
        <f>596843</f>
        <v>596843</v>
      </c>
      <c r="U88" s="30" t="str">
        <f>"－"</f>
        <v>－</v>
      </c>
      <c r="V88" s="30">
        <f>2482098975</f>
        <v>2482098975</v>
      </c>
      <c r="W88" s="30" t="str">
        <f>"－"</f>
        <v>－</v>
      </c>
      <c r="X88" s="34">
        <f>20</f>
        <v>20</v>
      </c>
    </row>
    <row r="89" spans="1:24" ht="13.5" customHeight="1" x14ac:dyDescent="0.15">
      <c r="A89" s="25" t="s">
        <v>1032</v>
      </c>
      <c r="B89" s="25" t="s">
        <v>298</v>
      </c>
      <c r="C89" s="25" t="s">
        <v>299</v>
      </c>
      <c r="D89" s="25" t="s">
        <v>300</v>
      </c>
      <c r="E89" s="26" t="s">
        <v>45</v>
      </c>
      <c r="F89" s="27" t="s">
        <v>45</v>
      </c>
      <c r="G89" s="28" t="s">
        <v>45</v>
      </c>
      <c r="H89" s="29"/>
      <c r="I89" s="29" t="s">
        <v>46</v>
      </c>
      <c r="J89" s="30">
        <v>1</v>
      </c>
      <c r="K89" s="31">
        <f>9300</f>
        <v>9300</v>
      </c>
      <c r="L89" s="32" t="s">
        <v>996</v>
      </c>
      <c r="M89" s="31">
        <f>10100</f>
        <v>10100</v>
      </c>
      <c r="N89" s="32" t="s">
        <v>1005</v>
      </c>
      <c r="O89" s="31">
        <f>8999</f>
        <v>8999</v>
      </c>
      <c r="P89" s="32" t="s">
        <v>996</v>
      </c>
      <c r="Q89" s="31">
        <f>9879</f>
        <v>9879</v>
      </c>
      <c r="R89" s="32" t="s">
        <v>997</v>
      </c>
      <c r="S89" s="33">
        <f>9780.05</f>
        <v>9780.0499999999993</v>
      </c>
      <c r="T89" s="30">
        <f>197068</f>
        <v>197068</v>
      </c>
      <c r="U89" s="30" t="str">
        <f>"－"</f>
        <v>－</v>
      </c>
      <c r="V89" s="30">
        <f>1923543201</f>
        <v>1923543201</v>
      </c>
      <c r="W89" s="30" t="str">
        <f>"－"</f>
        <v>－</v>
      </c>
      <c r="X89" s="34">
        <f>20</f>
        <v>20</v>
      </c>
    </row>
    <row r="90" spans="1:24" ht="13.5" customHeight="1" x14ac:dyDescent="0.15">
      <c r="A90" s="25" t="s">
        <v>1032</v>
      </c>
      <c r="B90" s="25" t="s">
        <v>301</v>
      </c>
      <c r="C90" s="25" t="s">
        <v>302</v>
      </c>
      <c r="D90" s="25" t="s">
        <v>303</v>
      </c>
      <c r="E90" s="26" t="s">
        <v>45</v>
      </c>
      <c r="F90" s="27" t="s">
        <v>45</v>
      </c>
      <c r="G90" s="28" t="s">
        <v>45</v>
      </c>
      <c r="H90" s="29"/>
      <c r="I90" s="29" t="s">
        <v>46</v>
      </c>
      <c r="J90" s="30">
        <v>1</v>
      </c>
      <c r="K90" s="31">
        <f>58300</f>
        <v>58300</v>
      </c>
      <c r="L90" s="32" t="s">
        <v>996</v>
      </c>
      <c r="M90" s="31">
        <f>65100</f>
        <v>65100</v>
      </c>
      <c r="N90" s="32" t="s">
        <v>80</v>
      </c>
      <c r="O90" s="31">
        <f>56510</f>
        <v>56510</v>
      </c>
      <c r="P90" s="32" t="s">
        <v>78</v>
      </c>
      <c r="Q90" s="31">
        <f>59970</f>
        <v>59970</v>
      </c>
      <c r="R90" s="32" t="s">
        <v>997</v>
      </c>
      <c r="S90" s="33">
        <f>59756</f>
        <v>59756</v>
      </c>
      <c r="T90" s="30">
        <f>10186</f>
        <v>10186</v>
      </c>
      <c r="U90" s="30">
        <f>1</f>
        <v>1</v>
      </c>
      <c r="V90" s="30">
        <f>622480810</f>
        <v>622480810</v>
      </c>
      <c r="W90" s="30">
        <f>62480</f>
        <v>62480</v>
      </c>
      <c r="X90" s="34">
        <f>20</f>
        <v>20</v>
      </c>
    </row>
    <row r="91" spans="1:24" ht="13.5" customHeight="1" x14ac:dyDescent="0.15">
      <c r="A91" s="25" t="s">
        <v>1032</v>
      </c>
      <c r="B91" s="25" t="s">
        <v>304</v>
      </c>
      <c r="C91" s="25" t="s">
        <v>895</v>
      </c>
      <c r="D91" s="25" t="s">
        <v>896</v>
      </c>
      <c r="E91" s="26" t="s">
        <v>45</v>
      </c>
      <c r="F91" s="27" t="s">
        <v>45</v>
      </c>
      <c r="G91" s="28" t="s">
        <v>45</v>
      </c>
      <c r="H91" s="29"/>
      <c r="I91" s="29" t="s">
        <v>46</v>
      </c>
      <c r="J91" s="30">
        <v>1</v>
      </c>
      <c r="K91" s="31">
        <f>17760</f>
        <v>17760</v>
      </c>
      <c r="L91" s="32" t="s">
        <v>996</v>
      </c>
      <c r="M91" s="31">
        <f>18060</f>
        <v>18060</v>
      </c>
      <c r="N91" s="32" t="s">
        <v>997</v>
      </c>
      <c r="O91" s="31">
        <f>17170</f>
        <v>17170</v>
      </c>
      <c r="P91" s="32" t="s">
        <v>78</v>
      </c>
      <c r="Q91" s="31">
        <f>18060</f>
        <v>18060</v>
      </c>
      <c r="R91" s="32" t="s">
        <v>997</v>
      </c>
      <c r="S91" s="33">
        <f>17640</f>
        <v>17640</v>
      </c>
      <c r="T91" s="30">
        <f>1165067</f>
        <v>1165067</v>
      </c>
      <c r="U91" s="30">
        <f>13316</f>
        <v>13316</v>
      </c>
      <c r="V91" s="30">
        <f>20575236165</f>
        <v>20575236165</v>
      </c>
      <c r="W91" s="30">
        <f>233068080</f>
        <v>233068080</v>
      </c>
      <c r="X91" s="34">
        <f>20</f>
        <v>20</v>
      </c>
    </row>
    <row r="92" spans="1:24" ht="13.5" customHeight="1" x14ac:dyDescent="0.15">
      <c r="A92" s="25" t="s">
        <v>1032</v>
      </c>
      <c r="B92" s="25" t="s">
        <v>305</v>
      </c>
      <c r="C92" s="25" t="s">
        <v>897</v>
      </c>
      <c r="D92" s="25" t="s">
        <v>898</v>
      </c>
      <c r="E92" s="26" t="s">
        <v>45</v>
      </c>
      <c r="F92" s="27" t="s">
        <v>45</v>
      </c>
      <c r="G92" s="28" t="s">
        <v>45</v>
      </c>
      <c r="H92" s="29"/>
      <c r="I92" s="29" t="s">
        <v>46</v>
      </c>
      <c r="J92" s="30">
        <v>1</v>
      </c>
      <c r="K92" s="31">
        <f>43510</f>
        <v>43510</v>
      </c>
      <c r="L92" s="32" t="s">
        <v>996</v>
      </c>
      <c r="M92" s="31">
        <f>44830</f>
        <v>44830</v>
      </c>
      <c r="N92" s="32" t="s">
        <v>788</v>
      </c>
      <c r="O92" s="31">
        <f>42870</f>
        <v>42870</v>
      </c>
      <c r="P92" s="32" t="s">
        <v>78</v>
      </c>
      <c r="Q92" s="31">
        <f>44730</f>
        <v>44730</v>
      </c>
      <c r="R92" s="32" t="s">
        <v>997</v>
      </c>
      <c r="S92" s="33">
        <f>44008</f>
        <v>44008</v>
      </c>
      <c r="T92" s="30">
        <f>186149</f>
        <v>186149</v>
      </c>
      <c r="U92" s="30">
        <f>47901</f>
        <v>47901</v>
      </c>
      <c r="V92" s="30">
        <f>8157883097</f>
        <v>8157883097</v>
      </c>
      <c r="W92" s="30">
        <f>2076393957</f>
        <v>2076393957</v>
      </c>
      <c r="X92" s="34">
        <f>20</f>
        <v>20</v>
      </c>
    </row>
    <row r="93" spans="1:24" ht="13.5" customHeight="1" x14ac:dyDescent="0.15">
      <c r="A93" s="25" t="s">
        <v>1032</v>
      </c>
      <c r="B93" s="25" t="s">
        <v>306</v>
      </c>
      <c r="C93" s="25" t="s">
        <v>307</v>
      </c>
      <c r="D93" s="25" t="s">
        <v>308</v>
      </c>
      <c r="E93" s="26" t="s">
        <v>45</v>
      </c>
      <c r="F93" s="27" t="s">
        <v>45</v>
      </c>
      <c r="G93" s="28" t="s">
        <v>45</v>
      </c>
      <c r="H93" s="29"/>
      <c r="I93" s="29" t="s">
        <v>46</v>
      </c>
      <c r="J93" s="30">
        <v>10</v>
      </c>
      <c r="K93" s="31">
        <f>5945</f>
        <v>5945</v>
      </c>
      <c r="L93" s="32" t="s">
        <v>996</v>
      </c>
      <c r="M93" s="31">
        <f>6085</f>
        <v>6085</v>
      </c>
      <c r="N93" s="32" t="s">
        <v>80</v>
      </c>
      <c r="O93" s="31">
        <f>5808</f>
        <v>5808</v>
      </c>
      <c r="P93" s="32" t="s">
        <v>78</v>
      </c>
      <c r="Q93" s="31">
        <f>6070</f>
        <v>6070</v>
      </c>
      <c r="R93" s="32" t="s">
        <v>997</v>
      </c>
      <c r="S93" s="33">
        <f>5972.4</f>
        <v>5972.4</v>
      </c>
      <c r="T93" s="30">
        <f>1516320</f>
        <v>1516320</v>
      </c>
      <c r="U93" s="30">
        <f>352200</f>
        <v>352200</v>
      </c>
      <c r="V93" s="30">
        <f>9048569854</f>
        <v>9048569854</v>
      </c>
      <c r="W93" s="30">
        <f>2085453684</f>
        <v>2085453684</v>
      </c>
      <c r="X93" s="34">
        <f>20</f>
        <v>20</v>
      </c>
    </row>
    <row r="94" spans="1:24" ht="13.5" customHeight="1" x14ac:dyDescent="0.15">
      <c r="A94" s="25" t="s">
        <v>1032</v>
      </c>
      <c r="B94" s="25" t="s">
        <v>309</v>
      </c>
      <c r="C94" s="25" t="s">
        <v>310</v>
      </c>
      <c r="D94" s="25" t="s">
        <v>311</v>
      </c>
      <c r="E94" s="26" t="s">
        <v>45</v>
      </c>
      <c r="F94" s="27" t="s">
        <v>45</v>
      </c>
      <c r="G94" s="28" t="s">
        <v>45</v>
      </c>
      <c r="H94" s="29"/>
      <c r="I94" s="29" t="s">
        <v>46</v>
      </c>
      <c r="J94" s="30">
        <v>10</v>
      </c>
      <c r="K94" s="31">
        <f>3840</f>
        <v>3840</v>
      </c>
      <c r="L94" s="32" t="s">
        <v>996</v>
      </c>
      <c r="M94" s="31">
        <f>3952</f>
        <v>3952</v>
      </c>
      <c r="N94" s="32" t="s">
        <v>80</v>
      </c>
      <c r="O94" s="31">
        <f>3774</f>
        <v>3774</v>
      </c>
      <c r="P94" s="32" t="s">
        <v>78</v>
      </c>
      <c r="Q94" s="31">
        <f>3937</f>
        <v>3937</v>
      </c>
      <c r="R94" s="32" t="s">
        <v>997</v>
      </c>
      <c r="S94" s="33">
        <f>3880.25</f>
        <v>3880.25</v>
      </c>
      <c r="T94" s="30">
        <f>98850</f>
        <v>98850</v>
      </c>
      <c r="U94" s="30" t="str">
        <f>"－"</f>
        <v>－</v>
      </c>
      <c r="V94" s="30">
        <f>384186700</f>
        <v>384186700</v>
      </c>
      <c r="W94" s="30" t="str">
        <f>"－"</f>
        <v>－</v>
      </c>
      <c r="X94" s="34">
        <f>20</f>
        <v>20</v>
      </c>
    </row>
    <row r="95" spans="1:24" ht="13.5" customHeight="1" x14ac:dyDescent="0.15">
      <c r="A95" s="25" t="s">
        <v>1032</v>
      </c>
      <c r="B95" s="25" t="s">
        <v>312</v>
      </c>
      <c r="C95" s="25" t="s">
        <v>970</v>
      </c>
      <c r="D95" s="25" t="s">
        <v>971</v>
      </c>
      <c r="E95" s="26" t="s">
        <v>45</v>
      </c>
      <c r="F95" s="27" t="s">
        <v>45</v>
      </c>
      <c r="G95" s="28" t="s">
        <v>45</v>
      </c>
      <c r="H95" s="29"/>
      <c r="I95" s="29" t="s">
        <v>46</v>
      </c>
      <c r="J95" s="30">
        <v>10</v>
      </c>
      <c r="K95" s="31">
        <f>4272</f>
        <v>4272</v>
      </c>
      <c r="L95" s="32" t="s">
        <v>996</v>
      </c>
      <c r="M95" s="31">
        <f>4380</f>
        <v>4380</v>
      </c>
      <c r="N95" s="32" t="s">
        <v>789</v>
      </c>
      <c r="O95" s="31">
        <f>4185</f>
        <v>4185</v>
      </c>
      <c r="P95" s="32" t="s">
        <v>1003</v>
      </c>
      <c r="Q95" s="31">
        <f>4345</f>
        <v>4345</v>
      </c>
      <c r="R95" s="32" t="s">
        <v>997</v>
      </c>
      <c r="S95" s="33">
        <f>4283.68</f>
        <v>4283.68</v>
      </c>
      <c r="T95" s="30">
        <f>3440</f>
        <v>3440</v>
      </c>
      <c r="U95" s="30" t="str">
        <f>"－"</f>
        <v>－</v>
      </c>
      <c r="V95" s="30">
        <f>14830060</f>
        <v>14830060</v>
      </c>
      <c r="W95" s="30" t="str">
        <f>"－"</f>
        <v>－</v>
      </c>
      <c r="X95" s="34">
        <f>19</f>
        <v>19</v>
      </c>
    </row>
    <row r="96" spans="1:24" ht="13.5" customHeight="1" x14ac:dyDescent="0.15">
      <c r="A96" s="25" t="s">
        <v>1032</v>
      </c>
      <c r="B96" s="25" t="s">
        <v>313</v>
      </c>
      <c r="C96" s="25" t="s">
        <v>314</v>
      </c>
      <c r="D96" s="25" t="s">
        <v>315</v>
      </c>
      <c r="E96" s="26" t="s">
        <v>45</v>
      </c>
      <c r="F96" s="27" t="s">
        <v>45</v>
      </c>
      <c r="G96" s="28" t="s">
        <v>45</v>
      </c>
      <c r="H96" s="29" t="s">
        <v>316</v>
      </c>
      <c r="I96" s="29" t="s">
        <v>46</v>
      </c>
      <c r="J96" s="30">
        <v>1</v>
      </c>
      <c r="K96" s="31">
        <f>1211</f>
        <v>1211</v>
      </c>
      <c r="L96" s="32" t="s">
        <v>996</v>
      </c>
      <c r="M96" s="31">
        <f>1217</f>
        <v>1217</v>
      </c>
      <c r="N96" s="32" t="s">
        <v>996</v>
      </c>
      <c r="O96" s="31">
        <f>1041</f>
        <v>1041</v>
      </c>
      <c r="P96" s="32" t="s">
        <v>789</v>
      </c>
      <c r="Q96" s="31">
        <f>1055</f>
        <v>1055</v>
      </c>
      <c r="R96" s="32" t="s">
        <v>997</v>
      </c>
      <c r="S96" s="33">
        <f>1106.85</f>
        <v>1106.8499999999999</v>
      </c>
      <c r="T96" s="30">
        <f>45770152</f>
        <v>45770152</v>
      </c>
      <c r="U96" s="30">
        <f>245</f>
        <v>245</v>
      </c>
      <c r="V96" s="30">
        <f>50490937368</f>
        <v>50490937368</v>
      </c>
      <c r="W96" s="30">
        <f>258738</f>
        <v>258738</v>
      </c>
      <c r="X96" s="34">
        <f>20</f>
        <v>20</v>
      </c>
    </row>
    <row r="97" spans="1:24" ht="13.5" customHeight="1" x14ac:dyDescent="0.15">
      <c r="A97" s="25" t="s">
        <v>1032</v>
      </c>
      <c r="B97" s="25" t="s">
        <v>317</v>
      </c>
      <c r="C97" s="25" t="s">
        <v>318</v>
      </c>
      <c r="D97" s="25" t="s">
        <v>319</v>
      </c>
      <c r="E97" s="26" t="s">
        <v>45</v>
      </c>
      <c r="F97" s="27" t="s">
        <v>45</v>
      </c>
      <c r="G97" s="28" t="s">
        <v>45</v>
      </c>
      <c r="H97" s="29"/>
      <c r="I97" s="29" t="s">
        <v>46</v>
      </c>
      <c r="J97" s="30">
        <v>10</v>
      </c>
      <c r="K97" s="31">
        <f>3220</f>
        <v>3220</v>
      </c>
      <c r="L97" s="32" t="s">
        <v>996</v>
      </c>
      <c r="M97" s="31">
        <f>3309</f>
        <v>3309</v>
      </c>
      <c r="N97" s="32" t="s">
        <v>788</v>
      </c>
      <c r="O97" s="31">
        <f>3156</f>
        <v>3156</v>
      </c>
      <c r="P97" s="32" t="s">
        <v>78</v>
      </c>
      <c r="Q97" s="31">
        <f>3282</f>
        <v>3282</v>
      </c>
      <c r="R97" s="32" t="s">
        <v>997</v>
      </c>
      <c r="S97" s="33">
        <f>3246</f>
        <v>3246</v>
      </c>
      <c r="T97" s="30">
        <f>112760</f>
        <v>112760</v>
      </c>
      <c r="U97" s="30" t="str">
        <f>"－"</f>
        <v>－</v>
      </c>
      <c r="V97" s="30">
        <f>366613290</f>
        <v>366613290</v>
      </c>
      <c r="W97" s="30" t="str">
        <f>"－"</f>
        <v>－</v>
      </c>
      <c r="X97" s="34">
        <f>20</f>
        <v>20</v>
      </c>
    </row>
    <row r="98" spans="1:24" ht="13.5" customHeight="1" x14ac:dyDescent="0.15">
      <c r="A98" s="25" t="s">
        <v>1032</v>
      </c>
      <c r="B98" s="25" t="s">
        <v>320</v>
      </c>
      <c r="C98" s="25" t="s">
        <v>321</v>
      </c>
      <c r="D98" s="25" t="s">
        <v>322</v>
      </c>
      <c r="E98" s="26" t="s">
        <v>45</v>
      </c>
      <c r="F98" s="27" t="s">
        <v>45</v>
      </c>
      <c r="G98" s="28" t="s">
        <v>45</v>
      </c>
      <c r="H98" s="29"/>
      <c r="I98" s="29" t="s">
        <v>46</v>
      </c>
      <c r="J98" s="30">
        <v>10</v>
      </c>
      <c r="K98" s="31">
        <f>1595</f>
        <v>1595</v>
      </c>
      <c r="L98" s="32" t="s">
        <v>996</v>
      </c>
      <c r="M98" s="31">
        <f>1669.5</f>
        <v>1669.5</v>
      </c>
      <c r="N98" s="32" t="s">
        <v>789</v>
      </c>
      <c r="O98" s="31">
        <f>1567.5</f>
        <v>1567.5</v>
      </c>
      <c r="P98" s="32" t="s">
        <v>78</v>
      </c>
      <c r="Q98" s="31">
        <f>1660</f>
        <v>1660</v>
      </c>
      <c r="R98" s="32" t="s">
        <v>997</v>
      </c>
      <c r="S98" s="33">
        <f>1627.48</f>
        <v>1627.48</v>
      </c>
      <c r="T98" s="30">
        <f>124530</f>
        <v>124530</v>
      </c>
      <c r="U98" s="30" t="str">
        <f>"－"</f>
        <v>－</v>
      </c>
      <c r="V98" s="30">
        <f>202007410</f>
        <v>202007410</v>
      </c>
      <c r="W98" s="30" t="str">
        <f>"－"</f>
        <v>－</v>
      </c>
      <c r="X98" s="34">
        <f>20</f>
        <v>20</v>
      </c>
    </row>
    <row r="99" spans="1:24" ht="13.5" customHeight="1" x14ac:dyDescent="0.15">
      <c r="A99" s="25" t="s">
        <v>1032</v>
      </c>
      <c r="B99" s="25" t="s">
        <v>323</v>
      </c>
      <c r="C99" s="25" t="s">
        <v>324</v>
      </c>
      <c r="D99" s="25" t="s">
        <v>325</v>
      </c>
      <c r="E99" s="26" t="s">
        <v>45</v>
      </c>
      <c r="F99" s="27" t="s">
        <v>45</v>
      </c>
      <c r="G99" s="28" t="s">
        <v>45</v>
      </c>
      <c r="H99" s="29"/>
      <c r="I99" s="29" t="s">
        <v>46</v>
      </c>
      <c r="J99" s="30">
        <v>1</v>
      </c>
      <c r="K99" s="31">
        <f>54500</f>
        <v>54500</v>
      </c>
      <c r="L99" s="32" t="s">
        <v>996</v>
      </c>
      <c r="M99" s="31">
        <f>55800</f>
        <v>55800</v>
      </c>
      <c r="N99" s="32" t="s">
        <v>80</v>
      </c>
      <c r="O99" s="31">
        <f>53220</f>
        <v>53220</v>
      </c>
      <c r="P99" s="32" t="s">
        <v>78</v>
      </c>
      <c r="Q99" s="31">
        <f>55690</f>
        <v>55690</v>
      </c>
      <c r="R99" s="32" t="s">
        <v>997</v>
      </c>
      <c r="S99" s="33">
        <f>54777</f>
        <v>54777</v>
      </c>
      <c r="T99" s="30">
        <f>108058</f>
        <v>108058</v>
      </c>
      <c r="U99" s="30" t="str">
        <f>"－"</f>
        <v>－</v>
      </c>
      <c r="V99" s="30">
        <f>5911242830</f>
        <v>5911242830</v>
      </c>
      <c r="W99" s="30" t="str">
        <f>"－"</f>
        <v>－</v>
      </c>
      <c r="X99" s="34">
        <f>20</f>
        <v>20</v>
      </c>
    </row>
    <row r="100" spans="1:24" ht="13.5" customHeight="1" x14ac:dyDescent="0.15">
      <c r="A100" s="25" t="s">
        <v>1032</v>
      </c>
      <c r="B100" s="25" t="s">
        <v>326</v>
      </c>
      <c r="C100" s="25" t="s">
        <v>327</v>
      </c>
      <c r="D100" s="25" t="s">
        <v>328</v>
      </c>
      <c r="E100" s="26" t="s">
        <v>45</v>
      </c>
      <c r="F100" s="27" t="s">
        <v>45</v>
      </c>
      <c r="G100" s="28" t="s">
        <v>45</v>
      </c>
      <c r="H100" s="29"/>
      <c r="I100" s="29" t="s">
        <v>46</v>
      </c>
      <c r="J100" s="30">
        <v>1</v>
      </c>
      <c r="K100" s="31">
        <f>3375</f>
        <v>3375</v>
      </c>
      <c r="L100" s="32" t="s">
        <v>996</v>
      </c>
      <c r="M100" s="31">
        <f>3395</f>
        <v>3395</v>
      </c>
      <c r="N100" s="32" t="s">
        <v>784</v>
      </c>
      <c r="O100" s="31">
        <f>3280</f>
        <v>3280</v>
      </c>
      <c r="P100" s="32" t="s">
        <v>790</v>
      </c>
      <c r="Q100" s="31">
        <f>3365</f>
        <v>3365</v>
      </c>
      <c r="R100" s="32" t="s">
        <v>997</v>
      </c>
      <c r="S100" s="33">
        <f>3339.75</f>
        <v>3339.75</v>
      </c>
      <c r="T100" s="30">
        <f>3302</f>
        <v>3302</v>
      </c>
      <c r="U100" s="30" t="str">
        <f>"－"</f>
        <v>－</v>
      </c>
      <c r="V100" s="30">
        <f>11023300</f>
        <v>11023300</v>
      </c>
      <c r="W100" s="30" t="str">
        <f>"－"</f>
        <v>－</v>
      </c>
      <c r="X100" s="34">
        <f>20</f>
        <v>20</v>
      </c>
    </row>
    <row r="101" spans="1:24" ht="13.5" customHeight="1" x14ac:dyDescent="0.15">
      <c r="A101" s="25" t="s">
        <v>1032</v>
      </c>
      <c r="B101" s="25" t="s">
        <v>329</v>
      </c>
      <c r="C101" s="25" t="s">
        <v>330</v>
      </c>
      <c r="D101" s="25" t="s">
        <v>331</v>
      </c>
      <c r="E101" s="26" t="s">
        <v>45</v>
      </c>
      <c r="F101" s="27" t="s">
        <v>45</v>
      </c>
      <c r="G101" s="28" t="s">
        <v>45</v>
      </c>
      <c r="H101" s="29"/>
      <c r="I101" s="29" t="s">
        <v>46</v>
      </c>
      <c r="J101" s="30">
        <v>1</v>
      </c>
      <c r="K101" s="31">
        <f>4345</f>
        <v>4345</v>
      </c>
      <c r="L101" s="32" t="s">
        <v>996</v>
      </c>
      <c r="M101" s="31">
        <f>4440</f>
        <v>4440</v>
      </c>
      <c r="N101" s="32" t="s">
        <v>996</v>
      </c>
      <c r="O101" s="31">
        <f>4210</f>
        <v>4210</v>
      </c>
      <c r="P101" s="32" t="s">
        <v>255</v>
      </c>
      <c r="Q101" s="31">
        <f>4285</f>
        <v>4285</v>
      </c>
      <c r="R101" s="32" t="s">
        <v>997</v>
      </c>
      <c r="S101" s="33">
        <f>4306.25</f>
        <v>4306.25</v>
      </c>
      <c r="T101" s="30">
        <f>3376</f>
        <v>3376</v>
      </c>
      <c r="U101" s="30" t="str">
        <f>"－"</f>
        <v>－</v>
      </c>
      <c r="V101" s="30">
        <f>14485920</f>
        <v>14485920</v>
      </c>
      <c r="W101" s="30" t="str">
        <f>"－"</f>
        <v>－</v>
      </c>
      <c r="X101" s="34">
        <f>20</f>
        <v>20</v>
      </c>
    </row>
    <row r="102" spans="1:24" ht="13.5" customHeight="1" x14ac:dyDescent="0.15">
      <c r="A102" s="25" t="s">
        <v>1032</v>
      </c>
      <c r="B102" s="25" t="s">
        <v>332</v>
      </c>
      <c r="C102" s="25" t="s">
        <v>972</v>
      </c>
      <c r="D102" s="25" t="s">
        <v>973</v>
      </c>
      <c r="E102" s="26" t="s">
        <v>45</v>
      </c>
      <c r="F102" s="27" t="s">
        <v>45</v>
      </c>
      <c r="G102" s="28" t="s">
        <v>45</v>
      </c>
      <c r="H102" s="29"/>
      <c r="I102" s="29" t="s">
        <v>46</v>
      </c>
      <c r="J102" s="30">
        <v>1</v>
      </c>
      <c r="K102" s="31">
        <f>2439</f>
        <v>2439</v>
      </c>
      <c r="L102" s="32" t="s">
        <v>996</v>
      </c>
      <c r="M102" s="31">
        <f>2542</f>
        <v>2542</v>
      </c>
      <c r="N102" s="32" t="s">
        <v>790</v>
      </c>
      <c r="O102" s="31">
        <f>2351</f>
        <v>2351</v>
      </c>
      <c r="P102" s="32" t="s">
        <v>78</v>
      </c>
      <c r="Q102" s="31">
        <f>2428</f>
        <v>2428</v>
      </c>
      <c r="R102" s="32" t="s">
        <v>997</v>
      </c>
      <c r="S102" s="33">
        <f>2441.05</f>
        <v>2441.0500000000002</v>
      </c>
      <c r="T102" s="30">
        <f>383064</f>
        <v>383064</v>
      </c>
      <c r="U102" s="30">
        <f>125</f>
        <v>125</v>
      </c>
      <c r="V102" s="30">
        <f>934451212</f>
        <v>934451212</v>
      </c>
      <c r="W102" s="30">
        <f>308375</f>
        <v>308375</v>
      </c>
      <c r="X102" s="34">
        <f>20</f>
        <v>20</v>
      </c>
    </row>
    <row r="103" spans="1:24" ht="13.5" customHeight="1" x14ac:dyDescent="0.15">
      <c r="A103" s="25" t="s">
        <v>1032</v>
      </c>
      <c r="B103" s="25" t="s">
        <v>333</v>
      </c>
      <c r="C103" s="25" t="s">
        <v>334</v>
      </c>
      <c r="D103" s="25" t="s">
        <v>335</v>
      </c>
      <c r="E103" s="26" t="s">
        <v>45</v>
      </c>
      <c r="F103" s="27" t="s">
        <v>45</v>
      </c>
      <c r="G103" s="28" t="s">
        <v>45</v>
      </c>
      <c r="H103" s="29"/>
      <c r="I103" s="29" t="s">
        <v>46</v>
      </c>
      <c r="J103" s="30">
        <v>1</v>
      </c>
      <c r="K103" s="31">
        <f>43800</f>
        <v>43800</v>
      </c>
      <c r="L103" s="32" t="s">
        <v>996</v>
      </c>
      <c r="M103" s="31">
        <f>44550</f>
        <v>44550</v>
      </c>
      <c r="N103" s="32" t="s">
        <v>997</v>
      </c>
      <c r="O103" s="31">
        <f>43420</f>
        <v>43420</v>
      </c>
      <c r="P103" s="32" t="s">
        <v>784</v>
      </c>
      <c r="Q103" s="31">
        <f>44550</f>
        <v>44550</v>
      </c>
      <c r="R103" s="32" t="s">
        <v>997</v>
      </c>
      <c r="S103" s="33">
        <f>44027</f>
        <v>44027</v>
      </c>
      <c r="T103" s="30">
        <f>10921</f>
        <v>10921</v>
      </c>
      <c r="U103" s="30">
        <f>681</f>
        <v>681</v>
      </c>
      <c r="V103" s="30">
        <f>481132983</f>
        <v>481132983</v>
      </c>
      <c r="W103" s="30">
        <f>29942003</f>
        <v>29942003</v>
      </c>
      <c r="X103" s="34">
        <f>20</f>
        <v>20</v>
      </c>
    </row>
    <row r="104" spans="1:24" ht="13.5" customHeight="1" x14ac:dyDescent="0.15">
      <c r="A104" s="25" t="s">
        <v>1032</v>
      </c>
      <c r="B104" s="25" t="s">
        <v>336</v>
      </c>
      <c r="C104" s="25" t="s">
        <v>337</v>
      </c>
      <c r="D104" s="25" t="s">
        <v>338</v>
      </c>
      <c r="E104" s="26" t="s">
        <v>45</v>
      </c>
      <c r="F104" s="27" t="s">
        <v>45</v>
      </c>
      <c r="G104" s="28" t="s">
        <v>45</v>
      </c>
      <c r="H104" s="29"/>
      <c r="I104" s="29" t="s">
        <v>46</v>
      </c>
      <c r="J104" s="30">
        <v>10</v>
      </c>
      <c r="K104" s="31">
        <f>26485</f>
        <v>26485</v>
      </c>
      <c r="L104" s="32" t="s">
        <v>996</v>
      </c>
      <c r="M104" s="31">
        <f>27500</f>
        <v>27500</v>
      </c>
      <c r="N104" s="32" t="s">
        <v>997</v>
      </c>
      <c r="O104" s="31">
        <f>24925</f>
        <v>24925</v>
      </c>
      <c r="P104" s="32" t="s">
        <v>78</v>
      </c>
      <c r="Q104" s="31">
        <f>27500</f>
        <v>27500</v>
      </c>
      <c r="R104" s="32" t="s">
        <v>997</v>
      </c>
      <c r="S104" s="33">
        <f>26421</f>
        <v>26421</v>
      </c>
      <c r="T104" s="30">
        <f>1409540</f>
        <v>1409540</v>
      </c>
      <c r="U104" s="30">
        <f>5160</f>
        <v>5160</v>
      </c>
      <c r="V104" s="30">
        <f>37496553950</f>
        <v>37496553950</v>
      </c>
      <c r="W104" s="30">
        <f>132262600</f>
        <v>132262600</v>
      </c>
      <c r="X104" s="34">
        <f>20</f>
        <v>20</v>
      </c>
    </row>
    <row r="105" spans="1:24" ht="13.5" customHeight="1" x14ac:dyDescent="0.15">
      <c r="A105" s="25" t="s">
        <v>1032</v>
      </c>
      <c r="B105" s="25" t="s">
        <v>339</v>
      </c>
      <c r="C105" s="25" t="s">
        <v>340</v>
      </c>
      <c r="D105" s="25" t="s">
        <v>341</v>
      </c>
      <c r="E105" s="26" t="s">
        <v>45</v>
      </c>
      <c r="F105" s="27" t="s">
        <v>45</v>
      </c>
      <c r="G105" s="28" t="s">
        <v>45</v>
      </c>
      <c r="H105" s="29"/>
      <c r="I105" s="29" t="s">
        <v>46</v>
      </c>
      <c r="J105" s="30">
        <v>10</v>
      </c>
      <c r="K105" s="31">
        <f>1905</f>
        <v>1905</v>
      </c>
      <c r="L105" s="32" t="s">
        <v>996</v>
      </c>
      <c r="M105" s="31">
        <f>1960.5</f>
        <v>1960.5</v>
      </c>
      <c r="N105" s="32" t="s">
        <v>78</v>
      </c>
      <c r="O105" s="31">
        <f>1863.5</f>
        <v>1863.5</v>
      </c>
      <c r="P105" s="32" t="s">
        <v>997</v>
      </c>
      <c r="Q105" s="31">
        <f>1863.5</f>
        <v>1863.5</v>
      </c>
      <c r="R105" s="32" t="s">
        <v>997</v>
      </c>
      <c r="S105" s="33">
        <f>1904.68</f>
        <v>1904.68</v>
      </c>
      <c r="T105" s="30">
        <f>1452960</f>
        <v>1452960</v>
      </c>
      <c r="U105" s="30">
        <f>1190570</f>
        <v>1190570</v>
      </c>
      <c r="V105" s="30">
        <f>2768373163</f>
        <v>2768373163</v>
      </c>
      <c r="W105" s="30">
        <f>2267916793</f>
        <v>2267916793</v>
      </c>
      <c r="X105" s="34">
        <f>20</f>
        <v>20</v>
      </c>
    </row>
    <row r="106" spans="1:24" ht="13.5" customHeight="1" x14ac:dyDescent="0.15">
      <c r="A106" s="25" t="s">
        <v>1032</v>
      </c>
      <c r="B106" s="25" t="s">
        <v>342</v>
      </c>
      <c r="C106" s="25" t="s">
        <v>343</v>
      </c>
      <c r="D106" s="25" t="s">
        <v>344</v>
      </c>
      <c r="E106" s="26" t="s">
        <v>45</v>
      </c>
      <c r="F106" s="27" t="s">
        <v>45</v>
      </c>
      <c r="G106" s="28" t="s">
        <v>45</v>
      </c>
      <c r="H106" s="29"/>
      <c r="I106" s="29" t="s">
        <v>46</v>
      </c>
      <c r="J106" s="30">
        <v>1</v>
      </c>
      <c r="K106" s="31">
        <f>15095</f>
        <v>15095</v>
      </c>
      <c r="L106" s="32" t="s">
        <v>996</v>
      </c>
      <c r="M106" s="31">
        <f>15790</f>
        <v>15790</v>
      </c>
      <c r="N106" s="32" t="s">
        <v>997</v>
      </c>
      <c r="O106" s="31">
        <f>14270</f>
        <v>14270</v>
      </c>
      <c r="P106" s="32" t="s">
        <v>78</v>
      </c>
      <c r="Q106" s="31">
        <f>15790</f>
        <v>15790</v>
      </c>
      <c r="R106" s="32" t="s">
        <v>997</v>
      </c>
      <c r="S106" s="33">
        <f>15159</f>
        <v>15159</v>
      </c>
      <c r="T106" s="30">
        <f>90537675</f>
        <v>90537675</v>
      </c>
      <c r="U106" s="30">
        <f>463922</f>
        <v>463922</v>
      </c>
      <c r="V106" s="30">
        <f>1370448864384</f>
        <v>1370448864384</v>
      </c>
      <c r="W106" s="30">
        <f>7055916024</f>
        <v>7055916024</v>
      </c>
      <c r="X106" s="34">
        <f>20</f>
        <v>20</v>
      </c>
    </row>
    <row r="107" spans="1:24" ht="13.5" customHeight="1" x14ac:dyDescent="0.15">
      <c r="A107" s="25" t="s">
        <v>1032</v>
      </c>
      <c r="B107" s="25" t="s">
        <v>345</v>
      </c>
      <c r="C107" s="25" t="s">
        <v>346</v>
      </c>
      <c r="D107" s="25" t="s">
        <v>347</v>
      </c>
      <c r="E107" s="26" t="s">
        <v>45</v>
      </c>
      <c r="F107" s="27" t="s">
        <v>45</v>
      </c>
      <c r="G107" s="28" t="s">
        <v>45</v>
      </c>
      <c r="H107" s="29"/>
      <c r="I107" s="29" t="s">
        <v>46</v>
      </c>
      <c r="J107" s="30">
        <v>1</v>
      </c>
      <c r="K107" s="31">
        <f>916</f>
        <v>916</v>
      </c>
      <c r="L107" s="32" t="s">
        <v>996</v>
      </c>
      <c r="M107" s="31">
        <f>941</f>
        <v>941</v>
      </c>
      <c r="N107" s="32" t="s">
        <v>78</v>
      </c>
      <c r="O107" s="31">
        <f>893</f>
        <v>893</v>
      </c>
      <c r="P107" s="32" t="s">
        <v>997</v>
      </c>
      <c r="Q107" s="31">
        <f>894</f>
        <v>894</v>
      </c>
      <c r="R107" s="32" t="s">
        <v>997</v>
      </c>
      <c r="S107" s="33">
        <f>912.35</f>
        <v>912.35</v>
      </c>
      <c r="T107" s="30">
        <f>48538293</f>
        <v>48538293</v>
      </c>
      <c r="U107" s="30">
        <f>7743664</f>
        <v>7743664</v>
      </c>
      <c r="V107" s="30">
        <f>44170460925</f>
        <v>44170460925</v>
      </c>
      <c r="W107" s="30">
        <f>7029038159</f>
        <v>7029038159</v>
      </c>
      <c r="X107" s="34">
        <f>20</f>
        <v>20</v>
      </c>
    </row>
    <row r="108" spans="1:24" ht="13.5" customHeight="1" x14ac:dyDescent="0.15">
      <c r="A108" s="25" t="s">
        <v>1032</v>
      </c>
      <c r="B108" s="25" t="s">
        <v>348</v>
      </c>
      <c r="C108" s="25" t="s">
        <v>349</v>
      </c>
      <c r="D108" s="25" t="s">
        <v>350</v>
      </c>
      <c r="E108" s="26" t="s">
        <v>45</v>
      </c>
      <c r="F108" s="27" t="s">
        <v>45</v>
      </c>
      <c r="G108" s="28" t="s">
        <v>45</v>
      </c>
      <c r="H108" s="29"/>
      <c r="I108" s="29" t="s">
        <v>46</v>
      </c>
      <c r="J108" s="30">
        <v>10</v>
      </c>
      <c r="K108" s="31">
        <f>4890</f>
        <v>4890</v>
      </c>
      <c r="L108" s="32" t="s">
        <v>996</v>
      </c>
      <c r="M108" s="31">
        <f>5030</f>
        <v>5030</v>
      </c>
      <c r="N108" s="32" t="s">
        <v>788</v>
      </c>
      <c r="O108" s="31">
        <f>4303</f>
        <v>4303</v>
      </c>
      <c r="P108" s="32" t="s">
        <v>786</v>
      </c>
      <c r="Q108" s="31">
        <f>4549</f>
        <v>4549</v>
      </c>
      <c r="R108" s="32" t="s">
        <v>997</v>
      </c>
      <c r="S108" s="33">
        <f>4693.65</f>
        <v>4693.6499999999996</v>
      </c>
      <c r="T108" s="30">
        <f>170050</f>
        <v>170050</v>
      </c>
      <c r="U108" s="30">
        <f>10</f>
        <v>10</v>
      </c>
      <c r="V108" s="30">
        <f>797911770</f>
        <v>797911770</v>
      </c>
      <c r="W108" s="30">
        <f>48500</f>
        <v>48500</v>
      </c>
      <c r="X108" s="34">
        <f>20</f>
        <v>20</v>
      </c>
    </row>
    <row r="109" spans="1:24" ht="13.5" customHeight="1" x14ac:dyDescent="0.15">
      <c r="A109" s="25" t="s">
        <v>1032</v>
      </c>
      <c r="B109" s="25" t="s">
        <v>351</v>
      </c>
      <c r="C109" s="25" t="s">
        <v>352</v>
      </c>
      <c r="D109" s="25" t="s">
        <v>353</v>
      </c>
      <c r="E109" s="26" t="s">
        <v>45</v>
      </c>
      <c r="F109" s="27" t="s">
        <v>45</v>
      </c>
      <c r="G109" s="28" t="s">
        <v>45</v>
      </c>
      <c r="H109" s="29"/>
      <c r="I109" s="29" t="s">
        <v>46</v>
      </c>
      <c r="J109" s="30">
        <v>10</v>
      </c>
      <c r="K109" s="31">
        <f>9689</f>
        <v>9689</v>
      </c>
      <c r="L109" s="32" t="s">
        <v>996</v>
      </c>
      <c r="M109" s="31">
        <f>10625</f>
        <v>10625</v>
      </c>
      <c r="N109" s="32" t="s">
        <v>786</v>
      </c>
      <c r="O109" s="31">
        <f>9688</f>
        <v>9688</v>
      </c>
      <c r="P109" s="32" t="s">
        <v>996</v>
      </c>
      <c r="Q109" s="31">
        <f>10400</f>
        <v>10400</v>
      </c>
      <c r="R109" s="32" t="s">
        <v>997</v>
      </c>
      <c r="S109" s="33">
        <f>10024.5</f>
        <v>10024.5</v>
      </c>
      <c r="T109" s="30">
        <f>11720</f>
        <v>11720</v>
      </c>
      <c r="U109" s="30" t="str">
        <f>"－"</f>
        <v>－</v>
      </c>
      <c r="V109" s="30">
        <f>117455490</f>
        <v>117455490</v>
      </c>
      <c r="W109" s="30" t="str">
        <f>"－"</f>
        <v>－</v>
      </c>
      <c r="X109" s="34">
        <f>20</f>
        <v>20</v>
      </c>
    </row>
    <row r="110" spans="1:24" ht="13.5" customHeight="1" x14ac:dyDescent="0.15">
      <c r="A110" s="25" t="s">
        <v>1032</v>
      </c>
      <c r="B110" s="25" t="s">
        <v>354</v>
      </c>
      <c r="C110" s="25" t="s">
        <v>355</v>
      </c>
      <c r="D110" s="25" t="s">
        <v>356</v>
      </c>
      <c r="E110" s="26" t="s">
        <v>45</v>
      </c>
      <c r="F110" s="27" t="s">
        <v>45</v>
      </c>
      <c r="G110" s="28" t="s">
        <v>45</v>
      </c>
      <c r="H110" s="29"/>
      <c r="I110" s="29" t="s">
        <v>46</v>
      </c>
      <c r="J110" s="30">
        <v>1</v>
      </c>
      <c r="K110" s="31">
        <f>26110</f>
        <v>26110</v>
      </c>
      <c r="L110" s="32" t="s">
        <v>996</v>
      </c>
      <c r="M110" s="31">
        <f>26395</f>
        <v>26395</v>
      </c>
      <c r="N110" s="32" t="s">
        <v>997</v>
      </c>
      <c r="O110" s="31">
        <f>25000</f>
        <v>25000</v>
      </c>
      <c r="P110" s="32" t="s">
        <v>78</v>
      </c>
      <c r="Q110" s="31">
        <f>26315</f>
        <v>26315</v>
      </c>
      <c r="R110" s="32" t="s">
        <v>997</v>
      </c>
      <c r="S110" s="33">
        <f>25828.5</f>
        <v>25828.5</v>
      </c>
      <c r="T110" s="30">
        <f>316439</f>
        <v>316439</v>
      </c>
      <c r="U110" s="30">
        <f>244894</f>
        <v>244894</v>
      </c>
      <c r="V110" s="30">
        <f>8222269578</f>
        <v>8222269578</v>
      </c>
      <c r="W110" s="30">
        <f>6365309993</f>
        <v>6365309993</v>
      </c>
      <c r="X110" s="34">
        <f>20</f>
        <v>20</v>
      </c>
    </row>
    <row r="111" spans="1:24" ht="13.5" customHeight="1" x14ac:dyDescent="0.15">
      <c r="A111" s="25" t="s">
        <v>1032</v>
      </c>
      <c r="B111" s="25" t="s">
        <v>357</v>
      </c>
      <c r="C111" s="25" t="s">
        <v>358</v>
      </c>
      <c r="D111" s="25" t="s">
        <v>359</v>
      </c>
      <c r="E111" s="26" t="s">
        <v>45</v>
      </c>
      <c r="F111" s="27" t="s">
        <v>45</v>
      </c>
      <c r="G111" s="28" t="s">
        <v>45</v>
      </c>
      <c r="H111" s="29"/>
      <c r="I111" s="29" t="s">
        <v>46</v>
      </c>
      <c r="J111" s="30">
        <v>1</v>
      </c>
      <c r="K111" s="31">
        <f>2268</f>
        <v>2268</v>
      </c>
      <c r="L111" s="32" t="s">
        <v>996</v>
      </c>
      <c r="M111" s="31">
        <f>2318</f>
        <v>2318</v>
      </c>
      <c r="N111" s="32" t="s">
        <v>997</v>
      </c>
      <c r="O111" s="31">
        <f>2204</f>
        <v>2204</v>
      </c>
      <c r="P111" s="32" t="s">
        <v>78</v>
      </c>
      <c r="Q111" s="31">
        <f>2318</f>
        <v>2318</v>
      </c>
      <c r="R111" s="32" t="s">
        <v>997</v>
      </c>
      <c r="S111" s="33">
        <f>2270.45</f>
        <v>2270.4499999999998</v>
      </c>
      <c r="T111" s="30">
        <f>40722</f>
        <v>40722</v>
      </c>
      <c r="U111" s="30" t="str">
        <f>"－"</f>
        <v>－</v>
      </c>
      <c r="V111" s="30">
        <f>92768921</f>
        <v>92768921</v>
      </c>
      <c r="W111" s="30" t="str">
        <f>"－"</f>
        <v>－</v>
      </c>
      <c r="X111" s="34">
        <f>20</f>
        <v>20</v>
      </c>
    </row>
    <row r="112" spans="1:24" ht="13.5" customHeight="1" x14ac:dyDescent="0.15">
      <c r="A112" s="25" t="s">
        <v>1032</v>
      </c>
      <c r="B112" s="25" t="s">
        <v>360</v>
      </c>
      <c r="C112" s="25" t="s">
        <v>361</v>
      </c>
      <c r="D112" s="25" t="s">
        <v>362</v>
      </c>
      <c r="E112" s="26" t="s">
        <v>45</v>
      </c>
      <c r="F112" s="27" t="s">
        <v>45</v>
      </c>
      <c r="G112" s="28" t="s">
        <v>45</v>
      </c>
      <c r="H112" s="29"/>
      <c r="I112" s="29" t="s">
        <v>46</v>
      </c>
      <c r="J112" s="30">
        <v>10</v>
      </c>
      <c r="K112" s="31">
        <f>16155</f>
        <v>16155</v>
      </c>
      <c r="L112" s="32" t="s">
        <v>996</v>
      </c>
      <c r="M112" s="31">
        <f>16880</f>
        <v>16880</v>
      </c>
      <c r="N112" s="32" t="s">
        <v>997</v>
      </c>
      <c r="O112" s="31">
        <f>15260</f>
        <v>15260</v>
      </c>
      <c r="P112" s="32" t="s">
        <v>78</v>
      </c>
      <c r="Q112" s="31">
        <f>16870</f>
        <v>16870</v>
      </c>
      <c r="R112" s="32" t="s">
        <v>997</v>
      </c>
      <c r="S112" s="33">
        <f>16207.75</f>
        <v>16207.75</v>
      </c>
      <c r="T112" s="30">
        <f>11516220</f>
        <v>11516220</v>
      </c>
      <c r="U112" s="30">
        <f>77780</f>
        <v>77780</v>
      </c>
      <c r="V112" s="30">
        <f>187036576150</f>
        <v>187036576150</v>
      </c>
      <c r="W112" s="30">
        <f>1241022000</f>
        <v>1241022000</v>
      </c>
      <c r="X112" s="34">
        <f>20</f>
        <v>20</v>
      </c>
    </row>
    <row r="113" spans="1:24" ht="13.5" customHeight="1" x14ac:dyDescent="0.15">
      <c r="A113" s="25" t="s">
        <v>1032</v>
      </c>
      <c r="B113" s="25" t="s">
        <v>363</v>
      </c>
      <c r="C113" s="25" t="s">
        <v>364</v>
      </c>
      <c r="D113" s="25" t="s">
        <v>365</v>
      </c>
      <c r="E113" s="26" t="s">
        <v>45</v>
      </c>
      <c r="F113" s="27" t="s">
        <v>45</v>
      </c>
      <c r="G113" s="28" t="s">
        <v>45</v>
      </c>
      <c r="H113" s="29"/>
      <c r="I113" s="29" t="s">
        <v>46</v>
      </c>
      <c r="J113" s="30">
        <v>10</v>
      </c>
      <c r="K113" s="31">
        <f>2430</f>
        <v>2430</v>
      </c>
      <c r="L113" s="32" t="s">
        <v>996</v>
      </c>
      <c r="M113" s="31">
        <f>2497</f>
        <v>2497</v>
      </c>
      <c r="N113" s="32" t="s">
        <v>78</v>
      </c>
      <c r="O113" s="31">
        <f>2370</f>
        <v>2370</v>
      </c>
      <c r="P113" s="32" t="s">
        <v>997</v>
      </c>
      <c r="Q113" s="31">
        <f>2370</f>
        <v>2370</v>
      </c>
      <c r="R113" s="32" t="s">
        <v>997</v>
      </c>
      <c r="S113" s="33">
        <f>2422.43</f>
        <v>2422.4299999999998</v>
      </c>
      <c r="T113" s="30">
        <f>2173240</f>
        <v>2173240</v>
      </c>
      <c r="U113" s="30">
        <f>980000</f>
        <v>980000</v>
      </c>
      <c r="V113" s="30">
        <f>5251941990</f>
        <v>5251941990</v>
      </c>
      <c r="W113" s="30">
        <f>2366314000</f>
        <v>2366314000</v>
      </c>
      <c r="X113" s="34">
        <f>20</f>
        <v>20</v>
      </c>
    </row>
    <row r="114" spans="1:24" ht="13.5" customHeight="1" x14ac:dyDescent="0.15">
      <c r="A114" s="25" t="s">
        <v>1032</v>
      </c>
      <c r="B114" s="25" t="s">
        <v>369</v>
      </c>
      <c r="C114" s="25" t="s">
        <v>1059</v>
      </c>
      <c r="D114" s="25" t="s">
        <v>1060</v>
      </c>
      <c r="E114" s="26" t="s">
        <v>45</v>
      </c>
      <c r="F114" s="27" t="s">
        <v>45</v>
      </c>
      <c r="G114" s="28" t="s">
        <v>45</v>
      </c>
      <c r="H114" s="29"/>
      <c r="I114" s="29" t="s">
        <v>46</v>
      </c>
      <c r="J114" s="30">
        <v>10</v>
      </c>
      <c r="K114" s="31">
        <f>1590</f>
        <v>1590</v>
      </c>
      <c r="L114" s="32" t="s">
        <v>785</v>
      </c>
      <c r="M114" s="31">
        <f>1610</f>
        <v>1610</v>
      </c>
      <c r="N114" s="32" t="s">
        <v>789</v>
      </c>
      <c r="O114" s="31">
        <f>1590</f>
        <v>1590</v>
      </c>
      <c r="P114" s="32" t="s">
        <v>785</v>
      </c>
      <c r="Q114" s="31">
        <f>1596.5</f>
        <v>1596.5</v>
      </c>
      <c r="R114" s="32" t="s">
        <v>255</v>
      </c>
      <c r="S114" s="33">
        <f>1599.7</f>
        <v>1599.7</v>
      </c>
      <c r="T114" s="30">
        <f>380</f>
        <v>380</v>
      </c>
      <c r="U114" s="30" t="str">
        <f>"－"</f>
        <v>－</v>
      </c>
      <c r="V114" s="30">
        <f>606500</f>
        <v>606500</v>
      </c>
      <c r="W114" s="30" t="str">
        <f>"－"</f>
        <v>－</v>
      </c>
      <c r="X114" s="34">
        <f>5</f>
        <v>5</v>
      </c>
    </row>
    <row r="115" spans="1:24" ht="13.5" customHeight="1" x14ac:dyDescent="0.15">
      <c r="A115" s="25" t="s">
        <v>1032</v>
      </c>
      <c r="B115" s="25" t="s">
        <v>372</v>
      </c>
      <c r="C115" s="25" t="s">
        <v>373</v>
      </c>
      <c r="D115" s="25" t="s">
        <v>374</v>
      </c>
      <c r="E115" s="26" t="s">
        <v>45</v>
      </c>
      <c r="F115" s="27" t="s">
        <v>45</v>
      </c>
      <c r="G115" s="28" t="s">
        <v>45</v>
      </c>
      <c r="H115" s="29"/>
      <c r="I115" s="29" t="s">
        <v>46</v>
      </c>
      <c r="J115" s="30">
        <v>1</v>
      </c>
      <c r="K115" s="31">
        <f>1652</f>
        <v>1652</v>
      </c>
      <c r="L115" s="32" t="s">
        <v>996</v>
      </c>
      <c r="M115" s="31">
        <f>1771</f>
        <v>1771</v>
      </c>
      <c r="N115" s="32" t="s">
        <v>997</v>
      </c>
      <c r="O115" s="31">
        <f>1620</f>
        <v>1620</v>
      </c>
      <c r="P115" s="32" t="s">
        <v>787</v>
      </c>
      <c r="Q115" s="31">
        <f>1730</f>
        <v>1730</v>
      </c>
      <c r="R115" s="32" t="s">
        <v>997</v>
      </c>
      <c r="S115" s="33">
        <f>1669.55</f>
        <v>1669.55</v>
      </c>
      <c r="T115" s="30">
        <f>12244</f>
        <v>12244</v>
      </c>
      <c r="U115" s="30" t="str">
        <f>"－"</f>
        <v>－</v>
      </c>
      <c r="V115" s="30">
        <f>20836515</f>
        <v>20836515</v>
      </c>
      <c r="W115" s="30" t="str">
        <f>"－"</f>
        <v>－</v>
      </c>
      <c r="X115" s="34">
        <f>20</f>
        <v>20</v>
      </c>
    </row>
    <row r="116" spans="1:24" ht="13.5" customHeight="1" x14ac:dyDescent="0.15">
      <c r="A116" s="25" t="s">
        <v>1032</v>
      </c>
      <c r="B116" s="25" t="s">
        <v>375</v>
      </c>
      <c r="C116" s="25" t="s">
        <v>376</v>
      </c>
      <c r="D116" s="25" t="s">
        <v>377</v>
      </c>
      <c r="E116" s="26" t="s">
        <v>45</v>
      </c>
      <c r="F116" s="27" t="s">
        <v>45</v>
      </c>
      <c r="G116" s="28" t="s">
        <v>45</v>
      </c>
      <c r="H116" s="29"/>
      <c r="I116" s="29" t="s">
        <v>46</v>
      </c>
      <c r="J116" s="30">
        <v>1</v>
      </c>
      <c r="K116" s="31">
        <f>18485</f>
        <v>18485</v>
      </c>
      <c r="L116" s="32" t="s">
        <v>996</v>
      </c>
      <c r="M116" s="31">
        <f>18560</f>
        <v>18560</v>
      </c>
      <c r="N116" s="32" t="s">
        <v>789</v>
      </c>
      <c r="O116" s="31">
        <f>17700</f>
        <v>17700</v>
      </c>
      <c r="P116" s="32" t="s">
        <v>78</v>
      </c>
      <c r="Q116" s="31">
        <f>18555</f>
        <v>18555</v>
      </c>
      <c r="R116" s="32" t="s">
        <v>997</v>
      </c>
      <c r="S116" s="33">
        <f>18251.75</f>
        <v>18251.75</v>
      </c>
      <c r="T116" s="30">
        <f>127071</f>
        <v>127071</v>
      </c>
      <c r="U116" s="30">
        <f>75449</f>
        <v>75449</v>
      </c>
      <c r="V116" s="30">
        <f>2322381295</f>
        <v>2322381295</v>
      </c>
      <c r="W116" s="30">
        <f>1378732160</f>
        <v>1378732160</v>
      </c>
      <c r="X116" s="34">
        <f>20</f>
        <v>20</v>
      </c>
    </row>
    <row r="117" spans="1:24" ht="13.5" customHeight="1" x14ac:dyDescent="0.15">
      <c r="A117" s="25" t="s">
        <v>1032</v>
      </c>
      <c r="B117" s="25" t="s">
        <v>378</v>
      </c>
      <c r="C117" s="25" t="s">
        <v>379</v>
      </c>
      <c r="D117" s="25" t="s">
        <v>380</v>
      </c>
      <c r="E117" s="26" t="s">
        <v>45</v>
      </c>
      <c r="F117" s="27" t="s">
        <v>45</v>
      </c>
      <c r="G117" s="28" t="s">
        <v>45</v>
      </c>
      <c r="H117" s="29"/>
      <c r="I117" s="29" t="s">
        <v>46</v>
      </c>
      <c r="J117" s="30">
        <v>1</v>
      </c>
      <c r="K117" s="31">
        <f>1684</f>
        <v>1684</v>
      </c>
      <c r="L117" s="32" t="s">
        <v>996</v>
      </c>
      <c r="M117" s="31">
        <f>1715</f>
        <v>1715</v>
      </c>
      <c r="N117" s="32" t="s">
        <v>789</v>
      </c>
      <c r="O117" s="31">
        <f>1600</f>
        <v>1600</v>
      </c>
      <c r="P117" s="32" t="s">
        <v>78</v>
      </c>
      <c r="Q117" s="31">
        <f>1715</f>
        <v>1715</v>
      </c>
      <c r="R117" s="32" t="s">
        <v>997</v>
      </c>
      <c r="S117" s="33">
        <f>1684.55</f>
        <v>1684.55</v>
      </c>
      <c r="T117" s="30">
        <f>28125</f>
        <v>28125</v>
      </c>
      <c r="U117" s="30">
        <f>3129</f>
        <v>3129</v>
      </c>
      <c r="V117" s="30">
        <f>47415142</f>
        <v>47415142</v>
      </c>
      <c r="W117" s="30">
        <f>5303655</f>
        <v>5303655</v>
      </c>
      <c r="X117" s="34">
        <f>20</f>
        <v>20</v>
      </c>
    </row>
    <row r="118" spans="1:24" ht="13.5" customHeight="1" x14ac:dyDescent="0.15">
      <c r="A118" s="25" t="s">
        <v>1032</v>
      </c>
      <c r="B118" s="25" t="s">
        <v>381</v>
      </c>
      <c r="C118" s="25" t="s">
        <v>382</v>
      </c>
      <c r="D118" s="25" t="s">
        <v>383</v>
      </c>
      <c r="E118" s="26" t="s">
        <v>45</v>
      </c>
      <c r="F118" s="27" t="s">
        <v>45</v>
      </c>
      <c r="G118" s="28" t="s">
        <v>45</v>
      </c>
      <c r="H118" s="29"/>
      <c r="I118" s="29" t="s">
        <v>46</v>
      </c>
      <c r="J118" s="30">
        <v>1</v>
      </c>
      <c r="K118" s="31">
        <f>18750</f>
        <v>18750</v>
      </c>
      <c r="L118" s="32" t="s">
        <v>996</v>
      </c>
      <c r="M118" s="31">
        <f>19155</f>
        <v>19155</v>
      </c>
      <c r="N118" s="32" t="s">
        <v>789</v>
      </c>
      <c r="O118" s="31">
        <f>18275</f>
        <v>18275</v>
      </c>
      <c r="P118" s="32" t="s">
        <v>78</v>
      </c>
      <c r="Q118" s="31">
        <f>19110</f>
        <v>19110</v>
      </c>
      <c r="R118" s="32" t="s">
        <v>997</v>
      </c>
      <c r="S118" s="33">
        <f>18793.25</f>
        <v>18793.25</v>
      </c>
      <c r="T118" s="30">
        <f>12418</f>
        <v>12418</v>
      </c>
      <c r="U118" s="30">
        <f>2812</f>
        <v>2812</v>
      </c>
      <c r="V118" s="30">
        <f>233755795</f>
        <v>233755795</v>
      </c>
      <c r="W118" s="30">
        <f>53146800</f>
        <v>53146800</v>
      </c>
      <c r="X118" s="34">
        <f>20</f>
        <v>20</v>
      </c>
    </row>
    <row r="119" spans="1:24" ht="13.5" customHeight="1" x14ac:dyDescent="0.15">
      <c r="A119" s="25" t="s">
        <v>1032</v>
      </c>
      <c r="B119" s="25" t="s">
        <v>384</v>
      </c>
      <c r="C119" s="25" t="s">
        <v>385</v>
      </c>
      <c r="D119" s="25" t="s">
        <v>386</v>
      </c>
      <c r="E119" s="26" t="s">
        <v>45</v>
      </c>
      <c r="F119" s="27" t="s">
        <v>45</v>
      </c>
      <c r="G119" s="28" t="s">
        <v>45</v>
      </c>
      <c r="H119" s="29"/>
      <c r="I119" s="29" t="s">
        <v>46</v>
      </c>
      <c r="J119" s="30">
        <v>10</v>
      </c>
      <c r="K119" s="31">
        <f>1840</f>
        <v>1840</v>
      </c>
      <c r="L119" s="32" t="s">
        <v>996</v>
      </c>
      <c r="M119" s="31">
        <f>1903</f>
        <v>1903</v>
      </c>
      <c r="N119" s="32" t="s">
        <v>997</v>
      </c>
      <c r="O119" s="31">
        <f>1822.5</f>
        <v>1822.5</v>
      </c>
      <c r="P119" s="32" t="s">
        <v>56</v>
      </c>
      <c r="Q119" s="31">
        <f>1903</f>
        <v>1903</v>
      </c>
      <c r="R119" s="32" t="s">
        <v>997</v>
      </c>
      <c r="S119" s="33">
        <f>1864.6</f>
        <v>1864.6</v>
      </c>
      <c r="T119" s="30">
        <f>912270</f>
        <v>912270</v>
      </c>
      <c r="U119" s="30">
        <f>60020</f>
        <v>60020</v>
      </c>
      <c r="V119" s="30">
        <f>1707902600</f>
        <v>1707902600</v>
      </c>
      <c r="W119" s="30">
        <f>111578775</f>
        <v>111578775</v>
      </c>
      <c r="X119" s="34">
        <f>20</f>
        <v>20</v>
      </c>
    </row>
    <row r="120" spans="1:24" ht="13.5" customHeight="1" x14ac:dyDescent="0.15">
      <c r="A120" s="25" t="s">
        <v>1032</v>
      </c>
      <c r="B120" s="25" t="s">
        <v>387</v>
      </c>
      <c r="C120" s="25" t="s">
        <v>388</v>
      </c>
      <c r="D120" s="25" t="s">
        <v>389</v>
      </c>
      <c r="E120" s="26" t="s">
        <v>45</v>
      </c>
      <c r="F120" s="27" t="s">
        <v>45</v>
      </c>
      <c r="G120" s="28" t="s">
        <v>45</v>
      </c>
      <c r="H120" s="29"/>
      <c r="I120" s="29" t="s">
        <v>46</v>
      </c>
      <c r="J120" s="30">
        <v>10</v>
      </c>
      <c r="K120" s="31">
        <f>1754</f>
        <v>1754</v>
      </c>
      <c r="L120" s="32" t="s">
        <v>996</v>
      </c>
      <c r="M120" s="31">
        <f>1765</f>
        <v>1765</v>
      </c>
      <c r="N120" s="32" t="s">
        <v>789</v>
      </c>
      <c r="O120" s="31">
        <f>1751</f>
        <v>1751</v>
      </c>
      <c r="P120" s="32" t="s">
        <v>790</v>
      </c>
      <c r="Q120" s="31">
        <f>1765</f>
        <v>1765</v>
      </c>
      <c r="R120" s="32" t="s">
        <v>789</v>
      </c>
      <c r="S120" s="33">
        <f>1755.6</f>
        <v>1755.6</v>
      </c>
      <c r="T120" s="30">
        <f>70</f>
        <v>70</v>
      </c>
      <c r="U120" s="30" t="str">
        <f>"－"</f>
        <v>－</v>
      </c>
      <c r="V120" s="30">
        <f>122980</f>
        <v>122980</v>
      </c>
      <c r="W120" s="30" t="str">
        <f>"－"</f>
        <v>－</v>
      </c>
      <c r="X120" s="34">
        <f>5</f>
        <v>5</v>
      </c>
    </row>
    <row r="121" spans="1:24" ht="13.5" customHeight="1" x14ac:dyDescent="0.15">
      <c r="A121" s="25" t="s">
        <v>1032</v>
      </c>
      <c r="B121" s="25" t="s">
        <v>390</v>
      </c>
      <c r="C121" s="25" t="s">
        <v>391</v>
      </c>
      <c r="D121" s="25" t="s">
        <v>392</v>
      </c>
      <c r="E121" s="26" t="s">
        <v>45</v>
      </c>
      <c r="F121" s="27" t="s">
        <v>45</v>
      </c>
      <c r="G121" s="28" t="s">
        <v>45</v>
      </c>
      <c r="H121" s="29"/>
      <c r="I121" s="29" t="s">
        <v>46</v>
      </c>
      <c r="J121" s="30">
        <v>10</v>
      </c>
      <c r="K121" s="31">
        <f>1830</f>
        <v>1830</v>
      </c>
      <c r="L121" s="32" t="s">
        <v>996</v>
      </c>
      <c r="M121" s="31">
        <f>1920</f>
        <v>1920</v>
      </c>
      <c r="N121" s="32" t="s">
        <v>997</v>
      </c>
      <c r="O121" s="31">
        <f>1830</f>
        <v>1830</v>
      </c>
      <c r="P121" s="32" t="s">
        <v>996</v>
      </c>
      <c r="Q121" s="31">
        <f>1920</f>
        <v>1920</v>
      </c>
      <c r="R121" s="32" t="s">
        <v>997</v>
      </c>
      <c r="S121" s="33">
        <f>1872.53</f>
        <v>1872.53</v>
      </c>
      <c r="T121" s="30">
        <f>999860</f>
        <v>999860</v>
      </c>
      <c r="U121" s="30">
        <f>54030</f>
        <v>54030</v>
      </c>
      <c r="V121" s="30">
        <f>1881932197</f>
        <v>1881932197</v>
      </c>
      <c r="W121" s="30">
        <f>101280922</f>
        <v>101280922</v>
      </c>
      <c r="X121" s="34">
        <f>20</f>
        <v>20</v>
      </c>
    </row>
    <row r="122" spans="1:24" ht="13.5" customHeight="1" x14ac:dyDescent="0.15">
      <c r="A122" s="25" t="s">
        <v>1032</v>
      </c>
      <c r="B122" s="25" t="s">
        <v>393</v>
      </c>
      <c r="C122" s="25" t="s">
        <v>1061</v>
      </c>
      <c r="D122" s="25" t="s">
        <v>1062</v>
      </c>
      <c r="E122" s="26" t="s">
        <v>45</v>
      </c>
      <c r="F122" s="27" t="s">
        <v>45</v>
      </c>
      <c r="G122" s="28" t="s">
        <v>45</v>
      </c>
      <c r="H122" s="29"/>
      <c r="I122" s="29" t="s">
        <v>46</v>
      </c>
      <c r="J122" s="30">
        <v>1</v>
      </c>
      <c r="K122" s="31">
        <f>18600</f>
        <v>18600</v>
      </c>
      <c r="L122" s="32" t="s">
        <v>996</v>
      </c>
      <c r="M122" s="31">
        <f>18960</f>
        <v>18960</v>
      </c>
      <c r="N122" s="32" t="s">
        <v>997</v>
      </c>
      <c r="O122" s="31">
        <f>18140</f>
        <v>18140</v>
      </c>
      <c r="P122" s="32" t="s">
        <v>1003</v>
      </c>
      <c r="Q122" s="31">
        <f>18950</f>
        <v>18950</v>
      </c>
      <c r="R122" s="32" t="s">
        <v>997</v>
      </c>
      <c r="S122" s="33">
        <f>18636.25</f>
        <v>18636.25</v>
      </c>
      <c r="T122" s="30">
        <f>12897</f>
        <v>12897</v>
      </c>
      <c r="U122" s="30">
        <f>12504</f>
        <v>12504</v>
      </c>
      <c r="V122" s="30">
        <f>237546175</f>
        <v>237546175</v>
      </c>
      <c r="W122" s="30">
        <f>230294740</f>
        <v>230294740</v>
      </c>
      <c r="X122" s="34">
        <f>16</f>
        <v>16</v>
      </c>
    </row>
    <row r="123" spans="1:24" ht="13.5" customHeight="1" x14ac:dyDescent="0.15">
      <c r="A123" s="25" t="s">
        <v>1032</v>
      </c>
      <c r="B123" s="25" t="s">
        <v>396</v>
      </c>
      <c r="C123" s="25" t="s">
        <v>397</v>
      </c>
      <c r="D123" s="25" t="s">
        <v>398</v>
      </c>
      <c r="E123" s="26" t="s">
        <v>45</v>
      </c>
      <c r="F123" s="27" t="s">
        <v>45</v>
      </c>
      <c r="G123" s="28" t="s">
        <v>45</v>
      </c>
      <c r="H123" s="29"/>
      <c r="I123" s="29" t="s">
        <v>46</v>
      </c>
      <c r="J123" s="30">
        <v>100</v>
      </c>
      <c r="K123" s="31">
        <f>200.9</f>
        <v>200.9</v>
      </c>
      <c r="L123" s="32" t="s">
        <v>996</v>
      </c>
      <c r="M123" s="31">
        <f>220</f>
        <v>220</v>
      </c>
      <c r="N123" s="32" t="s">
        <v>997</v>
      </c>
      <c r="O123" s="31">
        <f>198.8</f>
        <v>198.8</v>
      </c>
      <c r="P123" s="32" t="s">
        <v>78</v>
      </c>
      <c r="Q123" s="31">
        <f>220</f>
        <v>220</v>
      </c>
      <c r="R123" s="32" t="s">
        <v>997</v>
      </c>
      <c r="S123" s="33">
        <f>206.14</f>
        <v>206.14</v>
      </c>
      <c r="T123" s="30">
        <f>41460500</f>
        <v>41460500</v>
      </c>
      <c r="U123" s="30">
        <f>1281200</f>
        <v>1281200</v>
      </c>
      <c r="V123" s="30">
        <f>8548051115</f>
        <v>8548051115</v>
      </c>
      <c r="W123" s="30">
        <f>262622735</f>
        <v>262622735</v>
      </c>
      <c r="X123" s="34">
        <f>20</f>
        <v>20</v>
      </c>
    </row>
    <row r="124" spans="1:24" ht="13.5" customHeight="1" x14ac:dyDescent="0.15">
      <c r="A124" s="25" t="s">
        <v>1032</v>
      </c>
      <c r="B124" s="25" t="s">
        <v>399</v>
      </c>
      <c r="C124" s="25" t="s">
        <v>400</v>
      </c>
      <c r="D124" s="25" t="s">
        <v>401</v>
      </c>
      <c r="E124" s="26" t="s">
        <v>45</v>
      </c>
      <c r="F124" s="27" t="s">
        <v>45</v>
      </c>
      <c r="G124" s="28" t="s">
        <v>45</v>
      </c>
      <c r="H124" s="29"/>
      <c r="I124" s="29" t="s">
        <v>46</v>
      </c>
      <c r="J124" s="30">
        <v>1</v>
      </c>
      <c r="K124" s="31">
        <f>30950</f>
        <v>30950</v>
      </c>
      <c r="L124" s="32" t="s">
        <v>996</v>
      </c>
      <c r="M124" s="31">
        <f>32840</f>
        <v>32840</v>
      </c>
      <c r="N124" s="32" t="s">
        <v>997</v>
      </c>
      <c r="O124" s="31">
        <f>30800</f>
        <v>30800</v>
      </c>
      <c r="P124" s="32" t="s">
        <v>78</v>
      </c>
      <c r="Q124" s="31">
        <f>32770</f>
        <v>32770</v>
      </c>
      <c r="R124" s="32" t="s">
        <v>997</v>
      </c>
      <c r="S124" s="33">
        <f>31680.53</f>
        <v>31680.53</v>
      </c>
      <c r="T124" s="30">
        <f>1928</f>
        <v>1928</v>
      </c>
      <c r="U124" s="30" t="str">
        <f t="shared" ref="U124:U131" si="2">"－"</f>
        <v>－</v>
      </c>
      <c r="V124" s="30">
        <f>61284340</f>
        <v>61284340</v>
      </c>
      <c r="W124" s="30" t="str">
        <f t="shared" ref="W124:W131" si="3">"－"</f>
        <v>－</v>
      </c>
      <c r="X124" s="34">
        <f>19</f>
        <v>19</v>
      </c>
    </row>
    <row r="125" spans="1:24" ht="13.5" customHeight="1" x14ac:dyDescent="0.15">
      <c r="A125" s="25" t="s">
        <v>1032</v>
      </c>
      <c r="B125" s="25" t="s">
        <v>402</v>
      </c>
      <c r="C125" s="25" t="s">
        <v>403</v>
      </c>
      <c r="D125" s="25" t="s">
        <v>404</v>
      </c>
      <c r="E125" s="26" t="s">
        <v>45</v>
      </c>
      <c r="F125" s="27" t="s">
        <v>45</v>
      </c>
      <c r="G125" s="28" t="s">
        <v>45</v>
      </c>
      <c r="H125" s="29"/>
      <c r="I125" s="29" t="s">
        <v>46</v>
      </c>
      <c r="J125" s="30">
        <v>1</v>
      </c>
      <c r="K125" s="31">
        <f>13590</f>
        <v>13590</v>
      </c>
      <c r="L125" s="32" t="s">
        <v>996</v>
      </c>
      <c r="M125" s="31">
        <f>14000</f>
        <v>14000</v>
      </c>
      <c r="N125" s="32" t="s">
        <v>785</v>
      </c>
      <c r="O125" s="31">
        <f>13280</f>
        <v>13280</v>
      </c>
      <c r="P125" s="32" t="s">
        <v>1003</v>
      </c>
      <c r="Q125" s="31">
        <f>13750</f>
        <v>13750</v>
      </c>
      <c r="R125" s="32" t="s">
        <v>997</v>
      </c>
      <c r="S125" s="33">
        <f>13627</f>
        <v>13627</v>
      </c>
      <c r="T125" s="30">
        <f>6355</f>
        <v>6355</v>
      </c>
      <c r="U125" s="30" t="str">
        <f t="shared" si="2"/>
        <v>－</v>
      </c>
      <c r="V125" s="30">
        <f>86802910</f>
        <v>86802910</v>
      </c>
      <c r="W125" s="30" t="str">
        <f t="shared" si="3"/>
        <v>－</v>
      </c>
      <c r="X125" s="34">
        <f>20</f>
        <v>20</v>
      </c>
    </row>
    <row r="126" spans="1:24" ht="13.5" customHeight="1" x14ac:dyDescent="0.15">
      <c r="A126" s="25" t="s">
        <v>1032</v>
      </c>
      <c r="B126" s="25" t="s">
        <v>405</v>
      </c>
      <c r="C126" s="25" t="s">
        <v>406</v>
      </c>
      <c r="D126" s="25" t="s">
        <v>407</v>
      </c>
      <c r="E126" s="26" t="s">
        <v>45</v>
      </c>
      <c r="F126" s="27" t="s">
        <v>45</v>
      </c>
      <c r="G126" s="28" t="s">
        <v>45</v>
      </c>
      <c r="H126" s="29"/>
      <c r="I126" s="29" t="s">
        <v>46</v>
      </c>
      <c r="J126" s="30">
        <v>1</v>
      </c>
      <c r="K126" s="31">
        <f>22725</f>
        <v>22725</v>
      </c>
      <c r="L126" s="32" t="s">
        <v>996</v>
      </c>
      <c r="M126" s="31">
        <f>23660</f>
        <v>23660</v>
      </c>
      <c r="N126" s="32" t="s">
        <v>997</v>
      </c>
      <c r="O126" s="31">
        <f>22135</f>
        <v>22135</v>
      </c>
      <c r="P126" s="32" t="s">
        <v>1003</v>
      </c>
      <c r="Q126" s="31">
        <f>23645</f>
        <v>23645</v>
      </c>
      <c r="R126" s="32" t="s">
        <v>997</v>
      </c>
      <c r="S126" s="33">
        <f>22781.05</f>
        <v>22781.05</v>
      </c>
      <c r="T126" s="30">
        <f>1479</f>
        <v>1479</v>
      </c>
      <c r="U126" s="30" t="str">
        <f t="shared" si="2"/>
        <v>－</v>
      </c>
      <c r="V126" s="30">
        <f>34098590</f>
        <v>34098590</v>
      </c>
      <c r="W126" s="30" t="str">
        <f t="shared" si="3"/>
        <v>－</v>
      </c>
      <c r="X126" s="34">
        <f>19</f>
        <v>19</v>
      </c>
    </row>
    <row r="127" spans="1:24" ht="13.5" customHeight="1" x14ac:dyDescent="0.15">
      <c r="A127" s="25" t="s">
        <v>1032</v>
      </c>
      <c r="B127" s="25" t="s">
        <v>408</v>
      </c>
      <c r="C127" s="25" t="s">
        <v>409</v>
      </c>
      <c r="D127" s="25" t="s">
        <v>410</v>
      </c>
      <c r="E127" s="26" t="s">
        <v>45</v>
      </c>
      <c r="F127" s="27" t="s">
        <v>45</v>
      </c>
      <c r="G127" s="28" t="s">
        <v>45</v>
      </c>
      <c r="H127" s="29"/>
      <c r="I127" s="29" t="s">
        <v>46</v>
      </c>
      <c r="J127" s="30">
        <v>1</v>
      </c>
      <c r="K127" s="31">
        <f>26240</f>
        <v>26240</v>
      </c>
      <c r="L127" s="32" t="s">
        <v>996</v>
      </c>
      <c r="M127" s="31">
        <f>26450</f>
        <v>26450</v>
      </c>
      <c r="N127" s="32" t="s">
        <v>789</v>
      </c>
      <c r="O127" s="31">
        <f>25285</f>
        <v>25285</v>
      </c>
      <c r="P127" s="32" t="s">
        <v>1003</v>
      </c>
      <c r="Q127" s="31">
        <f>26050</f>
        <v>26050</v>
      </c>
      <c r="R127" s="32" t="s">
        <v>997</v>
      </c>
      <c r="S127" s="33">
        <f>25989.75</f>
        <v>25989.75</v>
      </c>
      <c r="T127" s="30">
        <f>1264</f>
        <v>1264</v>
      </c>
      <c r="U127" s="30" t="str">
        <f t="shared" si="2"/>
        <v>－</v>
      </c>
      <c r="V127" s="30">
        <f>32996805</f>
        <v>32996805</v>
      </c>
      <c r="W127" s="30" t="str">
        <f t="shared" si="3"/>
        <v>－</v>
      </c>
      <c r="X127" s="34">
        <f>20</f>
        <v>20</v>
      </c>
    </row>
    <row r="128" spans="1:24" ht="13.5" customHeight="1" x14ac:dyDescent="0.15">
      <c r="A128" s="25" t="s">
        <v>1032</v>
      </c>
      <c r="B128" s="25" t="s">
        <v>411</v>
      </c>
      <c r="C128" s="25" t="s">
        <v>412</v>
      </c>
      <c r="D128" s="25" t="s">
        <v>413</v>
      </c>
      <c r="E128" s="26" t="s">
        <v>45</v>
      </c>
      <c r="F128" s="27" t="s">
        <v>45</v>
      </c>
      <c r="G128" s="28" t="s">
        <v>45</v>
      </c>
      <c r="H128" s="29"/>
      <c r="I128" s="29" t="s">
        <v>46</v>
      </c>
      <c r="J128" s="30">
        <v>1</v>
      </c>
      <c r="K128" s="31">
        <f>26230</f>
        <v>26230</v>
      </c>
      <c r="L128" s="32" t="s">
        <v>996</v>
      </c>
      <c r="M128" s="31">
        <f>27150</f>
        <v>27150</v>
      </c>
      <c r="N128" s="32" t="s">
        <v>789</v>
      </c>
      <c r="O128" s="31">
        <f>25720</f>
        <v>25720</v>
      </c>
      <c r="P128" s="32" t="s">
        <v>784</v>
      </c>
      <c r="Q128" s="31">
        <f>26760</f>
        <v>26760</v>
      </c>
      <c r="R128" s="32" t="s">
        <v>997</v>
      </c>
      <c r="S128" s="33">
        <f>26439.25</f>
        <v>26439.25</v>
      </c>
      <c r="T128" s="30">
        <f>3856</f>
        <v>3856</v>
      </c>
      <c r="U128" s="30" t="str">
        <f t="shared" si="2"/>
        <v>－</v>
      </c>
      <c r="V128" s="30">
        <f>102011965</f>
        <v>102011965</v>
      </c>
      <c r="W128" s="30" t="str">
        <f t="shared" si="3"/>
        <v>－</v>
      </c>
      <c r="X128" s="34">
        <f>20</f>
        <v>20</v>
      </c>
    </row>
    <row r="129" spans="1:24" ht="13.5" customHeight="1" x14ac:dyDescent="0.15">
      <c r="A129" s="25" t="s">
        <v>1032</v>
      </c>
      <c r="B129" s="25" t="s">
        <v>414</v>
      </c>
      <c r="C129" s="25" t="s">
        <v>415</v>
      </c>
      <c r="D129" s="25" t="s">
        <v>416</v>
      </c>
      <c r="E129" s="26" t="s">
        <v>45</v>
      </c>
      <c r="F129" s="27" t="s">
        <v>45</v>
      </c>
      <c r="G129" s="28" t="s">
        <v>45</v>
      </c>
      <c r="H129" s="29"/>
      <c r="I129" s="29" t="s">
        <v>46</v>
      </c>
      <c r="J129" s="30">
        <v>1</v>
      </c>
      <c r="K129" s="31">
        <f>23665</f>
        <v>23665</v>
      </c>
      <c r="L129" s="32" t="s">
        <v>996</v>
      </c>
      <c r="M129" s="31">
        <f>23810</f>
        <v>23810</v>
      </c>
      <c r="N129" s="32" t="s">
        <v>785</v>
      </c>
      <c r="O129" s="31">
        <f>22765</f>
        <v>22765</v>
      </c>
      <c r="P129" s="32" t="s">
        <v>78</v>
      </c>
      <c r="Q129" s="31">
        <f>23635</f>
        <v>23635</v>
      </c>
      <c r="R129" s="32" t="s">
        <v>997</v>
      </c>
      <c r="S129" s="33">
        <f>23173.5</f>
        <v>23173.5</v>
      </c>
      <c r="T129" s="30">
        <f>7297</f>
        <v>7297</v>
      </c>
      <c r="U129" s="30" t="str">
        <f t="shared" si="2"/>
        <v>－</v>
      </c>
      <c r="V129" s="30">
        <f>170305995</f>
        <v>170305995</v>
      </c>
      <c r="W129" s="30" t="str">
        <f t="shared" si="3"/>
        <v>－</v>
      </c>
      <c r="X129" s="34">
        <f>20</f>
        <v>20</v>
      </c>
    </row>
    <row r="130" spans="1:24" ht="13.5" customHeight="1" x14ac:dyDescent="0.15">
      <c r="A130" s="25" t="s">
        <v>1032</v>
      </c>
      <c r="B130" s="25" t="s">
        <v>417</v>
      </c>
      <c r="C130" s="25" t="s">
        <v>418</v>
      </c>
      <c r="D130" s="25" t="s">
        <v>419</v>
      </c>
      <c r="E130" s="26" t="s">
        <v>45</v>
      </c>
      <c r="F130" s="27" t="s">
        <v>45</v>
      </c>
      <c r="G130" s="28" t="s">
        <v>45</v>
      </c>
      <c r="H130" s="29"/>
      <c r="I130" s="29" t="s">
        <v>46</v>
      </c>
      <c r="J130" s="30">
        <v>1</v>
      </c>
      <c r="K130" s="31">
        <f>21015</f>
        <v>21015</v>
      </c>
      <c r="L130" s="32" t="s">
        <v>996</v>
      </c>
      <c r="M130" s="31">
        <f>21105</f>
        <v>21105</v>
      </c>
      <c r="N130" s="32" t="s">
        <v>785</v>
      </c>
      <c r="O130" s="31">
        <f>19750</f>
        <v>19750</v>
      </c>
      <c r="P130" s="32" t="s">
        <v>786</v>
      </c>
      <c r="Q130" s="31">
        <f>20295</f>
        <v>20295</v>
      </c>
      <c r="R130" s="32" t="s">
        <v>997</v>
      </c>
      <c r="S130" s="33">
        <f>20456.25</f>
        <v>20456.25</v>
      </c>
      <c r="T130" s="30">
        <f>7552</f>
        <v>7552</v>
      </c>
      <c r="U130" s="30" t="str">
        <f t="shared" si="2"/>
        <v>－</v>
      </c>
      <c r="V130" s="30">
        <f>155403240</f>
        <v>155403240</v>
      </c>
      <c r="W130" s="30" t="str">
        <f t="shared" si="3"/>
        <v>－</v>
      </c>
      <c r="X130" s="34">
        <f>20</f>
        <v>20</v>
      </c>
    </row>
    <row r="131" spans="1:24" ht="13.5" customHeight="1" x14ac:dyDescent="0.15">
      <c r="A131" s="25" t="s">
        <v>1032</v>
      </c>
      <c r="B131" s="25" t="s">
        <v>420</v>
      </c>
      <c r="C131" s="25" t="s">
        <v>421</v>
      </c>
      <c r="D131" s="25" t="s">
        <v>422</v>
      </c>
      <c r="E131" s="26" t="s">
        <v>45</v>
      </c>
      <c r="F131" s="27" t="s">
        <v>45</v>
      </c>
      <c r="G131" s="28" t="s">
        <v>45</v>
      </c>
      <c r="H131" s="29"/>
      <c r="I131" s="29" t="s">
        <v>46</v>
      </c>
      <c r="J131" s="30">
        <v>1</v>
      </c>
      <c r="K131" s="31">
        <f>41970</f>
        <v>41970</v>
      </c>
      <c r="L131" s="32" t="s">
        <v>996</v>
      </c>
      <c r="M131" s="31">
        <f>42270</f>
        <v>42270</v>
      </c>
      <c r="N131" s="32" t="s">
        <v>997</v>
      </c>
      <c r="O131" s="31">
        <f>39620</f>
        <v>39620</v>
      </c>
      <c r="P131" s="32" t="s">
        <v>78</v>
      </c>
      <c r="Q131" s="31">
        <f>42270</f>
        <v>42270</v>
      </c>
      <c r="R131" s="32" t="s">
        <v>997</v>
      </c>
      <c r="S131" s="33">
        <f>41172.5</f>
        <v>41172.5</v>
      </c>
      <c r="T131" s="30">
        <f>1810</f>
        <v>1810</v>
      </c>
      <c r="U131" s="30" t="str">
        <f t="shared" si="2"/>
        <v>－</v>
      </c>
      <c r="V131" s="30">
        <f>74236020</f>
        <v>74236020</v>
      </c>
      <c r="W131" s="30" t="str">
        <f t="shared" si="3"/>
        <v>－</v>
      </c>
      <c r="X131" s="34">
        <f>20</f>
        <v>20</v>
      </c>
    </row>
    <row r="132" spans="1:24" ht="13.5" customHeight="1" x14ac:dyDescent="0.15">
      <c r="A132" s="25" t="s">
        <v>1032</v>
      </c>
      <c r="B132" s="25" t="s">
        <v>423</v>
      </c>
      <c r="C132" s="25" t="s">
        <v>424</v>
      </c>
      <c r="D132" s="25" t="s">
        <v>425</v>
      </c>
      <c r="E132" s="26" t="s">
        <v>45</v>
      </c>
      <c r="F132" s="27" t="s">
        <v>45</v>
      </c>
      <c r="G132" s="28" t="s">
        <v>45</v>
      </c>
      <c r="H132" s="29"/>
      <c r="I132" s="29" t="s">
        <v>46</v>
      </c>
      <c r="J132" s="30">
        <v>1</v>
      </c>
      <c r="K132" s="31">
        <f>28910</f>
        <v>28910</v>
      </c>
      <c r="L132" s="32" t="s">
        <v>996</v>
      </c>
      <c r="M132" s="31">
        <f>28910</f>
        <v>28910</v>
      </c>
      <c r="N132" s="32" t="s">
        <v>996</v>
      </c>
      <c r="O132" s="31">
        <f>27470</f>
        <v>27470</v>
      </c>
      <c r="P132" s="32" t="s">
        <v>78</v>
      </c>
      <c r="Q132" s="31">
        <f>28570</f>
        <v>28570</v>
      </c>
      <c r="R132" s="32" t="s">
        <v>997</v>
      </c>
      <c r="S132" s="33">
        <f>28336.75</f>
        <v>28336.75</v>
      </c>
      <c r="T132" s="30">
        <f>3080</f>
        <v>3080</v>
      </c>
      <c r="U132" s="30">
        <f>6</f>
        <v>6</v>
      </c>
      <c r="V132" s="30">
        <f>87347425</f>
        <v>87347425</v>
      </c>
      <c r="W132" s="30">
        <f>168700</f>
        <v>168700</v>
      </c>
      <c r="X132" s="34">
        <f>20</f>
        <v>20</v>
      </c>
    </row>
    <row r="133" spans="1:24" ht="13.5" customHeight="1" x14ac:dyDescent="0.15">
      <c r="A133" s="25" t="s">
        <v>1032</v>
      </c>
      <c r="B133" s="25" t="s">
        <v>426</v>
      </c>
      <c r="C133" s="25" t="s">
        <v>427</v>
      </c>
      <c r="D133" s="25" t="s">
        <v>428</v>
      </c>
      <c r="E133" s="26" t="s">
        <v>45</v>
      </c>
      <c r="F133" s="27" t="s">
        <v>45</v>
      </c>
      <c r="G133" s="28" t="s">
        <v>45</v>
      </c>
      <c r="H133" s="29"/>
      <c r="I133" s="29" t="s">
        <v>46</v>
      </c>
      <c r="J133" s="30">
        <v>1</v>
      </c>
      <c r="K133" s="31">
        <f>27970</f>
        <v>27970</v>
      </c>
      <c r="L133" s="32" t="s">
        <v>996</v>
      </c>
      <c r="M133" s="31">
        <f>28750</f>
        <v>28750</v>
      </c>
      <c r="N133" s="32" t="s">
        <v>80</v>
      </c>
      <c r="O133" s="31">
        <f>27480</f>
        <v>27480</v>
      </c>
      <c r="P133" s="32" t="s">
        <v>78</v>
      </c>
      <c r="Q133" s="31">
        <f>28700</f>
        <v>28700</v>
      </c>
      <c r="R133" s="32" t="s">
        <v>997</v>
      </c>
      <c r="S133" s="33">
        <f>28156</f>
        <v>28156</v>
      </c>
      <c r="T133" s="30">
        <f>866</f>
        <v>866</v>
      </c>
      <c r="U133" s="30" t="str">
        <f>"－"</f>
        <v>－</v>
      </c>
      <c r="V133" s="30">
        <f>24325235</f>
        <v>24325235</v>
      </c>
      <c r="W133" s="30" t="str">
        <f>"－"</f>
        <v>－</v>
      </c>
      <c r="X133" s="34">
        <f>20</f>
        <v>20</v>
      </c>
    </row>
    <row r="134" spans="1:24" ht="13.5" customHeight="1" x14ac:dyDescent="0.15">
      <c r="A134" s="25" t="s">
        <v>1032</v>
      </c>
      <c r="B134" s="25" t="s">
        <v>429</v>
      </c>
      <c r="C134" s="25" t="s">
        <v>430</v>
      </c>
      <c r="D134" s="25" t="s">
        <v>431</v>
      </c>
      <c r="E134" s="26" t="s">
        <v>45</v>
      </c>
      <c r="F134" s="27" t="s">
        <v>45</v>
      </c>
      <c r="G134" s="28" t="s">
        <v>45</v>
      </c>
      <c r="H134" s="29"/>
      <c r="I134" s="29" t="s">
        <v>46</v>
      </c>
      <c r="J134" s="30">
        <v>1</v>
      </c>
      <c r="K134" s="31">
        <f>6158</f>
        <v>6158</v>
      </c>
      <c r="L134" s="32" t="s">
        <v>996</v>
      </c>
      <c r="M134" s="31">
        <f>6590</f>
        <v>6590</v>
      </c>
      <c r="N134" s="32" t="s">
        <v>997</v>
      </c>
      <c r="O134" s="31">
        <f>6121</f>
        <v>6121</v>
      </c>
      <c r="P134" s="32" t="s">
        <v>1003</v>
      </c>
      <c r="Q134" s="31">
        <f>6560</f>
        <v>6560</v>
      </c>
      <c r="R134" s="32" t="s">
        <v>997</v>
      </c>
      <c r="S134" s="33">
        <f>6284.05</f>
        <v>6284.05</v>
      </c>
      <c r="T134" s="30">
        <f>13167</f>
        <v>13167</v>
      </c>
      <c r="U134" s="30" t="str">
        <f>"－"</f>
        <v>－</v>
      </c>
      <c r="V134" s="30">
        <f>83632528</f>
        <v>83632528</v>
      </c>
      <c r="W134" s="30" t="str">
        <f>"－"</f>
        <v>－</v>
      </c>
      <c r="X134" s="34">
        <f>20</f>
        <v>20</v>
      </c>
    </row>
    <row r="135" spans="1:24" ht="13.5" customHeight="1" x14ac:dyDescent="0.15">
      <c r="A135" s="25" t="s">
        <v>1032</v>
      </c>
      <c r="B135" s="25" t="s">
        <v>432</v>
      </c>
      <c r="C135" s="25" t="s">
        <v>433</v>
      </c>
      <c r="D135" s="25" t="s">
        <v>434</v>
      </c>
      <c r="E135" s="26" t="s">
        <v>45</v>
      </c>
      <c r="F135" s="27" t="s">
        <v>45</v>
      </c>
      <c r="G135" s="28" t="s">
        <v>45</v>
      </c>
      <c r="H135" s="29"/>
      <c r="I135" s="29" t="s">
        <v>46</v>
      </c>
      <c r="J135" s="30">
        <v>1</v>
      </c>
      <c r="K135" s="31">
        <f>16215</f>
        <v>16215</v>
      </c>
      <c r="L135" s="32" t="s">
        <v>996</v>
      </c>
      <c r="M135" s="31">
        <f>17225</f>
        <v>17225</v>
      </c>
      <c r="N135" s="32" t="s">
        <v>789</v>
      </c>
      <c r="O135" s="31">
        <f>16200</f>
        <v>16200</v>
      </c>
      <c r="P135" s="32" t="s">
        <v>78</v>
      </c>
      <c r="Q135" s="31">
        <f>17075</f>
        <v>17075</v>
      </c>
      <c r="R135" s="32" t="s">
        <v>997</v>
      </c>
      <c r="S135" s="33">
        <f>16701.5</f>
        <v>16701.5</v>
      </c>
      <c r="T135" s="30">
        <f>14978</f>
        <v>14978</v>
      </c>
      <c r="U135" s="30">
        <f>6</f>
        <v>6</v>
      </c>
      <c r="V135" s="30">
        <f>250955150</f>
        <v>250955150</v>
      </c>
      <c r="W135" s="30">
        <f>99180</f>
        <v>99180</v>
      </c>
      <c r="X135" s="34">
        <f>20</f>
        <v>20</v>
      </c>
    </row>
    <row r="136" spans="1:24" ht="13.5" customHeight="1" x14ac:dyDescent="0.15">
      <c r="A136" s="25" t="s">
        <v>1032</v>
      </c>
      <c r="B136" s="25" t="s">
        <v>435</v>
      </c>
      <c r="C136" s="25" t="s">
        <v>436</v>
      </c>
      <c r="D136" s="25" t="s">
        <v>437</v>
      </c>
      <c r="E136" s="26" t="s">
        <v>45</v>
      </c>
      <c r="F136" s="27" t="s">
        <v>45</v>
      </c>
      <c r="G136" s="28" t="s">
        <v>45</v>
      </c>
      <c r="H136" s="29"/>
      <c r="I136" s="29" t="s">
        <v>46</v>
      </c>
      <c r="J136" s="30">
        <v>1</v>
      </c>
      <c r="K136" s="31">
        <f>55310</f>
        <v>55310</v>
      </c>
      <c r="L136" s="32" t="s">
        <v>996</v>
      </c>
      <c r="M136" s="31">
        <f>58200</f>
        <v>58200</v>
      </c>
      <c r="N136" s="32" t="s">
        <v>790</v>
      </c>
      <c r="O136" s="31">
        <f>53280</f>
        <v>53280</v>
      </c>
      <c r="P136" s="32" t="s">
        <v>78</v>
      </c>
      <c r="Q136" s="31">
        <f>57270</f>
        <v>57270</v>
      </c>
      <c r="R136" s="32" t="s">
        <v>997</v>
      </c>
      <c r="S136" s="33">
        <f>56134</f>
        <v>56134</v>
      </c>
      <c r="T136" s="30">
        <f>11547</f>
        <v>11547</v>
      </c>
      <c r="U136" s="30" t="str">
        <f>"－"</f>
        <v>－</v>
      </c>
      <c r="V136" s="30">
        <f>652541490</f>
        <v>652541490</v>
      </c>
      <c r="W136" s="30" t="str">
        <f>"－"</f>
        <v>－</v>
      </c>
      <c r="X136" s="34">
        <f>20</f>
        <v>20</v>
      </c>
    </row>
    <row r="137" spans="1:24" ht="13.5" customHeight="1" x14ac:dyDescent="0.15">
      <c r="A137" s="25" t="s">
        <v>1032</v>
      </c>
      <c r="B137" s="25" t="s">
        <v>438</v>
      </c>
      <c r="C137" s="25" t="s">
        <v>439</v>
      </c>
      <c r="D137" s="25" t="s">
        <v>440</v>
      </c>
      <c r="E137" s="26" t="s">
        <v>45</v>
      </c>
      <c r="F137" s="27" t="s">
        <v>45</v>
      </c>
      <c r="G137" s="28" t="s">
        <v>45</v>
      </c>
      <c r="H137" s="29"/>
      <c r="I137" s="29" t="s">
        <v>46</v>
      </c>
      <c r="J137" s="30">
        <v>1</v>
      </c>
      <c r="K137" s="31">
        <f>23690</f>
        <v>23690</v>
      </c>
      <c r="L137" s="32" t="s">
        <v>996</v>
      </c>
      <c r="M137" s="31">
        <f>24710</f>
        <v>24710</v>
      </c>
      <c r="N137" s="32" t="s">
        <v>997</v>
      </c>
      <c r="O137" s="31">
        <f>23000</f>
        <v>23000</v>
      </c>
      <c r="P137" s="32" t="s">
        <v>1003</v>
      </c>
      <c r="Q137" s="31">
        <f>24640</f>
        <v>24640</v>
      </c>
      <c r="R137" s="32" t="s">
        <v>997</v>
      </c>
      <c r="S137" s="33">
        <f>23978.25</f>
        <v>23978.25</v>
      </c>
      <c r="T137" s="30">
        <f>1377</f>
        <v>1377</v>
      </c>
      <c r="U137" s="30" t="str">
        <f>"－"</f>
        <v>－</v>
      </c>
      <c r="V137" s="30">
        <f>33219415</f>
        <v>33219415</v>
      </c>
      <c r="W137" s="30" t="str">
        <f>"－"</f>
        <v>－</v>
      </c>
      <c r="X137" s="34">
        <f>20</f>
        <v>20</v>
      </c>
    </row>
    <row r="138" spans="1:24" ht="13.5" customHeight="1" x14ac:dyDescent="0.15">
      <c r="A138" s="25" t="s">
        <v>1032</v>
      </c>
      <c r="B138" s="25" t="s">
        <v>441</v>
      </c>
      <c r="C138" s="25" t="s">
        <v>442</v>
      </c>
      <c r="D138" s="25" t="s">
        <v>443</v>
      </c>
      <c r="E138" s="26" t="s">
        <v>45</v>
      </c>
      <c r="F138" s="27" t="s">
        <v>45</v>
      </c>
      <c r="G138" s="28" t="s">
        <v>45</v>
      </c>
      <c r="H138" s="29"/>
      <c r="I138" s="29" t="s">
        <v>46</v>
      </c>
      <c r="J138" s="30">
        <v>1</v>
      </c>
      <c r="K138" s="31">
        <f>10425</f>
        <v>10425</v>
      </c>
      <c r="L138" s="32" t="s">
        <v>996</v>
      </c>
      <c r="M138" s="31">
        <f>11090</f>
        <v>11090</v>
      </c>
      <c r="N138" s="32" t="s">
        <v>80</v>
      </c>
      <c r="O138" s="31">
        <f>10300</f>
        <v>10300</v>
      </c>
      <c r="P138" s="32" t="s">
        <v>78</v>
      </c>
      <c r="Q138" s="31">
        <f>10730</f>
        <v>10730</v>
      </c>
      <c r="R138" s="32" t="s">
        <v>997</v>
      </c>
      <c r="S138" s="33">
        <f>10660.25</f>
        <v>10660.25</v>
      </c>
      <c r="T138" s="30">
        <f>51903</f>
        <v>51903</v>
      </c>
      <c r="U138" s="30">
        <f>2949</f>
        <v>2949</v>
      </c>
      <c r="V138" s="30">
        <f>556700485</f>
        <v>556700485</v>
      </c>
      <c r="W138" s="30">
        <f>31796050</f>
        <v>31796050</v>
      </c>
      <c r="X138" s="34">
        <f>20</f>
        <v>20</v>
      </c>
    </row>
    <row r="139" spans="1:24" ht="13.5" customHeight="1" x14ac:dyDescent="0.15">
      <c r="A139" s="25" t="s">
        <v>1032</v>
      </c>
      <c r="B139" s="25" t="s">
        <v>444</v>
      </c>
      <c r="C139" s="25" t="s">
        <v>445</v>
      </c>
      <c r="D139" s="25" t="s">
        <v>446</v>
      </c>
      <c r="E139" s="26" t="s">
        <v>45</v>
      </c>
      <c r="F139" s="27" t="s">
        <v>45</v>
      </c>
      <c r="G139" s="28" t="s">
        <v>45</v>
      </c>
      <c r="H139" s="29"/>
      <c r="I139" s="29" t="s">
        <v>46</v>
      </c>
      <c r="J139" s="30">
        <v>1</v>
      </c>
      <c r="K139" s="31">
        <f>15190</f>
        <v>15190</v>
      </c>
      <c r="L139" s="32" t="s">
        <v>996</v>
      </c>
      <c r="M139" s="31">
        <f>15810</f>
        <v>15810</v>
      </c>
      <c r="N139" s="32" t="s">
        <v>80</v>
      </c>
      <c r="O139" s="31">
        <f>14850</f>
        <v>14850</v>
      </c>
      <c r="P139" s="32" t="s">
        <v>78</v>
      </c>
      <c r="Q139" s="31">
        <f>15610</f>
        <v>15610</v>
      </c>
      <c r="R139" s="32" t="s">
        <v>997</v>
      </c>
      <c r="S139" s="33">
        <f>15371.25</f>
        <v>15371.25</v>
      </c>
      <c r="T139" s="30">
        <f>5328</f>
        <v>5328</v>
      </c>
      <c r="U139" s="30" t="str">
        <f>"－"</f>
        <v>－</v>
      </c>
      <c r="V139" s="30">
        <f>81421415</f>
        <v>81421415</v>
      </c>
      <c r="W139" s="30" t="str">
        <f>"－"</f>
        <v>－</v>
      </c>
      <c r="X139" s="34">
        <f>20</f>
        <v>20</v>
      </c>
    </row>
    <row r="140" spans="1:24" ht="13.5" customHeight="1" x14ac:dyDescent="0.15">
      <c r="A140" s="25" t="s">
        <v>1032</v>
      </c>
      <c r="B140" s="25" t="s">
        <v>447</v>
      </c>
      <c r="C140" s="25" t="s">
        <v>448</v>
      </c>
      <c r="D140" s="25" t="s">
        <v>449</v>
      </c>
      <c r="E140" s="26" t="s">
        <v>45</v>
      </c>
      <c r="F140" s="27" t="s">
        <v>45</v>
      </c>
      <c r="G140" s="28" t="s">
        <v>45</v>
      </c>
      <c r="H140" s="29"/>
      <c r="I140" s="29" t="s">
        <v>46</v>
      </c>
      <c r="J140" s="30">
        <v>1</v>
      </c>
      <c r="K140" s="31">
        <f>28255</f>
        <v>28255</v>
      </c>
      <c r="L140" s="32" t="s">
        <v>996</v>
      </c>
      <c r="M140" s="31">
        <f>29585</f>
        <v>29585</v>
      </c>
      <c r="N140" s="32" t="s">
        <v>997</v>
      </c>
      <c r="O140" s="31">
        <f>27685</f>
        <v>27685</v>
      </c>
      <c r="P140" s="32" t="s">
        <v>78</v>
      </c>
      <c r="Q140" s="31">
        <f>29580</f>
        <v>29580</v>
      </c>
      <c r="R140" s="32" t="s">
        <v>997</v>
      </c>
      <c r="S140" s="33">
        <f>28544.5</f>
        <v>28544.5</v>
      </c>
      <c r="T140" s="30">
        <f>1385</f>
        <v>1385</v>
      </c>
      <c r="U140" s="30" t="str">
        <f>"－"</f>
        <v>－</v>
      </c>
      <c r="V140" s="30">
        <f>39709310</f>
        <v>39709310</v>
      </c>
      <c r="W140" s="30" t="str">
        <f>"－"</f>
        <v>－</v>
      </c>
      <c r="X140" s="34">
        <f>20</f>
        <v>20</v>
      </c>
    </row>
    <row r="141" spans="1:24" ht="13.5" customHeight="1" x14ac:dyDescent="0.15">
      <c r="A141" s="25" t="s">
        <v>1032</v>
      </c>
      <c r="B141" s="25" t="s">
        <v>450</v>
      </c>
      <c r="C141" s="25" t="s">
        <v>1063</v>
      </c>
      <c r="D141" s="25" t="s">
        <v>1064</v>
      </c>
      <c r="E141" s="26" t="s">
        <v>45</v>
      </c>
      <c r="F141" s="27" t="s">
        <v>45</v>
      </c>
      <c r="G141" s="28" t="s">
        <v>45</v>
      </c>
      <c r="H141" s="29"/>
      <c r="I141" s="29" t="s">
        <v>46</v>
      </c>
      <c r="J141" s="30">
        <v>10</v>
      </c>
      <c r="K141" s="31">
        <f>1334</f>
        <v>1334</v>
      </c>
      <c r="L141" s="32" t="s">
        <v>996</v>
      </c>
      <c r="M141" s="31">
        <f>1383.5</f>
        <v>1383.5</v>
      </c>
      <c r="N141" s="32" t="s">
        <v>997</v>
      </c>
      <c r="O141" s="31">
        <f>1311</f>
        <v>1311</v>
      </c>
      <c r="P141" s="32" t="s">
        <v>78</v>
      </c>
      <c r="Q141" s="31">
        <f>1382.5</f>
        <v>1382.5</v>
      </c>
      <c r="R141" s="32" t="s">
        <v>997</v>
      </c>
      <c r="S141" s="33">
        <f>1352.63</f>
        <v>1352.63</v>
      </c>
      <c r="T141" s="30">
        <f>1624270</f>
        <v>1624270</v>
      </c>
      <c r="U141" s="30">
        <f>1195680</f>
        <v>1195680</v>
      </c>
      <c r="V141" s="30">
        <f>2197775139</f>
        <v>2197775139</v>
      </c>
      <c r="W141" s="30">
        <f>1617804439</f>
        <v>1617804439</v>
      </c>
      <c r="X141" s="34">
        <f>20</f>
        <v>20</v>
      </c>
    </row>
    <row r="142" spans="1:24" ht="13.5" customHeight="1" x14ac:dyDescent="0.15">
      <c r="A142" s="25" t="s">
        <v>1032</v>
      </c>
      <c r="B142" s="25" t="s">
        <v>453</v>
      </c>
      <c r="C142" s="25" t="s">
        <v>1065</v>
      </c>
      <c r="D142" s="25" t="s">
        <v>1066</v>
      </c>
      <c r="E142" s="26" t="s">
        <v>45</v>
      </c>
      <c r="F142" s="27" t="s">
        <v>45</v>
      </c>
      <c r="G142" s="28" t="s">
        <v>45</v>
      </c>
      <c r="H142" s="29"/>
      <c r="I142" s="29" t="s">
        <v>46</v>
      </c>
      <c r="J142" s="30">
        <v>10</v>
      </c>
      <c r="K142" s="31">
        <f>2281.5</f>
        <v>2281.5</v>
      </c>
      <c r="L142" s="32" t="s">
        <v>1003</v>
      </c>
      <c r="M142" s="31">
        <f>2405</f>
        <v>2405</v>
      </c>
      <c r="N142" s="32" t="s">
        <v>997</v>
      </c>
      <c r="O142" s="31">
        <f>2281.5</f>
        <v>2281.5</v>
      </c>
      <c r="P142" s="32" t="s">
        <v>1003</v>
      </c>
      <c r="Q142" s="31">
        <f>2405</f>
        <v>2405</v>
      </c>
      <c r="R142" s="32" t="s">
        <v>997</v>
      </c>
      <c r="S142" s="33">
        <f>2352</f>
        <v>2352</v>
      </c>
      <c r="T142" s="30">
        <f>510</f>
        <v>510</v>
      </c>
      <c r="U142" s="30" t="str">
        <f>"－"</f>
        <v>－</v>
      </c>
      <c r="V142" s="30">
        <f>1203615</f>
        <v>1203615</v>
      </c>
      <c r="W142" s="30" t="str">
        <f>"－"</f>
        <v>－</v>
      </c>
      <c r="X142" s="34">
        <f>4</f>
        <v>4</v>
      </c>
    </row>
    <row r="143" spans="1:24" ht="13.5" customHeight="1" x14ac:dyDescent="0.15">
      <c r="A143" s="25" t="s">
        <v>1032</v>
      </c>
      <c r="B143" s="25" t="s">
        <v>456</v>
      </c>
      <c r="C143" s="25" t="s">
        <v>1067</v>
      </c>
      <c r="D143" s="25" t="s">
        <v>1068</v>
      </c>
      <c r="E143" s="26" t="s">
        <v>45</v>
      </c>
      <c r="F143" s="27" t="s">
        <v>45</v>
      </c>
      <c r="G143" s="28" t="s">
        <v>45</v>
      </c>
      <c r="H143" s="29"/>
      <c r="I143" s="29" t="s">
        <v>46</v>
      </c>
      <c r="J143" s="30">
        <v>10</v>
      </c>
      <c r="K143" s="31">
        <f>2562</f>
        <v>2562</v>
      </c>
      <c r="L143" s="32" t="s">
        <v>785</v>
      </c>
      <c r="M143" s="31">
        <f>2610</f>
        <v>2610</v>
      </c>
      <c r="N143" s="32" t="s">
        <v>997</v>
      </c>
      <c r="O143" s="31">
        <f>2487.5</f>
        <v>2487.5</v>
      </c>
      <c r="P143" s="32" t="s">
        <v>78</v>
      </c>
      <c r="Q143" s="31">
        <f>2604</f>
        <v>2604</v>
      </c>
      <c r="R143" s="32" t="s">
        <v>997</v>
      </c>
      <c r="S143" s="33">
        <f>2560.96</f>
        <v>2560.96</v>
      </c>
      <c r="T143" s="30">
        <f>181060</f>
        <v>181060</v>
      </c>
      <c r="U143" s="30">
        <f>131930</f>
        <v>131930</v>
      </c>
      <c r="V143" s="30">
        <f>467207705</f>
        <v>467207705</v>
      </c>
      <c r="W143" s="30">
        <f>341380820</f>
        <v>341380820</v>
      </c>
      <c r="X143" s="34">
        <f>12</f>
        <v>12</v>
      </c>
    </row>
    <row r="144" spans="1:24" ht="13.5" customHeight="1" x14ac:dyDescent="0.15">
      <c r="A144" s="25" t="s">
        <v>1032</v>
      </c>
      <c r="B144" s="25" t="s">
        <v>459</v>
      </c>
      <c r="C144" s="25" t="s">
        <v>1069</v>
      </c>
      <c r="D144" s="25" t="s">
        <v>1070</v>
      </c>
      <c r="E144" s="26" t="s">
        <v>45</v>
      </c>
      <c r="F144" s="27" t="s">
        <v>45</v>
      </c>
      <c r="G144" s="28" t="s">
        <v>45</v>
      </c>
      <c r="H144" s="29"/>
      <c r="I144" s="29" t="s">
        <v>46</v>
      </c>
      <c r="J144" s="30">
        <v>10</v>
      </c>
      <c r="K144" s="31">
        <f>1596</f>
        <v>1596</v>
      </c>
      <c r="L144" s="32" t="s">
        <v>996</v>
      </c>
      <c r="M144" s="31">
        <f>1621</f>
        <v>1621</v>
      </c>
      <c r="N144" s="32" t="s">
        <v>80</v>
      </c>
      <c r="O144" s="31">
        <f>1559</f>
        <v>1559</v>
      </c>
      <c r="P144" s="32" t="s">
        <v>1003</v>
      </c>
      <c r="Q144" s="31">
        <f>1609.5</f>
        <v>1609.5</v>
      </c>
      <c r="R144" s="32" t="s">
        <v>786</v>
      </c>
      <c r="S144" s="33">
        <f>1599.05</f>
        <v>1599.05</v>
      </c>
      <c r="T144" s="30">
        <f>339210</f>
        <v>339210</v>
      </c>
      <c r="U144" s="30">
        <f>297000</f>
        <v>297000</v>
      </c>
      <c r="V144" s="30">
        <f>542929100</f>
        <v>542929100</v>
      </c>
      <c r="W144" s="30">
        <f>475188820</f>
        <v>475188820</v>
      </c>
      <c r="X144" s="34">
        <f>11</f>
        <v>11</v>
      </c>
    </row>
    <row r="145" spans="1:24" ht="13.5" customHeight="1" x14ac:dyDescent="0.15">
      <c r="A145" s="25" t="s">
        <v>1032</v>
      </c>
      <c r="B145" s="25" t="s">
        <v>462</v>
      </c>
      <c r="C145" s="25" t="s">
        <v>463</v>
      </c>
      <c r="D145" s="25" t="s">
        <v>464</v>
      </c>
      <c r="E145" s="26" t="s">
        <v>45</v>
      </c>
      <c r="F145" s="27" t="s">
        <v>45</v>
      </c>
      <c r="G145" s="28" t="s">
        <v>45</v>
      </c>
      <c r="H145" s="29"/>
      <c r="I145" s="29" t="s">
        <v>46</v>
      </c>
      <c r="J145" s="30">
        <v>10</v>
      </c>
      <c r="K145" s="31">
        <f>393.1</f>
        <v>393.1</v>
      </c>
      <c r="L145" s="32" t="s">
        <v>996</v>
      </c>
      <c r="M145" s="31">
        <f>402.6</f>
        <v>402.6</v>
      </c>
      <c r="N145" s="32" t="s">
        <v>80</v>
      </c>
      <c r="O145" s="31">
        <f>384</f>
        <v>384</v>
      </c>
      <c r="P145" s="32" t="s">
        <v>78</v>
      </c>
      <c r="Q145" s="31">
        <f>401.5</f>
        <v>401.5</v>
      </c>
      <c r="R145" s="32" t="s">
        <v>997</v>
      </c>
      <c r="S145" s="33">
        <f>395.08</f>
        <v>395.08</v>
      </c>
      <c r="T145" s="30">
        <f>45228920</f>
        <v>45228920</v>
      </c>
      <c r="U145" s="30">
        <f>475600</f>
        <v>475600</v>
      </c>
      <c r="V145" s="30">
        <f>17876560845</f>
        <v>17876560845</v>
      </c>
      <c r="W145" s="30">
        <f>187448570</f>
        <v>187448570</v>
      </c>
      <c r="X145" s="34">
        <f>20</f>
        <v>20</v>
      </c>
    </row>
    <row r="146" spans="1:24" ht="13.5" customHeight="1" x14ac:dyDescent="0.15">
      <c r="A146" s="25" t="s">
        <v>1032</v>
      </c>
      <c r="B146" s="25" t="s">
        <v>465</v>
      </c>
      <c r="C146" s="25" t="s">
        <v>466</v>
      </c>
      <c r="D146" s="25" t="s">
        <v>467</v>
      </c>
      <c r="E146" s="26" t="s">
        <v>45</v>
      </c>
      <c r="F146" s="27" t="s">
        <v>45</v>
      </c>
      <c r="G146" s="28" t="s">
        <v>45</v>
      </c>
      <c r="H146" s="29"/>
      <c r="I146" s="29" t="s">
        <v>46</v>
      </c>
      <c r="J146" s="30">
        <v>10</v>
      </c>
      <c r="K146" s="31">
        <f>273.7</f>
        <v>273.7</v>
      </c>
      <c r="L146" s="32" t="s">
        <v>996</v>
      </c>
      <c r="M146" s="31">
        <f>277.5</f>
        <v>277.5</v>
      </c>
      <c r="N146" s="32" t="s">
        <v>997</v>
      </c>
      <c r="O146" s="31">
        <f>272.4</f>
        <v>272.39999999999998</v>
      </c>
      <c r="P146" s="32" t="s">
        <v>996</v>
      </c>
      <c r="Q146" s="31">
        <f>277.5</f>
        <v>277.5</v>
      </c>
      <c r="R146" s="32" t="s">
        <v>997</v>
      </c>
      <c r="S146" s="33">
        <f>274.61</f>
        <v>274.61</v>
      </c>
      <c r="T146" s="30">
        <f>20670460</f>
        <v>20670460</v>
      </c>
      <c r="U146" s="30">
        <f>19713120</f>
        <v>19713120</v>
      </c>
      <c r="V146" s="30">
        <f>5682665353</f>
        <v>5682665353</v>
      </c>
      <c r="W146" s="30">
        <f>5420220261</f>
        <v>5420220261</v>
      </c>
      <c r="X146" s="34">
        <f>20</f>
        <v>20</v>
      </c>
    </row>
    <row r="147" spans="1:24" ht="13.5" customHeight="1" x14ac:dyDescent="0.15">
      <c r="A147" s="25" t="s">
        <v>1032</v>
      </c>
      <c r="B147" s="25" t="s">
        <v>468</v>
      </c>
      <c r="C147" s="25" t="s">
        <v>469</v>
      </c>
      <c r="D147" s="25" t="s">
        <v>470</v>
      </c>
      <c r="E147" s="26" t="s">
        <v>45</v>
      </c>
      <c r="F147" s="27" t="s">
        <v>45</v>
      </c>
      <c r="G147" s="28" t="s">
        <v>45</v>
      </c>
      <c r="H147" s="29"/>
      <c r="I147" s="29" t="s">
        <v>46</v>
      </c>
      <c r="J147" s="30">
        <v>1</v>
      </c>
      <c r="K147" s="31">
        <f>3450</f>
        <v>3450</v>
      </c>
      <c r="L147" s="32" t="s">
        <v>996</v>
      </c>
      <c r="M147" s="31">
        <f>3555</f>
        <v>3555</v>
      </c>
      <c r="N147" s="32" t="s">
        <v>80</v>
      </c>
      <c r="O147" s="31">
        <f>3380</f>
        <v>3380</v>
      </c>
      <c r="P147" s="32" t="s">
        <v>78</v>
      </c>
      <c r="Q147" s="31">
        <f>3550</f>
        <v>3550</v>
      </c>
      <c r="R147" s="32" t="s">
        <v>997</v>
      </c>
      <c r="S147" s="33">
        <f>3486</f>
        <v>3486</v>
      </c>
      <c r="T147" s="30">
        <f>38088</f>
        <v>38088</v>
      </c>
      <c r="U147" s="30">
        <f>2440</f>
        <v>2440</v>
      </c>
      <c r="V147" s="30">
        <f>132986658</f>
        <v>132986658</v>
      </c>
      <c r="W147" s="30">
        <f>8536388</f>
        <v>8536388</v>
      </c>
      <c r="X147" s="34">
        <f>20</f>
        <v>20</v>
      </c>
    </row>
    <row r="148" spans="1:24" ht="13.5" customHeight="1" x14ac:dyDescent="0.15">
      <c r="A148" s="25" t="s">
        <v>1032</v>
      </c>
      <c r="B148" s="25" t="s">
        <v>471</v>
      </c>
      <c r="C148" s="25" t="s">
        <v>472</v>
      </c>
      <c r="D148" s="25" t="s">
        <v>473</v>
      </c>
      <c r="E148" s="26" t="s">
        <v>45</v>
      </c>
      <c r="F148" s="27" t="s">
        <v>45</v>
      </c>
      <c r="G148" s="28" t="s">
        <v>45</v>
      </c>
      <c r="H148" s="29"/>
      <c r="I148" s="29" t="s">
        <v>46</v>
      </c>
      <c r="J148" s="30">
        <v>1</v>
      </c>
      <c r="K148" s="31">
        <f>2177</f>
        <v>2177</v>
      </c>
      <c r="L148" s="32" t="s">
        <v>996</v>
      </c>
      <c r="M148" s="31">
        <f>2235</f>
        <v>2235</v>
      </c>
      <c r="N148" s="32" t="s">
        <v>788</v>
      </c>
      <c r="O148" s="31">
        <f>2113</f>
        <v>2113</v>
      </c>
      <c r="P148" s="32" t="s">
        <v>78</v>
      </c>
      <c r="Q148" s="31">
        <f>2160</f>
        <v>2160</v>
      </c>
      <c r="R148" s="32" t="s">
        <v>997</v>
      </c>
      <c r="S148" s="33">
        <f>2176.8</f>
        <v>2176.8000000000002</v>
      </c>
      <c r="T148" s="30">
        <f>68697</f>
        <v>68697</v>
      </c>
      <c r="U148" s="30">
        <f>4682</f>
        <v>4682</v>
      </c>
      <c r="V148" s="30">
        <f>149102468</f>
        <v>149102468</v>
      </c>
      <c r="W148" s="30">
        <f>9990919</f>
        <v>9990919</v>
      </c>
      <c r="X148" s="34">
        <f>20</f>
        <v>20</v>
      </c>
    </row>
    <row r="149" spans="1:24" ht="13.5" customHeight="1" x14ac:dyDescent="0.15">
      <c r="A149" s="25" t="s">
        <v>1032</v>
      </c>
      <c r="B149" s="25" t="s">
        <v>474</v>
      </c>
      <c r="C149" s="25" t="s">
        <v>475</v>
      </c>
      <c r="D149" s="25" t="s">
        <v>476</v>
      </c>
      <c r="E149" s="26" t="s">
        <v>45</v>
      </c>
      <c r="F149" s="27" t="s">
        <v>45</v>
      </c>
      <c r="G149" s="28" t="s">
        <v>45</v>
      </c>
      <c r="H149" s="29"/>
      <c r="I149" s="29" t="s">
        <v>46</v>
      </c>
      <c r="J149" s="30">
        <v>1</v>
      </c>
      <c r="K149" s="31">
        <f>2491</f>
        <v>2491</v>
      </c>
      <c r="L149" s="32" t="s">
        <v>996</v>
      </c>
      <c r="M149" s="31">
        <f>2524</f>
        <v>2524</v>
      </c>
      <c r="N149" s="32" t="s">
        <v>80</v>
      </c>
      <c r="O149" s="31">
        <f>2411</f>
        <v>2411</v>
      </c>
      <c r="P149" s="32" t="s">
        <v>78</v>
      </c>
      <c r="Q149" s="31">
        <f>2507</f>
        <v>2507</v>
      </c>
      <c r="R149" s="32" t="s">
        <v>997</v>
      </c>
      <c r="S149" s="33">
        <f>2476.15</f>
        <v>2476.15</v>
      </c>
      <c r="T149" s="30">
        <f>136440</f>
        <v>136440</v>
      </c>
      <c r="U149" s="30" t="str">
        <f>"－"</f>
        <v>－</v>
      </c>
      <c r="V149" s="30">
        <f>338009427</f>
        <v>338009427</v>
      </c>
      <c r="W149" s="30" t="str">
        <f>"－"</f>
        <v>－</v>
      </c>
      <c r="X149" s="34">
        <f>20</f>
        <v>20</v>
      </c>
    </row>
    <row r="150" spans="1:24" ht="13.5" customHeight="1" x14ac:dyDescent="0.15">
      <c r="A150" s="25" t="s">
        <v>1032</v>
      </c>
      <c r="B150" s="25" t="s">
        <v>477</v>
      </c>
      <c r="C150" s="25" t="s">
        <v>478</v>
      </c>
      <c r="D150" s="25" t="s">
        <v>479</v>
      </c>
      <c r="E150" s="26" t="s">
        <v>45</v>
      </c>
      <c r="F150" s="27" t="s">
        <v>45</v>
      </c>
      <c r="G150" s="28" t="s">
        <v>45</v>
      </c>
      <c r="H150" s="29"/>
      <c r="I150" s="29" t="s">
        <v>46</v>
      </c>
      <c r="J150" s="30">
        <v>1</v>
      </c>
      <c r="K150" s="31">
        <f>10235</f>
        <v>10235</v>
      </c>
      <c r="L150" s="32" t="s">
        <v>996</v>
      </c>
      <c r="M150" s="31">
        <f>10535</f>
        <v>10535</v>
      </c>
      <c r="N150" s="32" t="s">
        <v>996</v>
      </c>
      <c r="O150" s="31">
        <f>10085</f>
        <v>10085</v>
      </c>
      <c r="P150" s="32" t="s">
        <v>56</v>
      </c>
      <c r="Q150" s="31">
        <f>10440</f>
        <v>10440</v>
      </c>
      <c r="R150" s="32" t="s">
        <v>997</v>
      </c>
      <c r="S150" s="33">
        <f>10277.25</f>
        <v>10277.25</v>
      </c>
      <c r="T150" s="30">
        <f>92226</f>
        <v>92226</v>
      </c>
      <c r="U150" s="30">
        <f>62038</f>
        <v>62038</v>
      </c>
      <c r="V150" s="30">
        <f>946043232</f>
        <v>946043232</v>
      </c>
      <c r="W150" s="30">
        <f>635548122</f>
        <v>635548122</v>
      </c>
      <c r="X150" s="34">
        <f>20</f>
        <v>20</v>
      </c>
    </row>
    <row r="151" spans="1:24" ht="13.5" customHeight="1" x14ac:dyDescent="0.15">
      <c r="A151" s="25" t="s">
        <v>1032</v>
      </c>
      <c r="B151" s="25" t="s">
        <v>480</v>
      </c>
      <c r="C151" s="25" t="s">
        <v>481</v>
      </c>
      <c r="D151" s="25" t="s">
        <v>482</v>
      </c>
      <c r="E151" s="26" t="s">
        <v>45</v>
      </c>
      <c r="F151" s="27" t="s">
        <v>45</v>
      </c>
      <c r="G151" s="28" t="s">
        <v>45</v>
      </c>
      <c r="H151" s="29"/>
      <c r="I151" s="29" t="s">
        <v>46</v>
      </c>
      <c r="J151" s="30">
        <v>1</v>
      </c>
      <c r="K151" s="31">
        <f>2569</f>
        <v>2569</v>
      </c>
      <c r="L151" s="32" t="s">
        <v>996</v>
      </c>
      <c r="M151" s="31">
        <f>2669</f>
        <v>2669</v>
      </c>
      <c r="N151" s="32" t="s">
        <v>56</v>
      </c>
      <c r="O151" s="31">
        <f>2398</f>
        <v>2398</v>
      </c>
      <c r="P151" s="32" t="s">
        <v>255</v>
      </c>
      <c r="Q151" s="31">
        <f>2452</f>
        <v>2452</v>
      </c>
      <c r="R151" s="32" t="s">
        <v>997</v>
      </c>
      <c r="S151" s="33">
        <f>2559.9</f>
        <v>2559.9</v>
      </c>
      <c r="T151" s="30">
        <f>6940108</f>
        <v>6940108</v>
      </c>
      <c r="U151" s="30" t="str">
        <f t="shared" ref="U151:U156" si="4">"－"</f>
        <v>－</v>
      </c>
      <c r="V151" s="30">
        <f>17729563836</f>
        <v>17729563836</v>
      </c>
      <c r="W151" s="30" t="str">
        <f t="shared" ref="W151:W156" si="5">"－"</f>
        <v>－</v>
      </c>
      <c r="X151" s="34">
        <f>20</f>
        <v>20</v>
      </c>
    </row>
    <row r="152" spans="1:24" ht="13.5" customHeight="1" x14ac:dyDescent="0.15">
      <c r="A152" s="25" t="s">
        <v>1032</v>
      </c>
      <c r="B152" s="25" t="s">
        <v>483</v>
      </c>
      <c r="C152" s="25" t="s">
        <v>484</v>
      </c>
      <c r="D152" s="25" t="s">
        <v>485</v>
      </c>
      <c r="E152" s="26" t="s">
        <v>45</v>
      </c>
      <c r="F152" s="27" t="s">
        <v>45</v>
      </c>
      <c r="G152" s="28" t="s">
        <v>45</v>
      </c>
      <c r="H152" s="29"/>
      <c r="I152" s="29" t="s">
        <v>46</v>
      </c>
      <c r="J152" s="30">
        <v>1</v>
      </c>
      <c r="K152" s="31">
        <f>24545</f>
        <v>24545</v>
      </c>
      <c r="L152" s="32" t="s">
        <v>996</v>
      </c>
      <c r="M152" s="31">
        <f>27315</f>
        <v>27315</v>
      </c>
      <c r="N152" s="32" t="s">
        <v>1003</v>
      </c>
      <c r="O152" s="31">
        <f>24455</f>
        <v>24455</v>
      </c>
      <c r="P152" s="32" t="s">
        <v>996</v>
      </c>
      <c r="Q152" s="31">
        <f>25150</f>
        <v>25150</v>
      </c>
      <c r="R152" s="32" t="s">
        <v>997</v>
      </c>
      <c r="S152" s="33">
        <f>25110.5</f>
        <v>25110.5</v>
      </c>
      <c r="T152" s="30">
        <f>5650</f>
        <v>5650</v>
      </c>
      <c r="U152" s="30" t="str">
        <f t="shared" si="4"/>
        <v>－</v>
      </c>
      <c r="V152" s="30">
        <f>142331415</f>
        <v>142331415</v>
      </c>
      <c r="W152" s="30" t="str">
        <f t="shared" si="5"/>
        <v>－</v>
      </c>
      <c r="X152" s="34">
        <f>20</f>
        <v>20</v>
      </c>
    </row>
    <row r="153" spans="1:24" ht="13.5" customHeight="1" x14ac:dyDescent="0.15">
      <c r="A153" s="25" t="s">
        <v>1032</v>
      </c>
      <c r="B153" s="25" t="s">
        <v>486</v>
      </c>
      <c r="C153" s="25" t="s">
        <v>487</v>
      </c>
      <c r="D153" s="25" t="s">
        <v>488</v>
      </c>
      <c r="E153" s="26" t="s">
        <v>45</v>
      </c>
      <c r="F153" s="27" t="s">
        <v>45</v>
      </c>
      <c r="G153" s="28" t="s">
        <v>45</v>
      </c>
      <c r="H153" s="29"/>
      <c r="I153" s="29" t="s">
        <v>46</v>
      </c>
      <c r="J153" s="30">
        <v>10</v>
      </c>
      <c r="K153" s="31">
        <f>2932.5</f>
        <v>2932.5</v>
      </c>
      <c r="L153" s="32" t="s">
        <v>996</v>
      </c>
      <c r="M153" s="31">
        <f>3190</f>
        <v>3190</v>
      </c>
      <c r="N153" s="32" t="s">
        <v>1005</v>
      </c>
      <c r="O153" s="31">
        <f>2871.5</f>
        <v>2871.5</v>
      </c>
      <c r="P153" s="32" t="s">
        <v>1003</v>
      </c>
      <c r="Q153" s="31">
        <f>3126</f>
        <v>3126</v>
      </c>
      <c r="R153" s="32" t="s">
        <v>997</v>
      </c>
      <c r="S153" s="33">
        <f>3077.93</f>
        <v>3077.93</v>
      </c>
      <c r="T153" s="30">
        <f>37320</f>
        <v>37320</v>
      </c>
      <c r="U153" s="30" t="str">
        <f t="shared" si="4"/>
        <v>－</v>
      </c>
      <c r="V153" s="30">
        <f>114707205</f>
        <v>114707205</v>
      </c>
      <c r="W153" s="30" t="str">
        <f t="shared" si="5"/>
        <v>－</v>
      </c>
      <c r="X153" s="34">
        <f>20</f>
        <v>20</v>
      </c>
    </row>
    <row r="154" spans="1:24" ht="13.5" customHeight="1" x14ac:dyDescent="0.15">
      <c r="A154" s="25" t="s">
        <v>1032</v>
      </c>
      <c r="B154" s="25" t="s">
        <v>489</v>
      </c>
      <c r="C154" s="25" t="s">
        <v>490</v>
      </c>
      <c r="D154" s="25" t="s">
        <v>491</v>
      </c>
      <c r="E154" s="26" t="s">
        <v>45</v>
      </c>
      <c r="F154" s="27" t="s">
        <v>45</v>
      </c>
      <c r="G154" s="28" t="s">
        <v>45</v>
      </c>
      <c r="H154" s="29"/>
      <c r="I154" s="29" t="s">
        <v>46</v>
      </c>
      <c r="J154" s="30">
        <v>1</v>
      </c>
      <c r="K154" s="31">
        <f>12435</f>
        <v>12435</v>
      </c>
      <c r="L154" s="32" t="s">
        <v>996</v>
      </c>
      <c r="M154" s="31">
        <f>13990</f>
        <v>13990</v>
      </c>
      <c r="N154" s="32" t="s">
        <v>793</v>
      </c>
      <c r="O154" s="31">
        <f>12010</f>
        <v>12010</v>
      </c>
      <c r="P154" s="32" t="s">
        <v>785</v>
      </c>
      <c r="Q154" s="31">
        <f>13405</f>
        <v>13405</v>
      </c>
      <c r="R154" s="32" t="s">
        <v>997</v>
      </c>
      <c r="S154" s="33">
        <f>12899.5</f>
        <v>12899.5</v>
      </c>
      <c r="T154" s="30">
        <f>4985</f>
        <v>4985</v>
      </c>
      <c r="U154" s="30" t="str">
        <f t="shared" si="4"/>
        <v>－</v>
      </c>
      <c r="V154" s="30">
        <f>64440065</f>
        <v>64440065</v>
      </c>
      <c r="W154" s="30" t="str">
        <f t="shared" si="5"/>
        <v>－</v>
      </c>
      <c r="X154" s="34">
        <f>20</f>
        <v>20</v>
      </c>
    </row>
    <row r="155" spans="1:24" ht="13.5" customHeight="1" x14ac:dyDescent="0.15">
      <c r="A155" s="25" t="s">
        <v>1032</v>
      </c>
      <c r="B155" s="25" t="s">
        <v>492</v>
      </c>
      <c r="C155" s="25" t="s">
        <v>493</v>
      </c>
      <c r="D155" s="25" t="s">
        <v>494</v>
      </c>
      <c r="E155" s="26" t="s">
        <v>45</v>
      </c>
      <c r="F155" s="27" t="s">
        <v>45</v>
      </c>
      <c r="G155" s="28" t="s">
        <v>45</v>
      </c>
      <c r="H155" s="29"/>
      <c r="I155" s="29" t="s">
        <v>46</v>
      </c>
      <c r="J155" s="30">
        <v>1</v>
      </c>
      <c r="K155" s="31">
        <f>18205</f>
        <v>18205</v>
      </c>
      <c r="L155" s="32" t="s">
        <v>996</v>
      </c>
      <c r="M155" s="31">
        <f>20795</f>
        <v>20795</v>
      </c>
      <c r="N155" s="32" t="s">
        <v>790</v>
      </c>
      <c r="O155" s="31">
        <f>18020</f>
        <v>18020</v>
      </c>
      <c r="P155" s="32" t="s">
        <v>996</v>
      </c>
      <c r="Q155" s="31">
        <f>18715</f>
        <v>18715</v>
      </c>
      <c r="R155" s="32" t="s">
        <v>997</v>
      </c>
      <c r="S155" s="33">
        <f>19003</f>
        <v>19003</v>
      </c>
      <c r="T155" s="30">
        <f>4022</f>
        <v>4022</v>
      </c>
      <c r="U155" s="30" t="str">
        <f t="shared" si="4"/>
        <v>－</v>
      </c>
      <c r="V155" s="30">
        <f>77944135</f>
        <v>77944135</v>
      </c>
      <c r="W155" s="30" t="str">
        <f t="shared" si="5"/>
        <v>－</v>
      </c>
      <c r="X155" s="34">
        <f>20</f>
        <v>20</v>
      </c>
    </row>
    <row r="156" spans="1:24" ht="13.5" customHeight="1" x14ac:dyDescent="0.15">
      <c r="A156" s="25" t="s">
        <v>1032</v>
      </c>
      <c r="B156" s="25" t="s">
        <v>495</v>
      </c>
      <c r="C156" s="25" t="s">
        <v>496</v>
      </c>
      <c r="D156" s="25" t="s">
        <v>497</v>
      </c>
      <c r="E156" s="26" t="s">
        <v>45</v>
      </c>
      <c r="F156" s="27" t="s">
        <v>45</v>
      </c>
      <c r="G156" s="28" t="s">
        <v>45</v>
      </c>
      <c r="H156" s="29"/>
      <c r="I156" s="29" t="s">
        <v>46</v>
      </c>
      <c r="J156" s="30">
        <v>1</v>
      </c>
      <c r="K156" s="31">
        <f>17700</f>
        <v>17700</v>
      </c>
      <c r="L156" s="32" t="s">
        <v>996</v>
      </c>
      <c r="M156" s="31">
        <f>19735</f>
        <v>19735</v>
      </c>
      <c r="N156" s="32" t="s">
        <v>998</v>
      </c>
      <c r="O156" s="31">
        <f>17700</f>
        <v>17700</v>
      </c>
      <c r="P156" s="32" t="s">
        <v>996</v>
      </c>
      <c r="Q156" s="31">
        <f>19080</f>
        <v>19080</v>
      </c>
      <c r="R156" s="32" t="s">
        <v>997</v>
      </c>
      <c r="S156" s="33">
        <f>18929.38</f>
        <v>18929.38</v>
      </c>
      <c r="T156" s="30">
        <f>617</f>
        <v>617</v>
      </c>
      <c r="U156" s="30" t="str">
        <f t="shared" si="4"/>
        <v>－</v>
      </c>
      <c r="V156" s="30">
        <f>11724655</f>
        <v>11724655</v>
      </c>
      <c r="W156" s="30" t="str">
        <f t="shared" si="5"/>
        <v>－</v>
      </c>
      <c r="X156" s="34">
        <f>16</f>
        <v>16</v>
      </c>
    </row>
    <row r="157" spans="1:24" ht="13.5" customHeight="1" x14ac:dyDescent="0.15">
      <c r="A157" s="25" t="s">
        <v>1032</v>
      </c>
      <c r="B157" s="25" t="s">
        <v>498</v>
      </c>
      <c r="C157" s="25" t="s">
        <v>499</v>
      </c>
      <c r="D157" s="25" t="s">
        <v>500</v>
      </c>
      <c r="E157" s="26" t="s">
        <v>45</v>
      </c>
      <c r="F157" s="27" t="s">
        <v>45</v>
      </c>
      <c r="G157" s="28" t="s">
        <v>45</v>
      </c>
      <c r="H157" s="29"/>
      <c r="I157" s="29" t="s">
        <v>46</v>
      </c>
      <c r="J157" s="30">
        <v>10</v>
      </c>
      <c r="K157" s="31">
        <f>49570</f>
        <v>49570</v>
      </c>
      <c r="L157" s="32" t="s">
        <v>996</v>
      </c>
      <c r="M157" s="31">
        <f>50200</f>
        <v>50200</v>
      </c>
      <c r="N157" s="32" t="s">
        <v>997</v>
      </c>
      <c r="O157" s="31">
        <f>49500</f>
        <v>49500</v>
      </c>
      <c r="P157" s="32" t="s">
        <v>996</v>
      </c>
      <c r="Q157" s="31">
        <f>50200</f>
        <v>50200</v>
      </c>
      <c r="R157" s="32" t="s">
        <v>997</v>
      </c>
      <c r="S157" s="33">
        <f>49870</f>
        <v>49870</v>
      </c>
      <c r="T157" s="30">
        <f>17030</f>
        <v>17030</v>
      </c>
      <c r="U157" s="30">
        <f>13000</f>
        <v>13000</v>
      </c>
      <c r="V157" s="30">
        <f>849372200</f>
        <v>849372200</v>
      </c>
      <c r="W157" s="30">
        <f>648801400</f>
        <v>648801400</v>
      </c>
      <c r="X157" s="34">
        <f>20</f>
        <v>20</v>
      </c>
    </row>
    <row r="158" spans="1:24" ht="13.5" customHeight="1" x14ac:dyDescent="0.15">
      <c r="A158" s="25" t="s">
        <v>1032</v>
      </c>
      <c r="B158" s="25" t="s">
        <v>501</v>
      </c>
      <c r="C158" s="25" t="s">
        <v>502</v>
      </c>
      <c r="D158" s="25" t="s">
        <v>503</v>
      </c>
      <c r="E158" s="26" t="s">
        <v>45</v>
      </c>
      <c r="F158" s="27" t="s">
        <v>45</v>
      </c>
      <c r="G158" s="28" t="s">
        <v>45</v>
      </c>
      <c r="H158" s="29"/>
      <c r="I158" s="29" t="s">
        <v>46</v>
      </c>
      <c r="J158" s="30">
        <v>100</v>
      </c>
      <c r="K158" s="31">
        <f>253.1</f>
        <v>253.1</v>
      </c>
      <c r="L158" s="32" t="s">
        <v>996</v>
      </c>
      <c r="M158" s="31">
        <f>265.4</f>
        <v>265.39999999999998</v>
      </c>
      <c r="N158" s="32" t="s">
        <v>997</v>
      </c>
      <c r="O158" s="31">
        <f>250.2</f>
        <v>250.2</v>
      </c>
      <c r="P158" s="32" t="s">
        <v>78</v>
      </c>
      <c r="Q158" s="31">
        <f>265.4</f>
        <v>265.39999999999998</v>
      </c>
      <c r="R158" s="32" t="s">
        <v>997</v>
      </c>
      <c r="S158" s="33">
        <f>257.77</f>
        <v>257.77</v>
      </c>
      <c r="T158" s="30">
        <f>10576700</f>
        <v>10576700</v>
      </c>
      <c r="U158" s="30">
        <f>400300</f>
        <v>400300</v>
      </c>
      <c r="V158" s="30">
        <f>2730302980</f>
        <v>2730302980</v>
      </c>
      <c r="W158" s="30">
        <f>104877700</f>
        <v>104877700</v>
      </c>
      <c r="X158" s="34">
        <f>20</f>
        <v>20</v>
      </c>
    </row>
    <row r="159" spans="1:24" ht="13.5" customHeight="1" x14ac:dyDescent="0.15">
      <c r="A159" s="25" t="s">
        <v>1032</v>
      </c>
      <c r="B159" s="25" t="s">
        <v>504</v>
      </c>
      <c r="C159" s="25" t="s">
        <v>505</v>
      </c>
      <c r="D159" s="25" t="s">
        <v>506</v>
      </c>
      <c r="E159" s="26" t="s">
        <v>45</v>
      </c>
      <c r="F159" s="27" t="s">
        <v>45</v>
      </c>
      <c r="G159" s="28" t="s">
        <v>45</v>
      </c>
      <c r="H159" s="29"/>
      <c r="I159" s="29" t="s">
        <v>46</v>
      </c>
      <c r="J159" s="30">
        <v>10</v>
      </c>
      <c r="K159" s="31">
        <f>37770</f>
        <v>37770</v>
      </c>
      <c r="L159" s="32" t="s">
        <v>996</v>
      </c>
      <c r="M159" s="31">
        <f>38940</f>
        <v>38940</v>
      </c>
      <c r="N159" s="32" t="s">
        <v>788</v>
      </c>
      <c r="O159" s="31">
        <f>37250</f>
        <v>37250</v>
      </c>
      <c r="P159" s="32" t="s">
        <v>78</v>
      </c>
      <c r="Q159" s="31">
        <f>38750</f>
        <v>38750</v>
      </c>
      <c r="R159" s="32" t="s">
        <v>997</v>
      </c>
      <c r="S159" s="33">
        <f>38191</f>
        <v>38191</v>
      </c>
      <c r="T159" s="30">
        <f>4920</f>
        <v>4920</v>
      </c>
      <c r="U159" s="30">
        <f>30</f>
        <v>30</v>
      </c>
      <c r="V159" s="30">
        <f>186960500</f>
        <v>186960500</v>
      </c>
      <c r="W159" s="30">
        <f>1141500</f>
        <v>1141500</v>
      </c>
      <c r="X159" s="34">
        <f>20</f>
        <v>20</v>
      </c>
    </row>
    <row r="160" spans="1:24" ht="13.5" customHeight="1" x14ac:dyDescent="0.15">
      <c r="A160" s="25" t="s">
        <v>1032</v>
      </c>
      <c r="B160" s="25" t="s">
        <v>507</v>
      </c>
      <c r="C160" s="25" t="s">
        <v>508</v>
      </c>
      <c r="D160" s="25" t="s">
        <v>509</v>
      </c>
      <c r="E160" s="26" t="s">
        <v>45</v>
      </c>
      <c r="F160" s="27" t="s">
        <v>45</v>
      </c>
      <c r="G160" s="28" t="s">
        <v>45</v>
      </c>
      <c r="H160" s="29"/>
      <c r="I160" s="29" t="s">
        <v>46</v>
      </c>
      <c r="J160" s="30">
        <v>10</v>
      </c>
      <c r="K160" s="31">
        <f>3924</f>
        <v>3924</v>
      </c>
      <c r="L160" s="32" t="s">
        <v>996</v>
      </c>
      <c r="M160" s="31">
        <f>4040</f>
        <v>4040</v>
      </c>
      <c r="N160" s="32" t="s">
        <v>80</v>
      </c>
      <c r="O160" s="31">
        <f>3847</f>
        <v>3847</v>
      </c>
      <c r="P160" s="32" t="s">
        <v>78</v>
      </c>
      <c r="Q160" s="31">
        <f>4027</f>
        <v>4027</v>
      </c>
      <c r="R160" s="32" t="s">
        <v>997</v>
      </c>
      <c r="S160" s="33">
        <f>3960.3</f>
        <v>3960.3</v>
      </c>
      <c r="T160" s="30">
        <f>45920</f>
        <v>45920</v>
      </c>
      <c r="U160" s="30">
        <f>120</f>
        <v>120</v>
      </c>
      <c r="V160" s="30">
        <f>182084830</f>
        <v>182084830</v>
      </c>
      <c r="W160" s="30">
        <f>479530</f>
        <v>479530</v>
      </c>
      <c r="X160" s="34">
        <f>20</f>
        <v>20</v>
      </c>
    </row>
    <row r="161" spans="1:24" ht="13.5" customHeight="1" x14ac:dyDescent="0.15">
      <c r="A161" s="25" t="s">
        <v>1032</v>
      </c>
      <c r="B161" s="25" t="s">
        <v>510</v>
      </c>
      <c r="C161" s="25" t="s">
        <v>511</v>
      </c>
      <c r="D161" s="25" t="s">
        <v>512</v>
      </c>
      <c r="E161" s="26" t="s">
        <v>45</v>
      </c>
      <c r="F161" s="27" t="s">
        <v>45</v>
      </c>
      <c r="G161" s="28" t="s">
        <v>45</v>
      </c>
      <c r="H161" s="29"/>
      <c r="I161" s="29" t="s">
        <v>46</v>
      </c>
      <c r="J161" s="30">
        <v>10</v>
      </c>
      <c r="K161" s="31">
        <f>1643</f>
        <v>1643</v>
      </c>
      <c r="L161" s="32" t="s">
        <v>996</v>
      </c>
      <c r="M161" s="31">
        <f>1689.5</f>
        <v>1689.5</v>
      </c>
      <c r="N161" s="32" t="s">
        <v>788</v>
      </c>
      <c r="O161" s="31">
        <f>1608</f>
        <v>1608</v>
      </c>
      <c r="P161" s="32" t="s">
        <v>786</v>
      </c>
      <c r="Q161" s="31">
        <f>1647</f>
        <v>1647</v>
      </c>
      <c r="R161" s="32" t="s">
        <v>997</v>
      </c>
      <c r="S161" s="33">
        <f>1649.23</f>
        <v>1649.23</v>
      </c>
      <c r="T161" s="30">
        <f>137430</f>
        <v>137430</v>
      </c>
      <c r="U161" s="30" t="str">
        <f t="shared" ref="U161:U167" si="6">"－"</f>
        <v>－</v>
      </c>
      <c r="V161" s="30">
        <f>224463725</f>
        <v>224463725</v>
      </c>
      <c r="W161" s="30" t="str">
        <f t="shared" ref="W161:W167" si="7">"－"</f>
        <v>－</v>
      </c>
      <c r="X161" s="34">
        <f>20</f>
        <v>20</v>
      </c>
    </row>
    <row r="162" spans="1:24" ht="13.5" customHeight="1" x14ac:dyDescent="0.15">
      <c r="A162" s="25" t="s">
        <v>1032</v>
      </c>
      <c r="B162" s="25" t="s">
        <v>513</v>
      </c>
      <c r="C162" s="25" t="s">
        <v>514</v>
      </c>
      <c r="D162" s="25" t="s">
        <v>515</v>
      </c>
      <c r="E162" s="26" t="s">
        <v>45</v>
      </c>
      <c r="F162" s="27" t="s">
        <v>45</v>
      </c>
      <c r="G162" s="28" t="s">
        <v>45</v>
      </c>
      <c r="H162" s="29"/>
      <c r="I162" s="29" t="s">
        <v>46</v>
      </c>
      <c r="J162" s="30">
        <v>100</v>
      </c>
      <c r="K162" s="31">
        <f>226.4</f>
        <v>226.4</v>
      </c>
      <c r="L162" s="32" t="s">
        <v>996</v>
      </c>
      <c r="M162" s="31">
        <f>262</f>
        <v>262</v>
      </c>
      <c r="N162" s="32" t="s">
        <v>793</v>
      </c>
      <c r="O162" s="31">
        <f>210</f>
        <v>210</v>
      </c>
      <c r="P162" s="32" t="s">
        <v>78</v>
      </c>
      <c r="Q162" s="31">
        <f>247</f>
        <v>247</v>
      </c>
      <c r="R162" s="32" t="s">
        <v>997</v>
      </c>
      <c r="S162" s="33">
        <f>236.32</f>
        <v>236.32</v>
      </c>
      <c r="T162" s="30">
        <f>287900</f>
        <v>287900</v>
      </c>
      <c r="U162" s="30" t="str">
        <f t="shared" si="6"/>
        <v>－</v>
      </c>
      <c r="V162" s="30">
        <f>69071220</f>
        <v>69071220</v>
      </c>
      <c r="W162" s="30" t="str">
        <f t="shared" si="7"/>
        <v>－</v>
      </c>
      <c r="X162" s="34">
        <f>20</f>
        <v>20</v>
      </c>
    </row>
    <row r="163" spans="1:24" ht="13.5" customHeight="1" x14ac:dyDescent="0.15">
      <c r="A163" s="25" t="s">
        <v>1032</v>
      </c>
      <c r="B163" s="25" t="s">
        <v>516</v>
      </c>
      <c r="C163" s="25" t="s">
        <v>517</v>
      </c>
      <c r="D163" s="25" t="s">
        <v>518</v>
      </c>
      <c r="E163" s="26" t="s">
        <v>45</v>
      </c>
      <c r="F163" s="27" t="s">
        <v>45</v>
      </c>
      <c r="G163" s="28" t="s">
        <v>45</v>
      </c>
      <c r="H163" s="29"/>
      <c r="I163" s="29" t="s">
        <v>46</v>
      </c>
      <c r="J163" s="30">
        <v>10</v>
      </c>
      <c r="K163" s="31">
        <f>1499.5</f>
        <v>1499.5</v>
      </c>
      <c r="L163" s="32" t="s">
        <v>996</v>
      </c>
      <c r="M163" s="31">
        <f>1521</f>
        <v>1521</v>
      </c>
      <c r="N163" s="32" t="s">
        <v>56</v>
      </c>
      <c r="O163" s="31">
        <f>1445</f>
        <v>1445</v>
      </c>
      <c r="P163" s="32" t="s">
        <v>255</v>
      </c>
      <c r="Q163" s="31">
        <f>1445</f>
        <v>1445</v>
      </c>
      <c r="R163" s="32" t="s">
        <v>255</v>
      </c>
      <c r="S163" s="33">
        <f>1486.08</f>
        <v>1486.08</v>
      </c>
      <c r="T163" s="30">
        <f>1410</f>
        <v>1410</v>
      </c>
      <c r="U163" s="30" t="str">
        <f t="shared" si="6"/>
        <v>－</v>
      </c>
      <c r="V163" s="30">
        <f>2096325</f>
        <v>2096325</v>
      </c>
      <c r="W163" s="30" t="str">
        <f t="shared" si="7"/>
        <v>－</v>
      </c>
      <c r="X163" s="34">
        <f>12</f>
        <v>12</v>
      </c>
    </row>
    <row r="164" spans="1:24" ht="13.5" customHeight="1" x14ac:dyDescent="0.15">
      <c r="A164" s="25" t="s">
        <v>1032</v>
      </c>
      <c r="B164" s="25" t="s">
        <v>519</v>
      </c>
      <c r="C164" s="25" t="s">
        <v>520</v>
      </c>
      <c r="D164" s="25" t="s">
        <v>521</v>
      </c>
      <c r="E164" s="26" t="s">
        <v>45</v>
      </c>
      <c r="F164" s="27" t="s">
        <v>45</v>
      </c>
      <c r="G164" s="28" t="s">
        <v>45</v>
      </c>
      <c r="H164" s="29"/>
      <c r="I164" s="29" t="s">
        <v>46</v>
      </c>
      <c r="J164" s="30">
        <v>10</v>
      </c>
      <c r="K164" s="31">
        <f>502.7</f>
        <v>502.7</v>
      </c>
      <c r="L164" s="32" t="s">
        <v>996</v>
      </c>
      <c r="M164" s="31">
        <f>519.1</f>
        <v>519.1</v>
      </c>
      <c r="N164" s="32" t="s">
        <v>790</v>
      </c>
      <c r="O164" s="31">
        <f>470.1</f>
        <v>470.1</v>
      </c>
      <c r="P164" s="32" t="s">
        <v>255</v>
      </c>
      <c r="Q164" s="31">
        <f>477.1</f>
        <v>477.1</v>
      </c>
      <c r="R164" s="32" t="s">
        <v>997</v>
      </c>
      <c r="S164" s="33">
        <f>500.44</f>
        <v>500.44</v>
      </c>
      <c r="T164" s="30">
        <f>20980</f>
        <v>20980</v>
      </c>
      <c r="U164" s="30" t="str">
        <f t="shared" si="6"/>
        <v>－</v>
      </c>
      <c r="V164" s="30">
        <f>10490286</f>
        <v>10490286</v>
      </c>
      <c r="W164" s="30" t="str">
        <f t="shared" si="7"/>
        <v>－</v>
      </c>
      <c r="X164" s="34">
        <f>19</f>
        <v>19</v>
      </c>
    </row>
    <row r="165" spans="1:24" ht="13.5" customHeight="1" x14ac:dyDescent="0.15">
      <c r="A165" s="25" t="s">
        <v>1032</v>
      </c>
      <c r="B165" s="25" t="s">
        <v>522</v>
      </c>
      <c r="C165" s="25" t="s">
        <v>523</v>
      </c>
      <c r="D165" s="25" t="s">
        <v>524</v>
      </c>
      <c r="E165" s="26" t="s">
        <v>45</v>
      </c>
      <c r="F165" s="27" t="s">
        <v>45</v>
      </c>
      <c r="G165" s="28" t="s">
        <v>45</v>
      </c>
      <c r="H165" s="29"/>
      <c r="I165" s="29" t="s">
        <v>46</v>
      </c>
      <c r="J165" s="30">
        <v>10</v>
      </c>
      <c r="K165" s="31">
        <f>2126.5</f>
        <v>2126.5</v>
      </c>
      <c r="L165" s="32" t="s">
        <v>996</v>
      </c>
      <c r="M165" s="31">
        <f>2136</f>
        <v>2136</v>
      </c>
      <c r="N165" s="32" t="s">
        <v>790</v>
      </c>
      <c r="O165" s="31">
        <f>1994</f>
        <v>1994</v>
      </c>
      <c r="P165" s="32" t="s">
        <v>255</v>
      </c>
      <c r="Q165" s="31">
        <f>2022</f>
        <v>2022</v>
      </c>
      <c r="R165" s="32" t="s">
        <v>997</v>
      </c>
      <c r="S165" s="33">
        <f>2067</f>
        <v>2067</v>
      </c>
      <c r="T165" s="30">
        <f>2310</f>
        <v>2310</v>
      </c>
      <c r="U165" s="30" t="str">
        <f t="shared" si="6"/>
        <v>－</v>
      </c>
      <c r="V165" s="30">
        <f>4793210</f>
        <v>4793210</v>
      </c>
      <c r="W165" s="30" t="str">
        <f t="shared" si="7"/>
        <v>－</v>
      </c>
      <c r="X165" s="34">
        <f>18</f>
        <v>18</v>
      </c>
    </row>
    <row r="166" spans="1:24" ht="13.5" customHeight="1" x14ac:dyDescent="0.15">
      <c r="A166" s="25" t="s">
        <v>1032</v>
      </c>
      <c r="B166" s="25" t="s">
        <v>525</v>
      </c>
      <c r="C166" s="25" t="s">
        <v>526</v>
      </c>
      <c r="D166" s="25" t="s">
        <v>527</v>
      </c>
      <c r="E166" s="26" t="s">
        <v>45</v>
      </c>
      <c r="F166" s="27" t="s">
        <v>45</v>
      </c>
      <c r="G166" s="28" t="s">
        <v>45</v>
      </c>
      <c r="H166" s="29"/>
      <c r="I166" s="29" t="s">
        <v>46</v>
      </c>
      <c r="J166" s="30">
        <v>10</v>
      </c>
      <c r="K166" s="31">
        <f>889</f>
        <v>889</v>
      </c>
      <c r="L166" s="32" t="s">
        <v>996</v>
      </c>
      <c r="M166" s="31">
        <f>937.9</f>
        <v>937.9</v>
      </c>
      <c r="N166" s="32" t="s">
        <v>790</v>
      </c>
      <c r="O166" s="31">
        <f>873.4</f>
        <v>873.4</v>
      </c>
      <c r="P166" s="32" t="s">
        <v>997</v>
      </c>
      <c r="Q166" s="31">
        <f>884.2</f>
        <v>884.2</v>
      </c>
      <c r="R166" s="32" t="s">
        <v>997</v>
      </c>
      <c r="S166" s="33">
        <f>900.23</f>
        <v>900.23</v>
      </c>
      <c r="T166" s="30">
        <f>43800</f>
        <v>43800</v>
      </c>
      <c r="U166" s="30" t="str">
        <f t="shared" si="6"/>
        <v>－</v>
      </c>
      <c r="V166" s="30">
        <f>39683831</f>
        <v>39683831</v>
      </c>
      <c r="W166" s="30" t="str">
        <f t="shared" si="7"/>
        <v>－</v>
      </c>
      <c r="X166" s="34">
        <f>20</f>
        <v>20</v>
      </c>
    </row>
    <row r="167" spans="1:24" ht="13.5" customHeight="1" x14ac:dyDescent="0.15">
      <c r="A167" s="25" t="s">
        <v>1032</v>
      </c>
      <c r="B167" s="25" t="s">
        <v>528</v>
      </c>
      <c r="C167" s="25" t="s">
        <v>529</v>
      </c>
      <c r="D167" s="25" t="s">
        <v>530</v>
      </c>
      <c r="E167" s="26" t="s">
        <v>45</v>
      </c>
      <c r="F167" s="27" t="s">
        <v>45</v>
      </c>
      <c r="G167" s="28" t="s">
        <v>45</v>
      </c>
      <c r="H167" s="29"/>
      <c r="I167" s="29" t="s">
        <v>46</v>
      </c>
      <c r="J167" s="30">
        <v>10</v>
      </c>
      <c r="K167" s="31">
        <f>643.5</f>
        <v>643.5</v>
      </c>
      <c r="L167" s="32" t="s">
        <v>996</v>
      </c>
      <c r="M167" s="31">
        <f>654</f>
        <v>654</v>
      </c>
      <c r="N167" s="32" t="s">
        <v>788</v>
      </c>
      <c r="O167" s="31">
        <f>590.5</f>
        <v>590.5</v>
      </c>
      <c r="P167" s="32" t="s">
        <v>997</v>
      </c>
      <c r="Q167" s="31">
        <f>596.2</f>
        <v>596.20000000000005</v>
      </c>
      <c r="R167" s="32" t="s">
        <v>997</v>
      </c>
      <c r="S167" s="33">
        <f>627.88</f>
        <v>627.88</v>
      </c>
      <c r="T167" s="30">
        <f>133150</f>
        <v>133150</v>
      </c>
      <c r="U167" s="30" t="str">
        <f t="shared" si="6"/>
        <v>－</v>
      </c>
      <c r="V167" s="30">
        <f>82940140</f>
        <v>82940140</v>
      </c>
      <c r="W167" s="30" t="str">
        <f t="shared" si="7"/>
        <v>－</v>
      </c>
      <c r="X167" s="34">
        <f>20</f>
        <v>20</v>
      </c>
    </row>
    <row r="168" spans="1:24" ht="13.5" customHeight="1" x14ac:dyDescent="0.15">
      <c r="A168" s="25" t="s">
        <v>1032</v>
      </c>
      <c r="B168" s="25" t="s">
        <v>531</v>
      </c>
      <c r="C168" s="25" t="s">
        <v>532</v>
      </c>
      <c r="D168" s="25" t="s">
        <v>533</v>
      </c>
      <c r="E168" s="26" t="s">
        <v>45</v>
      </c>
      <c r="F168" s="27" t="s">
        <v>45</v>
      </c>
      <c r="G168" s="28" t="s">
        <v>45</v>
      </c>
      <c r="H168" s="29"/>
      <c r="I168" s="29" t="s">
        <v>46</v>
      </c>
      <c r="J168" s="30">
        <v>100</v>
      </c>
      <c r="K168" s="31">
        <f>1.2</f>
        <v>1.2</v>
      </c>
      <c r="L168" s="32" t="s">
        <v>996</v>
      </c>
      <c r="M168" s="31">
        <f>1.3</f>
        <v>1.3</v>
      </c>
      <c r="N168" s="32" t="s">
        <v>790</v>
      </c>
      <c r="O168" s="31">
        <f>1</f>
        <v>1</v>
      </c>
      <c r="P168" s="32" t="s">
        <v>1003</v>
      </c>
      <c r="Q168" s="31">
        <f>1.2</f>
        <v>1.2</v>
      </c>
      <c r="R168" s="32" t="s">
        <v>997</v>
      </c>
      <c r="S168" s="33">
        <f>1.16</f>
        <v>1.1599999999999999</v>
      </c>
      <c r="T168" s="30">
        <f>1331144000</f>
        <v>1331144000</v>
      </c>
      <c r="U168" s="30">
        <f>34600</f>
        <v>34600</v>
      </c>
      <c r="V168" s="30">
        <f>1508064530</f>
        <v>1508064530</v>
      </c>
      <c r="W168" s="30">
        <f>38060</f>
        <v>38060</v>
      </c>
      <c r="X168" s="34">
        <f>20</f>
        <v>20</v>
      </c>
    </row>
    <row r="169" spans="1:24" ht="13.5" customHeight="1" x14ac:dyDescent="0.15">
      <c r="A169" s="25" t="s">
        <v>1032</v>
      </c>
      <c r="B169" s="25" t="s">
        <v>534</v>
      </c>
      <c r="C169" s="25" t="s">
        <v>535</v>
      </c>
      <c r="D169" s="25" t="s">
        <v>536</v>
      </c>
      <c r="E169" s="26" t="s">
        <v>45</v>
      </c>
      <c r="F169" s="27" t="s">
        <v>45</v>
      </c>
      <c r="G169" s="28" t="s">
        <v>45</v>
      </c>
      <c r="H169" s="29"/>
      <c r="I169" s="29" t="s">
        <v>46</v>
      </c>
      <c r="J169" s="30">
        <v>10</v>
      </c>
      <c r="K169" s="31">
        <f>1170.5</f>
        <v>1170.5</v>
      </c>
      <c r="L169" s="32" t="s">
        <v>996</v>
      </c>
      <c r="M169" s="31">
        <f>1278</f>
        <v>1278</v>
      </c>
      <c r="N169" s="32" t="s">
        <v>792</v>
      </c>
      <c r="O169" s="31">
        <f>1142.5</f>
        <v>1142.5</v>
      </c>
      <c r="P169" s="32" t="s">
        <v>255</v>
      </c>
      <c r="Q169" s="31">
        <f>1175.5</f>
        <v>1175.5</v>
      </c>
      <c r="R169" s="32" t="s">
        <v>997</v>
      </c>
      <c r="S169" s="33">
        <f>1226.88</f>
        <v>1226.8800000000001</v>
      </c>
      <c r="T169" s="30">
        <f>105100</f>
        <v>105100</v>
      </c>
      <c r="U169" s="30" t="str">
        <f t="shared" ref="U169:U176" si="8">"－"</f>
        <v>－</v>
      </c>
      <c r="V169" s="30">
        <f>128826350</f>
        <v>128826350</v>
      </c>
      <c r="W169" s="30" t="str">
        <f t="shared" ref="W169:W176" si="9">"－"</f>
        <v>－</v>
      </c>
      <c r="X169" s="34">
        <f>20</f>
        <v>20</v>
      </c>
    </row>
    <row r="170" spans="1:24" ht="13.5" customHeight="1" x14ac:dyDescent="0.15">
      <c r="A170" s="25" t="s">
        <v>1032</v>
      </c>
      <c r="B170" s="25" t="s">
        <v>537</v>
      </c>
      <c r="C170" s="25" t="s">
        <v>538</v>
      </c>
      <c r="D170" s="25" t="s">
        <v>539</v>
      </c>
      <c r="E170" s="26" t="s">
        <v>45</v>
      </c>
      <c r="F170" s="27" t="s">
        <v>45</v>
      </c>
      <c r="G170" s="28" t="s">
        <v>45</v>
      </c>
      <c r="H170" s="29"/>
      <c r="I170" s="29" t="s">
        <v>46</v>
      </c>
      <c r="J170" s="30">
        <v>1</v>
      </c>
      <c r="K170" s="31">
        <f>6212</f>
        <v>6212</v>
      </c>
      <c r="L170" s="32" t="s">
        <v>996</v>
      </c>
      <c r="M170" s="31">
        <f>6710</f>
        <v>6710</v>
      </c>
      <c r="N170" s="32" t="s">
        <v>792</v>
      </c>
      <c r="O170" s="31">
        <f>6001</f>
        <v>6001</v>
      </c>
      <c r="P170" s="32" t="s">
        <v>255</v>
      </c>
      <c r="Q170" s="31">
        <f>6001</f>
        <v>6001</v>
      </c>
      <c r="R170" s="32" t="s">
        <v>255</v>
      </c>
      <c r="S170" s="33">
        <f>6464.79</f>
        <v>6464.79</v>
      </c>
      <c r="T170" s="30">
        <f>433</f>
        <v>433</v>
      </c>
      <c r="U170" s="30" t="str">
        <f t="shared" si="8"/>
        <v>－</v>
      </c>
      <c r="V170" s="30">
        <f>2826092</f>
        <v>2826092</v>
      </c>
      <c r="W170" s="30" t="str">
        <f t="shared" si="9"/>
        <v>－</v>
      </c>
      <c r="X170" s="34">
        <f>14</f>
        <v>14</v>
      </c>
    </row>
    <row r="171" spans="1:24" ht="13.5" customHeight="1" x14ac:dyDescent="0.15">
      <c r="A171" s="25" t="s">
        <v>1032</v>
      </c>
      <c r="B171" s="25" t="s">
        <v>540</v>
      </c>
      <c r="C171" s="25" t="s">
        <v>541</v>
      </c>
      <c r="D171" s="25" t="s">
        <v>542</v>
      </c>
      <c r="E171" s="26" t="s">
        <v>45</v>
      </c>
      <c r="F171" s="27" t="s">
        <v>45</v>
      </c>
      <c r="G171" s="28" t="s">
        <v>45</v>
      </c>
      <c r="H171" s="29"/>
      <c r="I171" s="29" t="s">
        <v>46</v>
      </c>
      <c r="J171" s="30">
        <v>100</v>
      </c>
      <c r="K171" s="31">
        <f>426.2</f>
        <v>426.2</v>
      </c>
      <c r="L171" s="32" t="s">
        <v>996</v>
      </c>
      <c r="M171" s="31">
        <f>447.1</f>
        <v>447.1</v>
      </c>
      <c r="N171" s="32" t="s">
        <v>80</v>
      </c>
      <c r="O171" s="31">
        <f>413.6</f>
        <v>413.6</v>
      </c>
      <c r="P171" s="32" t="s">
        <v>78</v>
      </c>
      <c r="Q171" s="31">
        <f>421.2</f>
        <v>421.2</v>
      </c>
      <c r="R171" s="32" t="s">
        <v>997</v>
      </c>
      <c r="S171" s="33">
        <f>427.27</f>
        <v>427.27</v>
      </c>
      <c r="T171" s="30">
        <f>90200</f>
        <v>90200</v>
      </c>
      <c r="U171" s="30" t="str">
        <f t="shared" si="8"/>
        <v>－</v>
      </c>
      <c r="V171" s="30">
        <f>38876020</f>
        <v>38876020</v>
      </c>
      <c r="W171" s="30" t="str">
        <f t="shared" si="9"/>
        <v>－</v>
      </c>
      <c r="X171" s="34">
        <f>19</f>
        <v>19</v>
      </c>
    </row>
    <row r="172" spans="1:24" ht="13.5" customHeight="1" x14ac:dyDescent="0.15">
      <c r="A172" s="25" t="s">
        <v>1032</v>
      </c>
      <c r="B172" s="25" t="s">
        <v>543</v>
      </c>
      <c r="C172" s="25" t="s">
        <v>544</v>
      </c>
      <c r="D172" s="25" t="s">
        <v>545</v>
      </c>
      <c r="E172" s="26" t="s">
        <v>45</v>
      </c>
      <c r="F172" s="27" t="s">
        <v>45</v>
      </c>
      <c r="G172" s="28" t="s">
        <v>45</v>
      </c>
      <c r="H172" s="29"/>
      <c r="I172" s="29" t="s">
        <v>46</v>
      </c>
      <c r="J172" s="30">
        <v>10</v>
      </c>
      <c r="K172" s="31">
        <f>4836</f>
        <v>4836</v>
      </c>
      <c r="L172" s="32" t="s">
        <v>996</v>
      </c>
      <c r="M172" s="31">
        <f>4907</f>
        <v>4907</v>
      </c>
      <c r="N172" s="32" t="s">
        <v>792</v>
      </c>
      <c r="O172" s="31">
        <f>4530</f>
        <v>4530</v>
      </c>
      <c r="P172" s="32" t="s">
        <v>255</v>
      </c>
      <c r="Q172" s="31">
        <f>4769</f>
        <v>4769</v>
      </c>
      <c r="R172" s="32" t="s">
        <v>997</v>
      </c>
      <c r="S172" s="33">
        <f>4742.25</f>
        <v>4742.25</v>
      </c>
      <c r="T172" s="30">
        <f>35310</f>
        <v>35310</v>
      </c>
      <c r="U172" s="30" t="str">
        <f t="shared" si="8"/>
        <v>－</v>
      </c>
      <c r="V172" s="30">
        <f>166245280</f>
        <v>166245280</v>
      </c>
      <c r="W172" s="30" t="str">
        <f t="shared" si="9"/>
        <v>－</v>
      </c>
      <c r="X172" s="34">
        <f>20</f>
        <v>20</v>
      </c>
    </row>
    <row r="173" spans="1:24" ht="13.5" customHeight="1" x14ac:dyDescent="0.15">
      <c r="A173" s="25" t="s">
        <v>1032</v>
      </c>
      <c r="B173" s="25" t="s">
        <v>546</v>
      </c>
      <c r="C173" s="25" t="s">
        <v>547</v>
      </c>
      <c r="D173" s="25" t="s">
        <v>548</v>
      </c>
      <c r="E173" s="26" t="s">
        <v>45</v>
      </c>
      <c r="F173" s="27" t="s">
        <v>45</v>
      </c>
      <c r="G173" s="28" t="s">
        <v>45</v>
      </c>
      <c r="H173" s="29"/>
      <c r="I173" s="29" t="s">
        <v>46</v>
      </c>
      <c r="J173" s="30">
        <v>10</v>
      </c>
      <c r="K173" s="31">
        <f>2887</f>
        <v>2887</v>
      </c>
      <c r="L173" s="32" t="s">
        <v>996</v>
      </c>
      <c r="M173" s="31">
        <f>3214</f>
        <v>3214</v>
      </c>
      <c r="N173" s="32" t="s">
        <v>80</v>
      </c>
      <c r="O173" s="31">
        <f>2700.5</f>
        <v>2700.5</v>
      </c>
      <c r="P173" s="32" t="s">
        <v>78</v>
      </c>
      <c r="Q173" s="31">
        <f>2992</f>
        <v>2992</v>
      </c>
      <c r="R173" s="32" t="s">
        <v>997</v>
      </c>
      <c r="S173" s="33">
        <f>2940.68</f>
        <v>2940.68</v>
      </c>
      <c r="T173" s="30">
        <f>26850</f>
        <v>26850</v>
      </c>
      <c r="U173" s="30" t="str">
        <f t="shared" si="8"/>
        <v>－</v>
      </c>
      <c r="V173" s="30">
        <f>79826400</f>
        <v>79826400</v>
      </c>
      <c r="W173" s="30" t="str">
        <f t="shared" si="9"/>
        <v>－</v>
      </c>
      <c r="X173" s="34">
        <f>20</f>
        <v>20</v>
      </c>
    </row>
    <row r="174" spans="1:24" ht="13.5" customHeight="1" x14ac:dyDescent="0.15">
      <c r="A174" s="25" t="s">
        <v>1032</v>
      </c>
      <c r="B174" s="25" t="s">
        <v>549</v>
      </c>
      <c r="C174" s="25" t="s">
        <v>550</v>
      </c>
      <c r="D174" s="25" t="s">
        <v>551</v>
      </c>
      <c r="E174" s="26" t="s">
        <v>45</v>
      </c>
      <c r="F174" s="27" t="s">
        <v>45</v>
      </c>
      <c r="G174" s="28" t="s">
        <v>45</v>
      </c>
      <c r="H174" s="29"/>
      <c r="I174" s="29" t="s">
        <v>46</v>
      </c>
      <c r="J174" s="30">
        <v>100</v>
      </c>
      <c r="K174" s="31">
        <f>89.9</f>
        <v>89.9</v>
      </c>
      <c r="L174" s="32" t="s">
        <v>996</v>
      </c>
      <c r="M174" s="31">
        <f>92.7</f>
        <v>92.7</v>
      </c>
      <c r="N174" s="32" t="s">
        <v>790</v>
      </c>
      <c r="O174" s="31">
        <f>80.8</f>
        <v>80.8</v>
      </c>
      <c r="P174" s="32" t="s">
        <v>997</v>
      </c>
      <c r="Q174" s="31">
        <f>82.5</f>
        <v>82.5</v>
      </c>
      <c r="R174" s="32" t="s">
        <v>997</v>
      </c>
      <c r="S174" s="33">
        <f>87.97</f>
        <v>87.97</v>
      </c>
      <c r="T174" s="30">
        <f>5258600</f>
        <v>5258600</v>
      </c>
      <c r="U174" s="30" t="str">
        <f t="shared" si="8"/>
        <v>－</v>
      </c>
      <c r="V174" s="30">
        <f>455888290</f>
        <v>455888290</v>
      </c>
      <c r="W174" s="30" t="str">
        <f t="shared" si="9"/>
        <v>－</v>
      </c>
      <c r="X174" s="34">
        <f>20</f>
        <v>20</v>
      </c>
    </row>
    <row r="175" spans="1:24" ht="13.5" customHeight="1" x14ac:dyDescent="0.15">
      <c r="A175" s="25" t="s">
        <v>1032</v>
      </c>
      <c r="B175" s="25" t="s">
        <v>552</v>
      </c>
      <c r="C175" s="25" t="s">
        <v>553</v>
      </c>
      <c r="D175" s="25" t="s">
        <v>554</v>
      </c>
      <c r="E175" s="26" t="s">
        <v>45</v>
      </c>
      <c r="F175" s="27" t="s">
        <v>45</v>
      </c>
      <c r="G175" s="28" t="s">
        <v>45</v>
      </c>
      <c r="H175" s="29"/>
      <c r="I175" s="29" t="s">
        <v>46</v>
      </c>
      <c r="J175" s="30">
        <v>100</v>
      </c>
      <c r="K175" s="31">
        <f>175.2</f>
        <v>175.2</v>
      </c>
      <c r="L175" s="32" t="s">
        <v>996</v>
      </c>
      <c r="M175" s="31">
        <f>181</f>
        <v>181</v>
      </c>
      <c r="N175" s="32" t="s">
        <v>790</v>
      </c>
      <c r="O175" s="31">
        <f>161.5</f>
        <v>161.5</v>
      </c>
      <c r="P175" s="32" t="s">
        <v>997</v>
      </c>
      <c r="Q175" s="31">
        <f>162.2</f>
        <v>162.19999999999999</v>
      </c>
      <c r="R175" s="32" t="s">
        <v>997</v>
      </c>
      <c r="S175" s="33">
        <f>173.44</f>
        <v>173.44</v>
      </c>
      <c r="T175" s="30">
        <f>583100</f>
        <v>583100</v>
      </c>
      <c r="U175" s="30" t="str">
        <f t="shared" si="8"/>
        <v>－</v>
      </c>
      <c r="V175" s="30">
        <f>99257310</f>
        <v>99257310</v>
      </c>
      <c r="W175" s="30" t="str">
        <f t="shared" si="9"/>
        <v>－</v>
      </c>
      <c r="X175" s="34">
        <f>20</f>
        <v>20</v>
      </c>
    </row>
    <row r="176" spans="1:24" ht="13.5" customHeight="1" x14ac:dyDescent="0.15">
      <c r="A176" s="25" t="s">
        <v>1032</v>
      </c>
      <c r="B176" s="25" t="s">
        <v>555</v>
      </c>
      <c r="C176" s="25" t="s">
        <v>556</v>
      </c>
      <c r="D176" s="25" t="s">
        <v>557</v>
      </c>
      <c r="E176" s="26" t="s">
        <v>45</v>
      </c>
      <c r="F176" s="27" t="s">
        <v>45</v>
      </c>
      <c r="G176" s="28" t="s">
        <v>45</v>
      </c>
      <c r="H176" s="29"/>
      <c r="I176" s="29" t="s">
        <v>46</v>
      </c>
      <c r="J176" s="30">
        <v>10</v>
      </c>
      <c r="K176" s="31">
        <f>4094</f>
        <v>4094</v>
      </c>
      <c r="L176" s="32" t="s">
        <v>996</v>
      </c>
      <c r="M176" s="31">
        <f>4201</f>
        <v>4201</v>
      </c>
      <c r="N176" s="32" t="s">
        <v>788</v>
      </c>
      <c r="O176" s="31">
        <f>3910</f>
        <v>3910</v>
      </c>
      <c r="P176" s="32" t="s">
        <v>997</v>
      </c>
      <c r="Q176" s="31">
        <f>3997</f>
        <v>3997</v>
      </c>
      <c r="R176" s="32" t="s">
        <v>997</v>
      </c>
      <c r="S176" s="33">
        <f>4079.15</f>
        <v>4079.15</v>
      </c>
      <c r="T176" s="30">
        <f>18840</f>
        <v>18840</v>
      </c>
      <c r="U176" s="30" t="str">
        <f t="shared" si="8"/>
        <v>－</v>
      </c>
      <c r="V176" s="30">
        <f>77123470</f>
        <v>77123470</v>
      </c>
      <c r="W176" s="30" t="str">
        <f t="shared" si="9"/>
        <v>－</v>
      </c>
      <c r="X176" s="34">
        <f>20</f>
        <v>20</v>
      </c>
    </row>
    <row r="177" spans="1:24" ht="13.5" customHeight="1" x14ac:dyDescent="0.15">
      <c r="A177" s="25" t="s">
        <v>1032</v>
      </c>
      <c r="B177" s="25" t="s">
        <v>558</v>
      </c>
      <c r="C177" s="25" t="s">
        <v>559</v>
      </c>
      <c r="D177" s="25" t="s">
        <v>560</v>
      </c>
      <c r="E177" s="26" t="s">
        <v>45</v>
      </c>
      <c r="F177" s="27" t="s">
        <v>45</v>
      </c>
      <c r="G177" s="28" t="s">
        <v>45</v>
      </c>
      <c r="H177" s="29"/>
      <c r="I177" s="29" t="s">
        <v>46</v>
      </c>
      <c r="J177" s="30">
        <v>10</v>
      </c>
      <c r="K177" s="31">
        <f>2198</f>
        <v>2198</v>
      </c>
      <c r="L177" s="32" t="s">
        <v>996</v>
      </c>
      <c r="M177" s="31">
        <f>2219</f>
        <v>2219</v>
      </c>
      <c r="N177" s="32" t="s">
        <v>997</v>
      </c>
      <c r="O177" s="31">
        <f>2107</f>
        <v>2107</v>
      </c>
      <c r="P177" s="32" t="s">
        <v>78</v>
      </c>
      <c r="Q177" s="31">
        <f>2217.5</f>
        <v>2217.5</v>
      </c>
      <c r="R177" s="32" t="s">
        <v>997</v>
      </c>
      <c r="S177" s="33">
        <f>2174.75</f>
        <v>2174.75</v>
      </c>
      <c r="T177" s="30">
        <f>265510</f>
        <v>265510</v>
      </c>
      <c r="U177" s="30">
        <f>50000</f>
        <v>50000</v>
      </c>
      <c r="V177" s="30">
        <f>577774775</f>
        <v>577774775</v>
      </c>
      <c r="W177" s="30">
        <f>108865000</f>
        <v>108865000</v>
      </c>
      <c r="X177" s="34">
        <f>20</f>
        <v>20</v>
      </c>
    </row>
    <row r="178" spans="1:24" ht="13.5" customHeight="1" x14ac:dyDescent="0.15">
      <c r="A178" s="25" t="s">
        <v>1032</v>
      </c>
      <c r="B178" s="25" t="s">
        <v>561</v>
      </c>
      <c r="C178" s="25" t="s">
        <v>562</v>
      </c>
      <c r="D178" s="25" t="s">
        <v>563</v>
      </c>
      <c r="E178" s="26" t="s">
        <v>45</v>
      </c>
      <c r="F178" s="27" t="s">
        <v>45</v>
      </c>
      <c r="G178" s="28" t="s">
        <v>45</v>
      </c>
      <c r="H178" s="29"/>
      <c r="I178" s="29" t="s">
        <v>46</v>
      </c>
      <c r="J178" s="30">
        <v>10</v>
      </c>
      <c r="K178" s="31">
        <f>337.2</f>
        <v>337.2</v>
      </c>
      <c r="L178" s="32" t="s">
        <v>996</v>
      </c>
      <c r="M178" s="31">
        <f>348.9</f>
        <v>348.9</v>
      </c>
      <c r="N178" s="32" t="s">
        <v>792</v>
      </c>
      <c r="O178" s="31">
        <f>315.5</f>
        <v>315.5</v>
      </c>
      <c r="P178" s="32" t="s">
        <v>255</v>
      </c>
      <c r="Q178" s="31">
        <f>322.4</f>
        <v>322.39999999999998</v>
      </c>
      <c r="R178" s="32" t="s">
        <v>997</v>
      </c>
      <c r="S178" s="33">
        <f>335.51</f>
        <v>335.51</v>
      </c>
      <c r="T178" s="30">
        <f>35523430</f>
        <v>35523430</v>
      </c>
      <c r="U178" s="30">
        <f>35150</f>
        <v>35150</v>
      </c>
      <c r="V178" s="30">
        <f>11865359034</f>
        <v>11865359034</v>
      </c>
      <c r="W178" s="30">
        <f>12156109</f>
        <v>12156109</v>
      </c>
      <c r="X178" s="34">
        <f>20</f>
        <v>20</v>
      </c>
    </row>
    <row r="179" spans="1:24" ht="13.5" customHeight="1" x14ac:dyDescent="0.15">
      <c r="A179" s="25" t="s">
        <v>1032</v>
      </c>
      <c r="B179" s="25" t="s">
        <v>564</v>
      </c>
      <c r="C179" s="25" t="s">
        <v>565</v>
      </c>
      <c r="D179" s="25" t="s">
        <v>566</v>
      </c>
      <c r="E179" s="26" t="s">
        <v>45</v>
      </c>
      <c r="F179" s="27" t="s">
        <v>45</v>
      </c>
      <c r="G179" s="28" t="s">
        <v>45</v>
      </c>
      <c r="H179" s="29"/>
      <c r="I179" s="29" t="s">
        <v>567</v>
      </c>
      <c r="J179" s="30">
        <v>1</v>
      </c>
      <c r="K179" s="31">
        <f>6079</f>
        <v>6079</v>
      </c>
      <c r="L179" s="32" t="s">
        <v>996</v>
      </c>
      <c r="M179" s="31">
        <f>6250</f>
        <v>6250</v>
      </c>
      <c r="N179" s="32" t="s">
        <v>788</v>
      </c>
      <c r="O179" s="31">
        <f>5457</f>
        <v>5457</v>
      </c>
      <c r="P179" s="32" t="s">
        <v>786</v>
      </c>
      <c r="Q179" s="31">
        <f>5792</f>
        <v>5792</v>
      </c>
      <c r="R179" s="32" t="s">
        <v>997</v>
      </c>
      <c r="S179" s="33">
        <f>5909.95</f>
        <v>5909.95</v>
      </c>
      <c r="T179" s="30">
        <f>34656</f>
        <v>34656</v>
      </c>
      <c r="U179" s="30">
        <f>2</f>
        <v>2</v>
      </c>
      <c r="V179" s="30">
        <f>204792834</f>
        <v>204792834</v>
      </c>
      <c r="W179" s="30">
        <f>11968</f>
        <v>11968</v>
      </c>
      <c r="X179" s="34">
        <f>20</f>
        <v>20</v>
      </c>
    </row>
    <row r="180" spans="1:24" ht="13.5" customHeight="1" x14ac:dyDescent="0.15">
      <c r="A180" s="25" t="s">
        <v>1032</v>
      </c>
      <c r="B180" s="25" t="s">
        <v>568</v>
      </c>
      <c r="C180" s="25" t="s">
        <v>569</v>
      </c>
      <c r="D180" s="25" t="s">
        <v>570</v>
      </c>
      <c r="E180" s="26" t="s">
        <v>45</v>
      </c>
      <c r="F180" s="27" t="s">
        <v>45</v>
      </c>
      <c r="G180" s="28" t="s">
        <v>45</v>
      </c>
      <c r="H180" s="29"/>
      <c r="I180" s="29" t="s">
        <v>567</v>
      </c>
      <c r="J180" s="30">
        <v>1</v>
      </c>
      <c r="K180" s="31">
        <f>7202</f>
        <v>7202</v>
      </c>
      <c r="L180" s="32" t="s">
        <v>996</v>
      </c>
      <c r="M180" s="31">
        <f>7679</f>
        <v>7679</v>
      </c>
      <c r="N180" s="32" t="s">
        <v>786</v>
      </c>
      <c r="O180" s="31">
        <f>7130</f>
        <v>7130</v>
      </c>
      <c r="P180" s="32" t="s">
        <v>78</v>
      </c>
      <c r="Q180" s="31">
        <f>7586</f>
        <v>7586</v>
      </c>
      <c r="R180" s="32" t="s">
        <v>997</v>
      </c>
      <c r="S180" s="33">
        <f>7341.26</f>
        <v>7341.26</v>
      </c>
      <c r="T180" s="30">
        <f>2060</f>
        <v>2060</v>
      </c>
      <c r="U180" s="30" t="str">
        <f>"－"</f>
        <v>－</v>
      </c>
      <c r="V180" s="30">
        <f>15194725</f>
        <v>15194725</v>
      </c>
      <c r="W180" s="30" t="str">
        <f>"－"</f>
        <v>－</v>
      </c>
      <c r="X180" s="34">
        <f>19</f>
        <v>19</v>
      </c>
    </row>
    <row r="181" spans="1:24" ht="13.5" customHeight="1" x14ac:dyDescent="0.15">
      <c r="A181" s="25" t="s">
        <v>1032</v>
      </c>
      <c r="B181" s="25" t="s">
        <v>571</v>
      </c>
      <c r="C181" s="25" t="s">
        <v>572</v>
      </c>
      <c r="D181" s="25" t="s">
        <v>573</v>
      </c>
      <c r="E181" s="26" t="s">
        <v>45</v>
      </c>
      <c r="F181" s="27" t="s">
        <v>45</v>
      </c>
      <c r="G181" s="28" t="s">
        <v>45</v>
      </c>
      <c r="H181" s="29"/>
      <c r="I181" s="29" t="s">
        <v>567</v>
      </c>
      <c r="J181" s="30">
        <v>1</v>
      </c>
      <c r="K181" s="31">
        <f>10360</f>
        <v>10360</v>
      </c>
      <c r="L181" s="32" t="s">
        <v>996</v>
      </c>
      <c r="M181" s="31">
        <f>11485</f>
        <v>11485</v>
      </c>
      <c r="N181" s="32" t="s">
        <v>1005</v>
      </c>
      <c r="O181" s="31">
        <f>10270</f>
        <v>10270</v>
      </c>
      <c r="P181" s="32" t="s">
        <v>255</v>
      </c>
      <c r="Q181" s="31">
        <f>10270</f>
        <v>10270</v>
      </c>
      <c r="R181" s="32" t="s">
        <v>255</v>
      </c>
      <c r="S181" s="33">
        <f>10687.86</f>
        <v>10687.86</v>
      </c>
      <c r="T181" s="30">
        <f>263</f>
        <v>263</v>
      </c>
      <c r="U181" s="30" t="str">
        <f>"－"</f>
        <v>－</v>
      </c>
      <c r="V181" s="30">
        <f>2826970</f>
        <v>2826970</v>
      </c>
      <c r="W181" s="30" t="str">
        <f>"－"</f>
        <v>－</v>
      </c>
      <c r="X181" s="34">
        <f>14</f>
        <v>14</v>
      </c>
    </row>
    <row r="182" spans="1:24" ht="13.5" customHeight="1" x14ac:dyDescent="0.15">
      <c r="A182" s="25" t="s">
        <v>1032</v>
      </c>
      <c r="B182" s="25" t="s">
        <v>574</v>
      </c>
      <c r="C182" s="25" t="s">
        <v>575</v>
      </c>
      <c r="D182" s="25" t="s">
        <v>576</v>
      </c>
      <c r="E182" s="26" t="s">
        <v>45</v>
      </c>
      <c r="F182" s="27" t="s">
        <v>45</v>
      </c>
      <c r="G182" s="28" t="s">
        <v>45</v>
      </c>
      <c r="H182" s="29"/>
      <c r="I182" s="29" t="s">
        <v>567</v>
      </c>
      <c r="J182" s="30">
        <v>1</v>
      </c>
      <c r="K182" s="31">
        <f>7704</f>
        <v>7704</v>
      </c>
      <c r="L182" s="32" t="s">
        <v>996</v>
      </c>
      <c r="M182" s="31">
        <f>7781</f>
        <v>7781</v>
      </c>
      <c r="N182" s="32" t="s">
        <v>996</v>
      </c>
      <c r="O182" s="31">
        <f>7391</f>
        <v>7391</v>
      </c>
      <c r="P182" s="32" t="s">
        <v>1005</v>
      </c>
      <c r="Q182" s="31">
        <f>7550</f>
        <v>7550</v>
      </c>
      <c r="R182" s="32" t="s">
        <v>997</v>
      </c>
      <c r="S182" s="33">
        <f>7519.15</f>
        <v>7519.15</v>
      </c>
      <c r="T182" s="30">
        <f>11566</f>
        <v>11566</v>
      </c>
      <c r="U182" s="30" t="str">
        <f>"－"</f>
        <v>－</v>
      </c>
      <c r="V182" s="30">
        <f>86951995</f>
        <v>86951995</v>
      </c>
      <c r="W182" s="30" t="str">
        <f>"－"</f>
        <v>－</v>
      </c>
      <c r="X182" s="34">
        <f>20</f>
        <v>20</v>
      </c>
    </row>
    <row r="183" spans="1:24" ht="13.5" customHeight="1" x14ac:dyDescent="0.15">
      <c r="A183" s="25" t="s">
        <v>1032</v>
      </c>
      <c r="B183" s="25" t="s">
        <v>577</v>
      </c>
      <c r="C183" s="25" t="s">
        <v>578</v>
      </c>
      <c r="D183" s="25" t="s">
        <v>579</v>
      </c>
      <c r="E183" s="26" t="s">
        <v>45</v>
      </c>
      <c r="F183" s="27" t="s">
        <v>45</v>
      </c>
      <c r="G183" s="28" t="s">
        <v>45</v>
      </c>
      <c r="H183" s="29"/>
      <c r="I183" s="29" t="s">
        <v>567</v>
      </c>
      <c r="J183" s="30">
        <v>1</v>
      </c>
      <c r="K183" s="31">
        <f>29595</f>
        <v>29595</v>
      </c>
      <c r="L183" s="32" t="s">
        <v>996</v>
      </c>
      <c r="M183" s="31">
        <f>32190</f>
        <v>32190</v>
      </c>
      <c r="N183" s="32" t="s">
        <v>1005</v>
      </c>
      <c r="O183" s="31">
        <f>29410</f>
        <v>29410</v>
      </c>
      <c r="P183" s="32" t="s">
        <v>996</v>
      </c>
      <c r="Q183" s="31">
        <f>31020</f>
        <v>31020</v>
      </c>
      <c r="R183" s="32" t="s">
        <v>997</v>
      </c>
      <c r="S183" s="33">
        <f>31104.25</f>
        <v>31104.25</v>
      </c>
      <c r="T183" s="30">
        <f>32221</f>
        <v>32221</v>
      </c>
      <c r="U183" s="30">
        <f>27</f>
        <v>27</v>
      </c>
      <c r="V183" s="30">
        <f>999280315</f>
        <v>999280315</v>
      </c>
      <c r="W183" s="30">
        <f>841400</f>
        <v>841400</v>
      </c>
      <c r="X183" s="34">
        <f>20</f>
        <v>20</v>
      </c>
    </row>
    <row r="184" spans="1:24" ht="13.5" customHeight="1" x14ac:dyDescent="0.15">
      <c r="A184" s="25" t="s">
        <v>1032</v>
      </c>
      <c r="B184" s="25" t="s">
        <v>580</v>
      </c>
      <c r="C184" s="25" t="s">
        <v>581</v>
      </c>
      <c r="D184" s="25" t="s">
        <v>582</v>
      </c>
      <c r="E184" s="26" t="s">
        <v>45</v>
      </c>
      <c r="F184" s="27" t="s">
        <v>45</v>
      </c>
      <c r="G184" s="28" t="s">
        <v>45</v>
      </c>
      <c r="H184" s="29"/>
      <c r="I184" s="29" t="s">
        <v>567</v>
      </c>
      <c r="J184" s="30">
        <v>1</v>
      </c>
      <c r="K184" s="31">
        <f>4080</f>
        <v>4080</v>
      </c>
      <c r="L184" s="32" t="s">
        <v>996</v>
      </c>
      <c r="M184" s="31">
        <f>4080</f>
        <v>4080</v>
      </c>
      <c r="N184" s="32" t="s">
        <v>996</v>
      </c>
      <c r="O184" s="31">
        <f>3900</f>
        <v>3900</v>
      </c>
      <c r="P184" s="32" t="s">
        <v>56</v>
      </c>
      <c r="Q184" s="31">
        <f>3950</f>
        <v>3950</v>
      </c>
      <c r="R184" s="32" t="s">
        <v>997</v>
      </c>
      <c r="S184" s="33">
        <f>3960.25</f>
        <v>3960.25</v>
      </c>
      <c r="T184" s="30">
        <f>17405</f>
        <v>17405</v>
      </c>
      <c r="U184" s="30" t="str">
        <f>"－"</f>
        <v>－</v>
      </c>
      <c r="V184" s="30">
        <f>68992265</f>
        <v>68992265</v>
      </c>
      <c r="W184" s="30" t="str">
        <f>"－"</f>
        <v>－</v>
      </c>
      <c r="X184" s="34">
        <f>20</f>
        <v>20</v>
      </c>
    </row>
    <row r="185" spans="1:24" ht="13.5" customHeight="1" x14ac:dyDescent="0.15">
      <c r="A185" s="25" t="s">
        <v>1032</v>
      </c>
      <c r="B185" s="25" t="s">
        <v>583</v>
      </c>
      <c r="C185" s="25" t="s">
        <v>584</v>
      </c>
      <c r="D185" s="25" t="s">
        <v>585</v>
      </c>
      <c r="E185" s="26" t="s">
        <v>45</v>
      </c>
      <c r="F185" s="27" t="s">
        <v>45</v>
      </c>
      <c r="G185" s="28" t="s">
        <v>45</v>
      </c>
      <c r="H185" s="29"/>
      <c r="I185" s="29" t="s">
        <v>567</v>
      </c>
      <c r="J185" s="30">
        <v>1</v>
      </c>
      <c r="K185" s="31">
        <f>1347</f>
        <v>1347</v>
      </c>
      <c r="L185" s="32" t="s">
        <v>996</v>
      </c>
      <c r="M185" s="31">
        <f>1450</f>
        <v>1450</v>
      </c>
      <c r="N185" s="32" t="s">
        <v>56</v>
      </c>
      <c r="O185" s="31">
        <f>1198</f>
        <v>1198</v>
      </c>
      <c r="P185" s="32" t="s">
        <v>255</v>
      </c>
      <c r="Q185" s="31">
        <f>1250</f>
        <v>1250</v>
      </c>
      <c r="R185" s="32" t="s">
        <v>997</v>
      </c>
      <c r="S185" s="33">
        <f>1346.45</f>
        <v>1346.45</v>
      </c>
      <c r="T185" s="30">
        <f>32844894</f>
        <v>32844894</v>
      </c>
      <c r="U185" s="30">
        <f>319077</f>
        <v>319077</v>
      </c>
      <c r="V185" s="30">
        <f>43907352189</f>
        <v>43907352189</v>
      </c>
      <c r="W185" s="30">
        <f>460012632</f>
        <v>460012632</v>
      </c>
      <c r="X185" s="34">
        <f>20</f>
        <v>20</v>
      </c>
    </row>
    <row r="186" spans="1:24" ht="13.5" customHeight="1" x14ac:dyDescent="0.15">
      <c r="A186" s="25" t="s">
        <v>1032</v>
      </c>
      <c r="B186" s="25" t="s">
        <v>586</v>
      </c>
      <c r="C186" s="25" t="s">
        <v>587</v>
      </c>
      <c r="D186" s="25" t="s">
        <v>588</v>
      </c>
      <c r="E186" s="26" t="s">
        <v>45</v>
      </c>
      <c r="F186" s="27" t="s">
        <v>45</v>
      </c>
      <c r="G186" s="28" t="s">
        <v>45</v>
      </c>
      <c r="H186" s="29"/>
      <c r="I186" s="29" t="s">
        <v>567</v>
      </c>
      <c r="J186" s="30">
        <v>1</v>
      </c>
      <c r="K186" s="31">
        <f>1377</f>
        <v>1377</v>
      </c>
      <c r="L186" s="32" t="s">
        <v>996</v>
      </c>
      <c r="M186" s="31">
        <f>1448</f>
        <v>1448</v>
      </c>
      <c r="N186" s="32" t="s">
        <v>255</v>
      </c>
      <c r="O186" s="31">
        <f>1315</f>
        <v>1315</v>
      </c>
      <c r="P186" s="32" t="s">
        <v>792</v>
      </c>
      <c r="Q186" s="31">
        <f>1415</f>
        <v>1415</v>
      </c>
      <c r="R186" s="32" t="s">
        <v>997</v>
      </c>
      <c r="S186" s="33">
        <f>1380.25</f>
        <v>1380.25</v>
      </c>
      <c r="T186" s="30">
        <f>3041131</f>
        <v>3041131</v>
      </c>
      <c r="U186" s="30">
        <f>5745</f>
        <v>5745</v>
      </c>
      <c r="V186" s="30">
        <f>4215377215</f>
        <v>4215377215</v>
      </c>
      <c r="W186" s="30">
        <f>7979291</f>
        <v>7979291</v>
      </c>
      <c r="X186" s="34">
        <f>20</f>
        <v>20</v>
      </c>
    </row>
    <row r="187" spans="1:24" ht="13.5" customHeight="1" x14ac:dyDescent="0.15">
      <c r="A187" s="25" t="s">
        <v>1032</v>
      </c>
      <c r="B187" s="25" t="s">
        <v>589</v>
      </c>
      <c r="C187" s="25" t="s">
        <v>590</v>
      </c>
      <c r="D187" s="25" t="s">
        <v>591</v>
      </c>
      <c r="E187" s="26" t="s">
        <v>45</v>
      </c>
      <c r="F187" s="27" t="s">
        <v>45</v>
      </c>
      <c r="G187" s="28" t="s">
        <v>45</v>
      </c>
      <c r="H187" s="29"/>
      <c r="I187" s="29" t="s">
        <v>567</v>
      </c>
      <c r="J187" s="30">
        <v>1</v>
      </c>
      <c r="K187" s="31">
        <f>24255</f>
        <v>24255</v>
      </c>
      <c r="L187" s="32" t="s">
        <v>996</v>
      </c>
      <c r="M187" s="31">
        <f>25100</f>
        <v>25100</v>
      </c>
      <c r="N187" s="32" t="s">
        <v>1005</v>
      </c>
      <c r="O187" s="31">
        <f>24025</f>
        <v>24025</v>
      </c>
      <c r="P187" s="32" t="s">
        <v>255</v>
      </c>
      <c r="Q187" s="31">
        <f>24685</f>
        <v>24685</v>
      </c>
      <c r="R187" s="32" t="s">
        <v>997</v>
      </c>
      <c r="S187" s="33">
        <f>24595</f>
        <v>24595</v>
      </c>
      <c r="T187" s="30">
        <f>81236</f>
        <v>81236</v>
      </c>
      <c r="U187" s="30">
        <f>11</f>
        <v>11</v>
      </c>
      <c r="V187" s="30">
        <f>2004139905</f>
        <v>2004139905</v>
      </c>
      <c r="W187" s="30">
        <f>270195</f>
        <v>270195</v>
      </c>
      <c r="X187" s="34">
        <f>20</f>
        <v>20</v>
      </c>
    </row>
    <row r="188" spans="1:24" ht="13.5" customHeight="1" x14ac:dyDescent="0.15">
      <c r="A188" s="25" t="s">
        <v>1032</v>
      </c>
      <c r="B188" s="25" t="s">
        <v>592</v>
      </c>
      <c r="C188" s="25" t="s">
        <v>593</v>
      </c>
      <c r="D188" s="25" t="s">
        <v>594</v>
      </c>
      <c r="E188" s="26" t="s">
        <v>45</v>
      </c>
      <c r="F188" s="27" t="s">
        <v>45</v>
      </c>
      <c r="G188" s="28" t="s">
        <v>45</v>
      </c>
      <c r="H188" s="29"/>
      <c r="I188" s="29" t="s">
        <v>567</v>
      </c>
      <c r="J188" s="30">
        <v>1</v>
      </c>
      <c r="K188" s="31">
        <f>2925</f>
        <v>2925</v>
      </c>
      <c r="L188" s="32" t="s">
        <v>996</v>
      </c>
      <c r="M188" s="31">
        <f>2944</f>
        <v>2944</v>
      </c>
      <c r="N188" s="32" t="s">
        <v>255</v>
      </c>
      <c r="O188" s="31">
        <f>2887</f>
        <v>2887</v>
      </c>
      <c r="P188" s="32" t="s">
        <v>788</v>
      </c>
      <c r="Q188" s="31">
        <f>2916</f>
        <v>2916</v>
      </c>
      <c r="R188" s="32" t="s">
        <v>997</v>
      </c>
      <c r="S188" s="33">
        <f>2916.6</f>
        <v>2916.6</v>
      </c>
      <c r="T188" s="30">
        <f>441099</f>
        <v>441099</v>
      </c>
      <c r="U188" s="30">
        <f>6</f>
        <v>6</v>
      </c>
      <c r="V188" s="30">
        <f>1285658274</f>
        <v>1285658274</v>
      </c>
      <c r="W188" s="30">
        <f>17484</f>
        <v>17484</v>
      </c>
      <c r="X188" s="34">
        <f>20</f>
        <v>20</v>
      </c>
    </row>
    <row r="189" spans="1:24" ht="13.5" customHeight="1" x14ac:dyDescent="0.15">
      <c r="A189" s="25" t="s">
        <v>1032</v>
      </c>
      <c r="B189" s="25" t="s">
        <v>595</v>
      </c>
      <c r="C189" s="25" t="s">
        <v>596</v>
      </c>
      <c r="D189" s="25" t="s">
        <v>597</v>
      </c>
      <c r="E189" s="26" t="s">
        <v>45</v>
      </c>
      <c r="F189" s="27" t="s">
        <v>45</v>
      </c>
      <c r="G189" s="28" t="s">
        <v>45</v>
      </c>
      <c r="H189" s="29"/>
      <c r="I189" s="29" t="s">
        <v>567</v>
      </c>
      <c r="J189" s="30">
        <v>1</v>
      </c>
      <c r="K189" s="31">
        <f>8012</f>
        <v>8012</v>
      </c>
      <c r="L189" s="32" t="s">
        <v>996</v>
      </c>
      <c r="M189" s="31">
        <f>8178</f>
        <v>8178</v>
      </c>
      <c r="N189" s="32" t="s">
        <v>80</v>
      </c>
      <c r="O189" s="31">
        <f>7750</f>
        <v>7750</v>
      </c>
      <c r="P189" s="32" t="s">
        <v>1003</v>
      </c>
      <c r="Q189" s="31">
        <f>7877</f>
        <v>7877</v>
      </c>
      <c r="R189" s="32" t="s">
        <v>997</v>
      </c>
      <c r="S189" s="33">
        <f>7951.65</f>
        <v>7951.65</v>
      </c>
      <c r="T189" s="30">
        <f>40590</f>
        <v>40590</v>
      </c>
      <c r="U189" s="30" t="str">
        <f>"－"</f>
        <v>－</v>
      </c>
      <c r="V189" s="30">
        <f>324184127</f>
        <v>324184127</v>
      </c>
      <c r="W189" s="30" t="str">
        <f>"－"</f>
        <v>－</v>
      </c>
      <c r="X189" s="34">
        <f>20</f>
        <v>20</v>
      </c>
    </row>
    <row r="190" spans="1:24" ht="13.5" customHeight="1" x14ac:dyDescent="0.15">
      <c r="A190" s="25" t="s">
        <v>1032</v>
      </c>
      <c r="B190" s="25" t="s">
        <v>598</v>
      </c>
      <c r="C190" s="25" t="s">
        <v>599</v>
      </c>
      <c r="D190" s="25" t="s">
        <v>600</v>
      </c>
      <c r="E190" s="26" t="s">
        <v>45</v>
      </c>
      <c r="F190" s="27" t="s">
        <v>45</v>
      </c>
      <c r="G190" s="28" t="s">
        <v>45</v>
      </c>
      <c r="H190" s="29"/>
      <c r="I190" s="29" t="s">
        <v>567</v>
      </c>
      <c r="J190" s="30">
        <v>1</v>
      </c>
      <c r="K190" s="31">
        <f>16250</f>
        <v>16250</v>
      </c>
      <c r="L190" s="32" t="s">
        <v>996</v>
      </c>
      <c r="M190" s="31">
        <f>16770</f>
        <v>16770</v>
      </c>
      <c r="N190" s="32" t="s">
        <v>1005</v>
      </c>
      <c r="O190" s="31">
        <f>16130</f>
        <v>16130</v>
      </c>
      <c r="P190" s="32" t="s">
        <v>793</v>
      </c>
      <c r="Q190" s="31">
        <f>16400</f>
        <v>16400</v>
      </c>
      <c r="R190" s="32" t="s">
        <v>786</v>
      </c>
      <c r="S190" s="33">
        <f>16453.57</f>
        <v>16453.57</v>
      </c>
      <c r="T190" s="30">
        <f>37</f>
        <v>37</v>
      </c>
      <c r="U190" s="30" t="str">
        <f>"－"</f>
        <v>－</v>
      </c>
      <c r="V190" s="30">
        <f>615005</f>
        <v>615005</v>
      </c>
      <c r="W190" s="30" t="str">
        <f>"－"</f>
        <v>－</v>
      </c>
      <c r="X190" s="34">
        <f>7</f>
        <v>7</v>
      </c>
    </row>
    <row r="191" spans="1:24" ht="13.5" customHeight="1" x14ac:dyDescent="0.15">
      <c r="A191" s="25" t="s">
        <v>1032</v>
      </c>
      <c r="B191" s="25" t="s">
        <v>601</v>
      </c>
      <c r="C191" s="25" t="s">
        <v>602</v>
      </c>
      <c r="D191" s="25" t="s">
        <v>603</v>
      </c>
      <c r="E191" s="26" t="s">
        <v>45</v>
      </c>
      <c r="F191" s="27" t="s">
        <v>45</v>
      </c>
      <c r="G191" s="28" t="s">
        <v>45</v>
      </c>
      <c r="H191" s="29"/>
      <c r="I191" s="29" t="s">
        <v>567</v>
      </c>
      <c r="J191" s="30">
        <v>1</v>
      </c>
      <c r="K191" s="31">
        <f>22955</f>
        <v>22955</v>
      </c>
      <c r="L191" s="32" t="s">
        <v>996</v>
      </c>
      <c r="M191" s="31">
        <f>23420</f>
        <v>23420</v>
      </c>
      <c r="N191" s="32" t="s">
        <v>997</v>
      </c>
      <c r="O191" s="31">
        <f>22210</f>
        <v>22210</v>
      </c>
      <c r="P191" s="32" t="s">
        <v>78</v>
      </c>
      <c r="Q191" s="31">
        <f>23365</f>
        <v>23365</v>
      </c>
      <c r="R191" s="32" t="s">
        <v>997</v>
      </c>
      <c r="S191" s="33">
        <f>22878.75</f>
        <v>22878.75</v>
      </c>
      <c r="T191" s="30">
        <f>28758</f>
        <v>28758</v>
      </c>
      <c r="U191" s="30">
        <f>4</f>
        <v>4</v>
      </c>
      <c r="V191" s="30">
        <f>659353800</f>
        <v>659353800</v>
      </c>
      <c r="W191" s="30">
        <f>91240</f>
        <v>91240</v>
      </c>
      <c r="X191" s="34">
        <f>20</f>
        <v>20</v>
      </c>
    </row>
    <row r="192" spans="1:24" ht="13.5" customHeight="1" x14ac:dyDescent="0.15">
      <c r="A192" s="25" t="s">
        <v>1032</v>
      </c>
      <c r="B192" s="25" t="s">
        <v>604</v>
      </c>
      <c r="C192" s="25" t="s">
        <v>605</v>
      </c>
      <c r="D192" s="25" t="s">
        <v>606</v>
      </c>
      <c r="E192" s="26" t="s">
        <v>45</v>
      </c>
      <c r="F192" s="27" t="s">
        <v>45</v>
      </c>
      <c r="G192" s="28" t="s">
        <v>45</v>
      </c>
      <c r="H192" s="29"/>
      <c r="I192" s="29" t="s">
        <v>567</v>
      </c>
      <c r="J192" s="30">
        <v>1</v>
      </c>
      <c r="K192" s="31">
        <f>15115</f>
        <v>15115</v>
      </c>
      <c r="L192" s="32" t="s">
        <v>996</v>
      </c>
      <c r="M192" s="31">
        <f>16010</f>
        <v>16010</v>
      </c>
      <c r="N192" s="32" t="s">
        <v>792</v>
      </c>
      <c r="O192" s="31">
        <f>15115</f>
        <v>15115</v>
      </c>
      <c r="P192" s="32" t="s">
        <v>996</v>
      </c>
      <c r="Q192" s="31">
        <f>15845</f>
        <v>15845</v>
      </c>
      <c r="R192" s="32" t="s">
        <v>255</v>
      </c>
      <c r="S192" s="33">
        <f>15810.38</f>
        <v>15810.38</v>
      </c>
      <c r="T192" s="30">
        <f>199</f>
        <v>199</v>
      </c>
      <c r="U192" s="30" t="str">
        <f t="shared" ref="U192:U206" si="10">"－"</f>
        <v>－</v>
      </c>
      <c r="V192" s="30">
        <f>3113190</f>
        <v>3113190</v>
      </c>
      <c r="W192" s="30" t="str">
        <f t="shared" ref="W192:W206" si="11">"－"</f>
        <v>－</v>
      </c>
      <c r="X192" s="34">
        <f>13</f>
        <v>13</v>
      </c>
    </row>
    <row r="193" spans="1:24" ht="13.5" customHeight="1" x14ac:dyDescent="0.15">
      <c r="A193" s="25" t="s">
        <v>1032</v>
      </c>
      <c r="B193" s="25" t="s">
        <v>607</v>
      </c>
      <c r="C193" s="25" t="s">
        <v>608</v>
      </c>
      <c r="D193" s="25" t="s">
        <v>609</v>
      </c>
      <c r="E193" s="26" t="s">
        <v>45</v>
      </c>
      <c r="F193" s="27" t="s">
        <v>45</v>
      </c>
      <c r="G193" s="28" t="s">
        <v>45</v>
      </c>
      <c r="H193" s="29"/>
      <c r="I193" s="29" t="s">
        <v>567</v>
      </c>
      <c r="J193" s="30">
        <v>1</v>
      </c>
      <c r="K193" s="31">
        <f>17275</f>
        <v>17275</v>
      </c>
      <c r="L193" s="32" t="s">
        <v>996</v>
      </c>
      <c r="M193" s="31">
        <f>18310</f>
        <v>18310</v>
      </c>
      <c r="N193" s="32" t="s">
        <v>997</v>
      </c>
      <c r="O193" s="31">
        <f>16660</f>
        <v>16660</v>
      </c>
      <c r="P193" s="32" t="s">
        <v>78</v>
      </c>
      <c r="Q193" s="31">
        <f>18280</f>
        <v>18280</v>
      </c>
      <c r="R193" s="32" t="s">
        <v>997</v>
      </c>
      <c r="S193" s="33">
        <f>17506.75</f>
        <v>17506.75</v>
      </c>
      <c r="T193" s="30">
        <f>22200</f>
        <v>22200</v>
      </c>
      <c r="U193" s="30" t="str">
        <f t="shared" si="10"/>
        <v>－</v>
      </c>
      <c r="V193" s="30">
        <f>389442035</f>
        <v>389442035</v>
      </c>
      <c r="W193" s="30" t="str">
        <f t="shared" si="11"/>
        <v>－</v>
      </c>
      <c r="X193" s="34">
        <f>20</f>
        <v>20</v>
      </c>
    </row>
    <row r="194" spans="1:24" ht="13.5" customHeight="1" x14ac:dyDescent="0.15">
      <c r="A194" s="25" t="s">
        <v>1032</v>
      </c>
      <c r="B194" s="25" t="s">
        <v>610</v>
      </c>
      <c r="C194" s="25" t="s">
        <v>611</v>
      </c>
      <c r="D194" s="25" t="s">
        <v>612</v>
      </c>
      <c r="E194" s="26" t="s">
        <v>45</v>
      </c>
      <c r="F194" s="27" t="s">
        <v>45</v>
      </c>
      <c r="G194" s="28" t="s">
        <v>45</v>
      </c>
      <c r="H194" s="29"/>
      <c r="I194" s="29" t="s">
        <v>567</v>
      </c>
      <c r="J194" s="30">
        <v>1</v>
      </c>
      <c r="K194" s="31">
        <f>4275</f>
        <v>4275</v>
      </c>
      <c r="L194" s="32" t="s">
        <v>996</v>
      </c>
      <c r="M194" s="31">
        <f>4325</f>
        <v>4325</v>
      </c>
      <c r="N194" s="32" t="s">
        <v>998</v>
      </c>
      <c r="O194" s="31">
        <f>4195</f>
        <v>4195</v>
      </c>
      <c r="P194" s="32" t="s">
        <v>794</v>
      </c>
      <c r="Q194" s="31">
        <f>4220</f>
        <v>4220</v>
      </c>
      <c r="R194" s="32" t="s">
        <v>997</v>
      </c>
      <c r="S194" s="33">
        <f>4252</f>
        <v>4252</v>
      </c>
      <c r="T194" s="30">
        <f>1524</f>
        <v>1524</v>
      </c>
      <c r="U194" s="30" t="str">
        <f t="shared" si="10"/>
        <v>－</v>
      </c>
      <c r="V194" s="30">
        <f>6500685</f>
        <v>6500685</v>
      </c>
      <c r="W194" s="30" t="str">
        <f t="shared" si="11"/>
        <v>－</v>
      </c>
      <c r="X194" s="34">
        <f>20</f>
        <v>20</v>
      </c>
    </row>
    <row r="195" spans="1:24" ht="13.5" customHeight="1" x14ac:dyDescent="0.15">
      <c r="A195" s="25" t="s">
        <v>1032</v>
      </c>
      <c r="B195" s="25" t="s">
        <v>613</v>
      </c>
      <c r="C195" s="25" t="s">
        <v>614</v>
      </c>
      <c r="D195" s="25" t="s">
        <v>615</v>
      </c>
      <c r="E195" s="26" t="s">
        <v>45</v>
      </c>
      <c r="F195" s="27" t="s">
        <v>45</v>
      </c>
      <c r="G195" s="28" t="s">
        <v>45</v>
      </c>
      <c r="H195" s="29"/>
      <c r="I195" s="29" t="s">
        <v>567</v>
      </c>
      <c r="J195" s="30">
        <v>1</v>
      </c>
      <c r="K195" s="31">
        <f>16340</f>
        <v>16340</v>
      </c>
      <c r="L195" s="32" t="s">
        <v>996</v>
      </c>
      <c r="M195" s="31">
        <f>17130</f>
        <v>17130</v>
      </c>
      <c r="N195" s="32" t="s">
        <v>793</v>
      </c>
      <c r="O195" s="31">
        <f>15715</f>
        <v>15715</v>
      </c>
      <c r="P195" s="32" t="s">
        <v>78</v>
      </c>
      <c r="Q195" s="31">
        <f>17100</f>
        <v>17100</v>
      </c>
      <c r="R195" s="32" t="s">
        <v>997</v>
      </c>
      <c r="S195" s="33">
        <f>16569.67</f>
        <v>16569.669999999998</v>
      </c>
      <c r="T195" s="30">
        <f>163</f>
        <v>163</v>
      </c>
      <c r="U195" s="30" t="str">
        <f t="shared" si="10"/>
        <v>－</v>
      </c>
      <c r="V195" s="30">
        <f>2703675</f>
        <v>2703675</v>
      </c>
      <c r="W195" s="30" t="str">
        <f t="shared" si="11"/>
        <v>－</v>
      </c>
      <c r="X195" s="34">
        <f>15</f>
        <v>15</v>
      </c>
    </row>
    <row r="196" spans="1:24" ht="13.5" customHeight="1" x14ac:dyDescent="0.15">
      <c r="A196" s="25" t="s">
        <v>1032</v>
      </c>
      <c r="B196" s="25" t="s">
        <v>616</v>
      </c>
      <c r="C196" s="25" t="s">
        <v>617</v>
      </c>
      <c r="D196" s="25" t="s">
        <v>618</v>
      </c>
      <c r="E196" s="26" t="s">
        <v>45</v>
      </c>
      <c r="F196" s="27" t="s">
        <v>45</v>
      </c>
      <c r="G196" s="28" t="s">
        <v>45</v>
      </c>
      <c r="H196" s="29"/>
      <c r="I196" s="29" t="s">
        <v>567</v>
      </c>
      <c r="J196" s="30">
        <v>1</v>
      </c>
      <c r="K196" s="31">
        <f>14000</f>
        <v>14000</v>
      </c>
      <c r="L196" s="32" t="s">
        <v>996</v>
      </c>
      <c r="M196" s="31">
        <f>14355</f>
        <v>14355</v>
      </c>
      <c r="N196" s="32" t="s">
        <v>789</v>
      </c>
      <c r="O196" s="31">
        <f>13565</f>
        <v>13565</v>
      </c>
      <c r="P196" s="32" t="s">
        <v>1003</v>
      </c>
      <c r="Q196" s="31">
        <f>14240</f>
        <v>14240</v>
      </c>
      <c r="R196" s="32" t="s">
        <v>789</v>
      </c>
      <c r="S196" s="33">
        <f>13992.14</f>
        <v>13992.14</v>
      </c>
      <c r="T196" s="30">
        <f>178</f>
        <v>178</v>
      </c>
      <c r="U196" s="30" t="str">
        <f t="shared" si="10"/>
        <v>－</v>
      </c>
      <c r="V196" s="30">
        <f>2482515</f>
        <v>2482515</v>
      </c>
      <c r="W196" s="30" t="str">
        <f t="shared" si="11"/>
        <v>－</v>
      </c>
      <c r="X196" s="34">
        <f>7</f>
        <v>7</v>
      </c>
    </row>
    <row r="197" spans="1:24" ht="13.5" customHeight="1" x14ac:dyDescent="0.15">
      <c r="A197" s="25" t="s">
        <v>1032</v>
      </c>
      <c r="B197" s="25" t="s">
        <v>619</v>
      </c>
      <c r="C197" s="25" t="s">
        <v>620</v>
      </c>
      <c r="D197" s="25" t="s">
        <v>621</v>
      </c>
      <c r="E197" s="26" t="s">
        <v>45</v>
      </c>
      <c r="F197" s="27" t="s">
        <v>45</v>
      </c>
      <c r="G197" s="28" t="s">
        <v>45</v>
      </c>
      <c r="H197" s="29"/>
      <c r="I197" s="29" t="s">
        <v>567</v>
      </c>
      <c r="J197" s="30">
        <v>1</v>
      </c>
      <c r="K197" s="31">
        <f>19385</f>
        <v>19385</v>
      </c>
      <c r="L197" s="32" t="s">
        <v>996</v>
      </c>
      <c r="M197" s="31">
        <f>20080</f>
        <v>20080</v>
      </c>
      <c r="N197" s="32" t="s">
        <v>997</v>
      </c>
      <c r="O197" s="31">
        <f>18705</f>
        <v>18705</v>
      </c>
      <c r="P197" s="32" t="s">
        <v>78</v>
      </c>
      <c r="Q197" s="31">
        <f>20080</f>
        <v>20080</v>
      </c>
      <c r="R197" s="32" t="s">
        <v>997</v>
      </c>
      <c r="S197" s="33">
        <f>19466</f>
        <v>19466</v>
      </c>
      <c r="T197" s="30">
        <f>102</f>
        <v>102</v>
      </c>
      <c r="U197" s="30" t="str">
        <f t="shared" si="10"/>
        <v>－</v>
      </c>
      <c r="V197" s="30">
        <f>2009410</f>
        <v>2009410</v>
      </c>
      <c r="W197" s="30" t="str">
        <f t="shared" si="11"/>
        <v>－</v>
      </c>
      <c r="X197" s="34">
        <f>10</f>
        <v>10</v>
      </c>
    </row>
    <row r="198" spans="1:24" ht="13.5" customHeight="1" x14ac:dyDescent="0.15">
      <c r="A198" s="25" t="s">
        <v>1032</v>
      </c>
      <c r="B198" s="25" t="s">
        <v>622</v>
      </c>
      <c r="C198" s="25" t="s">
        <v>623</v>
      </c>
      <c r="D198" s="25" t="s">
        <v>624</v>
      </c>
      <c r="E198" s="26" t="s">
        <v>45</v>
      </c>
      <c r="F198" s="27" t="s">
        <v>45</v>
      </c>
      <c r="G198" s="28" t="s">
        <v>45</v>
      </c>
      <c r="H198" s="29"/>
      <c r="I198" s="29" t="s">
        <v>567</v>
      </c>
      <c r="J198" s="30">
        <v>1</v>
      </c>
      <c r="K198" s="31">
        <f>15760</f>
        <v>15760</v>
      </c>
      <c r="L198" s="32" t="s">
        <v>996</v>
      </c>
      <c r="M198" s="31">
        <f>16465</f>
        <v>16465</v>
      </c>
      <c r="N198" s="32" t="s">
        <v>997</v>
      </c>
      <c r="O198" s="31">
        <f>15760</f>
        <v>15760</v>
      </c>
      <c r="P198" s="32" t="s">
        <v>996</v>
      </c>
      <c r="Q198" s="31">
        <f>16465</f>
        <v>16465</v>
      </c>
      <c r="R198" s="32" t="s">
        <v>997</v>
      </c>
      <c r="S198" s="33">
        <f>16172.5</f>
        <v>16172.5</v>
      </c>
      <c r="T198" s="30">
        <f>6</f>
        <v>6</v>
      </c>
      <c r="U198" s="30" t="str">
        <f t="shared" si="10"/>
        <v>－</v>
      </c>
      <c r="V198" s="30">
        <f>96380</f>
        <v>96380</v>
      </c>
      <c r="W198" s="30" t="str">
        <f t="shared" si="11"/>
        <v>－</v>
      </c>
      <c r="X198" s="34">
        <f>2</f>
        <v>2</v>
      </c>
    </row>
    <row r="199" spans="1:24" ht="13.5" customHeight="1" x14ac:dyDescent="0.15">
      <c r="A199" s="25" t="s">
        <v>1032</v>
      </c>
      <c r="B199" s="25" t="s">
        <v>625</v>
      </c>
      <c r="C199" s="25" t="s">
        <v>626</v>
      </c>
      <c r="D199" s="25" t="s">
        <v>627</v>
      </c>
      <c r="E199" s="26" t="s">
        <v>45</v>
      </c>
      <c r="F199" s="27" t="s">
        <v>45</v>
      </c>
      <c r="G199" s="28" t="s">
        <v>45</v>
      </c>
      <c r="H199" s="29"/>
      <c r="I199" s="29" t="s">
        <v>567</v>
      </c>
      <c r="J199" s="30">
        <v>1</v>
      </c>
      <c r="K199" s="31">
        <f>13955</f>
        <v>13955</v>
      </c>
      <c r="L199" s="32" t="s">
        <v>996</v>
      </c>
      <c r="M199" s="31">
        <f>14085</f>
        <v>14085</v>
      </c>
      <c r="N199" s="32" t="s">
        <v>80</v>
      </c>
      <c r="O199" s="31">
        <f>13645</f>
        <v>13645</v>
      </c>
      <c r="P199" s="32" t="s">
        <v>1003</v>
      </c>
      <c r="Q199" s="31">
        <f>14065</f>
        <v>14065</v>
      </c>
      <c r="R199" s="32" t="s">
        <v>255</v>
      </c>
      <c r="S199" s="33">
        <f>13888</f>
        <v>13888</v>
      </c>
      <c r="T199" s="30">
        <f>642</f>
        <v>642</v>
      </c>
      <c r="U199" s="30" t="str">
        <f t="shared" si="10"/>
        <v>－</v>
      </c>
      <c r="V199" s="30">
        <f>8914480</f>
        <v>8914480</v>
      </c>
      <c r="W199" s="30" t="str">
        <f t="shared" si="11"/>
        <v>－</v>
      </c>
      <c r="X199" s="34">
        <f>10</f>
        <v>10</v>
      </c>
    </row>
    <row r="200" spans="1:24" ht="13.5" customHeight="1" x14ac:dyDescent="0.15">
      <c r="A200" s="25" t="s">
        <v>1032</v>
      </c>
      <c r="B200" s="25" t="s">
        <v>628</v>
      </c>
      <c r="C200" s="25" t="s">
        <v>629</v>
      </c>
      <c r="D200" s="25" t="s">
        <v>630</v>
      </c>
      <c r="E200" s="26" t="s">
        <v>45</v>
      </c>
      <c r="F200" s="27" t="s">
        <v>45</v>
      </c>
      <c r="G200" s="28" t="s">
        <v>45</v>
      </c>
      <c r="H200" s="29"/>
      <c r="I200" s="29" t="s">
        <v>567</v>
      </c>
      <c r="J200" s="30">
        <v>1</v>
      </c>
      <c r="K200" s="31">
        <f>16415</f>
        <v>16415</v>
      </c>
      <c r="L200" s="32" t="s">
        <v>785</v>
      </c>
      <c r="M200" s="31">
        <f>16505</f>
        <v>16505</v>
      </c>
      <c r="N200" s="32" t="s">
        <v>80</v>
      </c>
      <c r="O200" s="31">
        <f>16095</f>
        <v>16095</v>
      </c>
      <c r="P200" s="32" t="s">
        <v>1003</v>
      </c>
      <c r="Q200" s="31">
        <f>16450</f>
        <v>16450</v>
      </c>
      <c r="R200" s="32" t="s">
        <v>997</v>
      </c>
      <c r="S200" s="33">
        <f>16339.17</f>
        <v>16339.17</v>
      </c>
      <c r="T200" s="30">
        <f>18</f>
        <v>18</v>
      </c>
      <c r="U200" s="30" t="str">
        <f t="shared" si="10"/>
        <v>－</v>
      </c>
      <c r="V200" s="30">
        <f>295515</f>
        <v>295515</v>
      </c>
      <c r="W200" s="30" t="str">
        <f t="shared" si="11"/>
        <v>－</v>
      </c>
      <c r="X200" s="34">
        <f>6</f>
        <v>6</v>
      </c>
    </row>
    <row r="201" spans="1:24" ht="13.5" customHeight="1" x14ac:dyDescent="0.15">
      <c r="A201" s="25" t="s">
        <v>1032</v>
      </c>
      <c r="B201" s="25" t="s">
        <v>631</v>
      </c>
      <c r="C201" s="25" t="s">
        <v>632</v>
      </c>
      <c r="D201" s="25" t="s">
        <v>633</v>
      </c>
      <c r="E201" s="26" t="s">
        <v>45</v>
      </c>
      <c r="F201" s="27" t="s">
        <v>45</v>
      </c>
      <c r="G201" s="28" t="s">
        <v>45</v>
      </c>
      <c r="H201" s="29"/>
      <c r="I201" s="29" t="s">
        <v>567</v>
      </c>
      <c r="J201" s="30">
        <v>1</v>
      </c>
      <c r="K201" s="31">
        <f>14055</f>
        <v>14055</v>
      </c>
      <c r="L201" s="32" t="s">
        <v>785</v>
      </c>
      <c r="M201" s="31">
        <f>14305</f>
        <v>14305</v>
      </c>
      <c r="N201" s="32" t="s">
        <v>790</v>
      </c>
      <c r="O201" s="31">
        <f>13670</f>
        <v>13670</v>
      </c>
      <c r="P201" s="32" t="s">
        <v>78</v>
      </c>
      <c r="Q201" s="31">
        <f>14150</f>
        <v>14150</v>
      </c>
      <c r="R201" s="32" t="s">
        <v>998</v>
      </c>
      <c r="S201" s="33">
        <f>14046.25</f>
        <v>14046.25</v>
      </c>
      <c r="T201" s="30">
        <f>121</f>
        <v>121</v>
      </c>
      <c r="U201" s="30" t="str">
        <f t="shared" si="10"/>
        <v>－</v>
      </c>
      <c r="V201" s="30">
        <f>1687755</f>
        <v>1687755</v>
      </c>
      <c r="W201" s="30" t="str">
        <f t="shared" si="11"/>
        <v>－</v>
      </c>
      <c r="X201" s="34">
        <f>8</f>
        <v>8</v>
      </c>
    </row>
    <row r="202" spans="1:24" ht="13.5" customHeight="1" x14ac:dyDescent="0.15">
      <c r="A202" s="25" t="s">
        <v>1032</v>
      </c>
      <c r="B202" s="25" t="s">
        <v>634</v>
      </c>
      <c r="C202" s="25" t="s">
        <v>635</v>
      </c>
      <c r="D202" s="25" t="s">
        <v>636</v>
      </c>
      <c r="E202" s="26" t="s">
        <v>45</v>
      </c>
      <c r="F202" s="27" t="s">
        <v>45</v>
      </c>
      <c r="G202" s="28" t="s">
        <v>45</v>
      </c>
      <c r="H202" s="29"/>
      <c r="I202" s="29" t="s">
        <v>567</v>
      </c>
      <c r="J202" s="30">
        <v>1</v>
      </c>
      <c r="K202" s="31">
        <f>9295</f>
        <v>9295</v>
      </c>
      <c r="L202" s="32" t="s">
        <v>78</v>
      </c>
      <c r="M202" s="31">
        <f>9755</f>
        <v>9755</v>
      </c>
      <c r="N202" s="32" t="s">
        <v>788</v>
      </c>
      <c r="O202" s="31">
        <f>9295</f>
        <v>9295</v>
      </c>
      <c r="P202" s="32" t="s">
        <v>78</v>
      </c>
      <c r="Q202" s="31">
        <f>9676</f>
        <v>9676</v>
      </c>
      <c r="R202" s="32" t="s">
        <v>255</v>
      </c>
      <c r="S202" s="33">
        <f>9601.63</f>
        <v>9601.6299999999992</v>
      </c>
      <c r="T202" s="30">
        <f>3863</f>
        <v>3863</v>
      </c>
      <c r="U202" s="30" t="str">
        <f t="shared" si="10"/>
        <v>－</v>
      </c>
      <c r="V202" s="30">
        <f>37275687</f>
        <v>37275687</v>
      </c>
      <c r="W202" s="30" t="str">
        <f t="shared" si="11"/>
        <v>－</v>
      </c>
      <c r="X202" s="34">
        <f>8</f>
        <v>8</v>
      </c>
    </row>
    <row r="203" spans="1:24" ht="13.5" customHeight="1" x14ac:dyDescent="0.15">
      <c r="A203" s="25" t="s">
        <v>1032</v>
      </c>
      <c r="B203" s="25" t="s">
        <v>637</v>
      </c>
      <c r="C203" s="25" t="s">
        <v>638</v>
      </c>
      <c r="D203" s="25" t="s">
        <v>639</v>
      </c>
      <c r="E203" s="26" t="s">
        <v>45</v>
      </c>
      <c r="F203" s="27" t="s">
        <v>45</v>
      </c>
      <c r="G203" s="28" t="s">
        <v>45</v>
      </c>
      <c r="H203" s="29"/>
      <c r="I203" s="29" t="s">
        <v>567</v>
      </c>
      <c r="J203" s="30">
        <v>1</v>
      </c>
      <c r="K203" s="31">
        <f>10555</f>
        <v>10555</v>
      </c>
      <c r="L203" s="32" t="s">
        <v>996</v>
      </c>
      <c r="M203" s="31">
        <f>10700</f>
        <v>10700</v>
      </c>
      <c r="N203" s="32" t="s">
        <v>789</v>
      </c>
      <c r="O203" s="31">
        <f>10155</f>
        <v>10155</v>
      </c>
      <c r="P203" s="32" t="s">
        <v>78</v>
      </c>
      <c r="Q203" s="31">
        <f>10610</f>
        <v>10610</v>
      </c>
      <c r="R203" s="32" t="s">
        <v>997</v>
      </c>
      <c r="S203" s="33">
        <f>10489.21</f>
        <v>10489.21</v>
      </c>
      <c r="T203" s="30">
        <f>45003</f>
        <v>45003</v>
      </c>
      <c r="U203" s="30" t="str">
        <f t="shared" si="10"/>
        <v>－</v>
      </c>
      <c r="V203" s="30">
        <f>473273240</f>
        <v>473273240</v>
      </c>
      <c r="W203" s="30" t="str">
        <f t="shared" si="11"/>
        <v>－</v>
      </c>
      <c r="X203" s="34">
        <f>19</f>
        <v>19</v>
      </c>
    </row>
    <row r="204" spans="1:24" ht="13.5" customHeight="1" x14ac:dyDescent="0.15">
      <c r="A204" s="25" t="s">
        <v>1032</v>
      </c>
      <c r="B204" s="25" t="s">
        <v>640</v>
      </c>
      <c r="C204" s="25" t="s">
        <v>641</v>
      </c>
      <c r="D204" s="25" t="s">
        <v>642</v>
      </c>
      <c r="E204" s="26" t="s">
        <v>45</v>
      </c>
      <c r="F204" s="27" t="s">
        <v>45</v>
      </c>
      <c r="G204" s="28" t="s">
        <v>45</v>
      </c>
      <c r="H204" s="29"/>
      <c r="I204" s="29" t="s">
        <v>567</v>
      </c>
      <c r="J204" s="30">
        <v>1</v>
      </c>
      <c r="K204" s="31">
        <f>10125</f>
        <v>10125</v>
      </c>
      <c r="L204" s="32" t="s">
        <v>78</v>
      </c>
      <c r="M204" s="31">
        <f>10715</f>
        <v>10715</v>
      </c>
      <c r="N204" s="32" t="s">
        <v>997</v>
      </c>
      <c r="O204" s="31">
        <f>10125</f>
        <v>10125</v>
      </c>
      <c r="P204" s="32" t="s">
        <v>78</v>
      </c>
      <c r="Q204" s="31">
        <f>10645</f>
        <v>10645</v>
      </c>
      <c r="R204" s="32" t="s">
        <v>997</v>
      </c>
      <c r="S204" s="33">
        <f>10447.31</f>
        <v>10447.31</v>
      </c>
      <c r="T204" s="30">
        <f>3907</f>
        <v>3907</v>
      </c>
      <c r="U204" s="30" t="str">
        <f t="shared" si="10"/>
        <v>－</v>
      </c>
      <c r="V204" s="30">
        <f>40497180</f>
        <v>40497180</v>
      </c>
      <c r="W204" s="30" t="str">
        <f t="shared" si="11"/>
        <v>－</v>
      </c>
      <c r="X204" s="34">
        <f>13</f>
        <v>13</v>
      </c>
    </row>
    <row r="205" spans="1:24" ht="13.5" customHeight="1" x14ac:dyDescent="0.15">
      <c r="A205" s="25" t="s">
        <v>1032</v>
      </c>
      <c r="B205" s="25" t="s">
        <v>899</v>
      </c>
      <c r="C205" s="25" t="s">
        <v>900</v>
      </c>
      <c r="D205" s="25" t="s">
        <v>901</v>
      </c>
      <c r="E205" s="26" t="s">
        <v>45</v>
      </c>
      <c r="F205" s="27" t="s">
        <v>45</v>
      </c>
      <c r="G205" s="28" t="s">
        <v>45</v>
      </c>
      <c r="H205" s="29"/>
      <c r="I205" s="29" t="s">
        <v>567</v>
      </c>
      <c r="J205" s="30">
        <v>1</v>
      </c>
      <c r="K205" s="31">
        <f>10200</f>
        <v>10200</v>
      </c>
      <c r="L205" s="32" t="s">
        <v>80</v>
      </c>
      <c r="M205" s="31">
        <f>10360</f>
        <v>10360</v>
      </c>
      <c r="N205" s="32" t="s">
        <v>789</v>
      </c>
      <c r="O205" s="31">
        <f>10190</f>
        <v>10190</v>
      </c>
      <c r="P205" s="32" t="s">
        <v>786</v>
      </c>
      <c r="Q205" s="31">
        <f>10215</f>
        <v>10215</v>
      </c>
      <c r="R205" s="32" t="s">
        <v>786</v>
      </c>
      <c r="S205" s="33">
        <f>10258.33</f>
        <v>10258.33</v>
      </c>
      <c r="T205" s="30">
        <f>1041</f>
        <v>1041</v>
      </c>
      <c r="U205" s="30" t="str">
        <f t="shared" si="10"/>
        <v>－</v>
      </c>
      <c r="V205" s="30">
        <f>10688695</f>
        <v>10688695</v>
      </c>
      <c r="W205" s="30" t="str">
        <f t="shared" si="11"/>
        <v>－</v>
      </c>
      <c r="X205" s="34">
        <f>3</f>
        <v>3</v>
      </c>
    </row>
    <row r="206" spans="1:24" ht="13.5" customHeight="1" x14ac:dyDescent="0.15">
      <c r="A206" s="25" t="s">
        <v>1032</v>
      </c>
      <c r="B206" s="25" t="s">
        <v>986</v>
      </c>
      <c r="C206" s="25" t="s">
        <v>987</v>
      </c>
      <c r="D206" s="25" t="s">
        <v>988</v>
      </c>
      <c r="E206" s="26" t="s">
        <v>45</v>
      </c>
      <c r="F206" s="27" t="s">
        <v>45</v>
      </c>
      <c r="G206" s="28" t="s">
        <v>45</v>
      </c>
      <c r="H206" s="29"/>
      <c r="I206" s="29" t="s">
        <v>46</v>
      </c>
      <c r="J206" s="30">
        <v>10</v>
      </c>
      <c r="K206" s="31">
        <f>1927</f>
        <v>1927</v>
      </c>
      <c r="L206" s="32" t="s">
        <v>996</v>
      </c>
      <c r="M206" s="31">
        <f>1986.5</f>
        <v>1986.5</v>
      </c>
      <c r="N206" s="32" t="s">
        <v>788</v>
      </c>
      <c r="O206" s="31">
        <f>1906</f>
        <v>1906</v>
      </c>
      <c r="P206" s="32" t="s">
        <v>78</v>
      </c>
      <c r="Q206" s="31">
        <f>1982.5</f>
        <v>1982.5</v>
      </c>
      <c r="R206" s="32" t="s">
        <v>997</v>
      </c>
      <c r="S206" s="33">
        <f>1952.25</f>
        <v>1952.25</v>
      </c>
      <c r="T206" s="30">
        <f>39990</f>
        <v>39990</v>
      </c>
      <c r="U206" s="30" t="str">
        <f t="shared" si="10"/>
        <v>－</v>
      </c>
      <c r="V206" s="30">
        <f>78531655</f>
        <v>78531655</v>
      </c>
      <c r="W206" s="30" t="str">
        <f t="shared" si="11"/>
        <v>－</v>
      </c>
      <c r="X206" s="34">
        <f>20</f>
        <v>20</v>
      </c>
    </row>
    <row r="207" spans="1:24" ht="13.5" customHeight="1" x14ac:dyDescent="0.15">
      <c r="A207" s="25" t="s">
        <v>1032</v>
      </c>
      <c r="B207" s="25" t="s">
        <v>990</v>
      </c>
      <c r="C207" s="25" t="s">
        <v>991</v>
      </c>
      <c r="D207" s="25" t="s">
        <v>992</v>
      </c>
      <c r="E207" s="26" t="s">
        <v>45</v>
      </c>
      <c r="F207" s="27" t="s">
        <v>45</v>
      </c>
      <c r="G207" s="28" t="s">
        <v>45</v>
      </c>
      <c r="H207" s="29"/>
      <c r="I207" s="29" t="s">
        <v>46</v>
      </c>
      <c r="J207" s="30">
        <v>1</v>
      </c>
      <c r="K207" s="31">
        <f>989</f>
        <v>989</v>
      </c>
      <c r="L207" s="32" t="s">
        <v>996</v>
      </c>
      <c r="M207" s="31">
        <f>1017</f>
        <v>1017</v>
      </c>
      <c r="N207" s="32" t="s">
        <v>997</v>
      </c>
      <c r="O207" s="31">
        <f>963</f>
        <v>963</v>
      </c>
      <c r="P207" s="32" t="s">
        <v>78</v>
      </c>
      <c r="Q207" s="31">
        <f>1017</f>
        <v>1017</v>
      </c>
      <c r="R207" s="32" t="s">
        <v>997</v>
      </c>
      <c r="S207" s="33">
        <f>992.85</f>
        <v>992.85</v>
      </c>
      <c r="T207" s="30">
        <f>957205</f>
        <v>957205</v>
      </c>
      <c r="U207" s="30">
        <f>30251</f>
        <v>30251</v>
      </c>
      <c r="V207" s="30">
        <f>952554179</f>
        <v>952554179</v>
      </c>
      <c r="W207" s="30">
        <f>30108093</f>
        <v>30108093</v>
      </c>
      <c r="X207" s="34">
        <f>20</f>
        <v>20</v>
      </c>
    </row>
    <row r="208" spans="1:24" ht="13.5" customHeight="1" x14ac:dyDescent="0.15">
      <c r="A208" s="25" t="s">
        <v>1032</v>
      </c>
      <c r="B208" s="25" t="s">
        <v>1006</v>
      </c>
      <c r="C208" s="25" t="s">
        <v>1007</v>
      </c>
      <c r="D208" s="25" t="s">
        <v>1008</v>
      </c>
      <c r="E208" s="26" t="s">
        <v>45</v>
      </c>
      <c r="F208" s="27" t="s">
        <v>45</v>
      </c>
      <c r="G208" s="28" t="s">
        <v>45</v>
      </c>
      <c r="H208" s="29"/>
      <c r="I208" s="29" t="s">
        <v>46</v>
      </c>
      <c r="J208" s="30">
        <v>1</v>
      </c>
      <c r="K208" s="31">
        <f>51160</f>
        <v>51160</v>
      </c>
      <c r="L208" s="32" t="s">
        <v>996</v>
      </c>
      <c r="M208" s="31">
        <f>52390</f>
        <v>52390</v>
      </c>
      <c r="N208" s="32" t="s">
        <v>790</v>
      </c>
      <c r="O208" s="31">
        <f>49940</f>
        <v>49940</v>
      </c>
      <c r="P208" s="32" t="s">
        <v>255</v>
      </c>
      <c r="Q208" s="31">
        <f>51690</f>
        <v>51690</v>
      </c>
      <c r="R208" s="32" t="s">
        <v>997</v>
      </c>
      <c r="S208" s="33">
        <f>51467</f>
        <v>51467</v>
      </c>
      <c r="T208" s="30">
        <f>22177</f>
        <v>22177</v>
      </c>
      <c r="U208" s="30" t="str">
        <f>"－"</f>
        <v>－</v>
      </c>
      <c r="V208" s="30">
        <f>1137793570</f>
        <v>1137793570</v>
      </c>
      <c r="W208" s="30" t="str">
        <f>"－"</f>
        <v>－</v>
      </c>
      <c r="X208" s="34">
        <f>20</f>
        <v>20</v>
      </c>
    </row>
    <row r="209" spans="1:24" ht="13.5" customHeight="1" x14ac:dyDescent="0.15">
      <c r="A209" s="25" t="s">
        <v>1032</v>
      </c>
      <c r="B209" s="25" t="s">
        <v>1010</v>
      </c>
      <c r="C209" s="25" t="s">
        <v>1011</v>
      </c>
      <c r="D209" s="25" t="s">
        <v>1012</v>
      </c>
      <c r="E209" s="26" t="s">
        <v>45</v>
      </c>
      <c r="F209" s="27" t="s">
        <v>45</v>
      </c>
      <c r="G209" s="28" t="s">
        <v>45</v>
      </c>
      <c r="H209" s="29"/>
      <c r="I209" s="29" t="s">
        <v>46</v>
      </c>
      <c r="J209" s="30">
        <v>1</v>
      </c>
      <c r="K209" s="31">
        <f>9508</f>
        <v>9508</v>
      </c>
      <c r="L209" s="32" t="s">
        <v>996</v>
      </c>
      <c r="M209" s="31">
        <f>9672</f>
        <v>9672</v>
      </c>
      <c r="N209" s="32" t="s">
        <v>785</v>
      </c>
      <c r="O209" s="31">
        <f>9388</f>
        <v>9388</v>
      </c>
      <c r="P209" s="32" t="s">
        <v>788</v>
      </c>
      <c r="Q209" s="31">
        <f>9428</f>
        <v>9428</v>
      </c>
      <c r="R209" s="32" t="s">
        <v>997</v>
      </c>
      <c r="S209" s="33">
        <f>9472.4</f>
        <v>9472.4</v>
      </c>
      <c r="T209" s="30">
        <f>1007708</f>
        <v>1007708</v>
      </c>
      <c r="U209" s="30">
        <f>947900</f>
        <v>947900</v>
      </c>
      <c r="V209" s="30">
        <f>9569556983</f>
        <v>9569556983</v>
      </c>
      <c r="W209" s="30">
        <f>9002890825</f>
        <v>9002890825</v>
      </c>
      <c r="X209" s="34">
        <f>20</f>
        <v>20</v>
      </c>
    </row>
    <row r="210" spans="1:24" ht="13.5" customHeight="1" x14ac:dyDescent="0.15">
      <c r="A210" s="25" t="s">
        <v>1032</v>
      </c>
      <c r="B210" s="25" t="s">
        <v>1018</v>
      </c>
      <c r="C210" s="25" t="s">
        <v>1019</v>
      </c>
      <c r="D210" s="25" t="s">
        <v>1020</v>
      </c>
      <c r="E210" s="26" t="s">
        <v>45</v>
      </c>
      <c r="F210" s="27" t="s">
        <v>45</v>
      </c>
      <c r="G210" s="28" t="s">
        <v>45</v>
      </c>
      <c r="H210" s="29"/>
      <c r="I210" s="29" t="s">
        <v>46</v>
      </c>
      <c r="J210" s="30">
        <v>10</v>
      </c>
      <c r="K210" s="31">
        <f>10935</f>
        <v>10935</v>
      </c>
      <c r="L210" s="32" t="s">
        <v>996</v>
      </c>
      <c r="M210" s="31">
        <f>11160</f>
        <v>11160</v>
      </c>
      <c r="N210" s="32" t="s">
        <v>788</v>
      </c>
      <c r="O210" s="31">
        <f>10670</f>
        <v>10670</v>
      </c>
      <c r="P210" s="32" t="s">
        <v>255</v>
      </c>
      <c r="Q210" s="31">
        <f>11015</f>
        <v>11015</v>
      </c>
      <c r="R210" s="32" t="s">
        <v>997</v>
      </c>
      <c r="S210" s="33">
        <f>10967.5</f>
        <v>10967.5</v>
      </c>
      <c r="T210" s="30">
        <f>3530</f>
        <v>3530</v>
      </c>
      <c r="U210" s="30" t="str">
        <f>"－"</f>
        <v>－</v>
      </c>
      <c r="V210" s="30">
        <f>38644850</f>
        <v>38644850</v>
      </c>
      <c r="W210" s="30" t="str">
        <f>"－"</f>
        <v>－</v>
      </c>
      <c r="X210" s="34">
        <f>20</f>
        <v>20</v>
      </c>
    </row>
    <row r="211" spans="1:24" ht="13.5" customHeight="1" x14ac:dyDescent="0.15">
      <c r="A211" s="25" t="s">
        <v>1032</v>
      </c>
      <c r="B211" s="25" t="s">
        <v>1022</v>
      </c>
      <c r="C211" s="25" t="s">
        <v>1023</v>
      </c>
      <c r="D211" s="25" t="s">
        <v>1024</v>
      </c>
      <c r="E211" s="26" t="s">
        <v>45</v>
      </c>
      <c r="F211" s="27" t="s">
        <v>45</v>
      </c>
      <c r="G211" s="28" t="s">
        <v>45</v>
      </c>
      <c r="H211" s="29"/>
      <c r="I211" s="29" t="s">
        <v>46</v>
      </c>
      <c r="J211" s="30">
        <v>10</v>
      </c>
      <c r="K211" s="31">
        <f>9570</f>
        <v>9570</v>
      </c>
      <c r="L211" s="32" t="s">
        <v>996</v>
      </c>
      <c r="M211" s="31">
        <f>9660</f>
        <v>9660</v>
      </c>
      <c r="N211" s="32" t="s">
        <v>786</v>
      </c>
      <c r="O211" s="31">
        <f>9422</f>
        <v>9422</v>
      </c>
      <c r="P211" s="32" t="s">
        <v>790</v>
      </c>
      <c r="Q211" s="31">
        <f>9481</f>
        <v>9481</v>
      </c>
      <c r="R211" s="32" t="s">
        <v>997</v>
      </c>
      <c r="S211" s="33">
        <f>9523</f>
        <v>9523</v>
      </c>
      <c r="T211" s="30">
        <f>16850</f>
        <v>16850</v>
      </c>
      <c r="U211" s="30">
        <f>12100</f>
        <v>12100</v>
      </c>
      <c r="V211" s="30">
        <f>160887293</f>
        <v>160887293</v>
      </c>
      <c r="W211" s="30">
        <f>115471003</f>
        <v>115471003</v>
      </c>
      <c r="X211" s="34">
        <f>16</f>
        <v>16</v>
      </c>
    </row>
    <row r="212" spans="1:24" ht="13.5" customHeight="1" x14ac:dyDescent="0.15">
      <c r="A212" s="25" t="s">
        <v>1032</v>
      </c>
      <c r="B212" s="25" t="s">
        <v>1025</v>
      </c>
      <c r="C212" s="25" t="s">
        <v>1026</v>
      </c>
      <c r="D212" s="25" t="s">
        <v>1027</v>
      </c>
      <c r="E212" s="26" t="s">
        <v>45</v>
      </c>
      <c r="F212" s="27" t="s">
        <v>45</v>
      </c>
      <c r="G212" s="28" t="s">
        <v>45</v>
      </c>
      <c r="H212" s="29"/>
      <c r="I212" s="29" t="s">
        <v>46</v>
      </c>
      <c r="J212" s="30">
        <v>10</v>
      </c>
      <c r="K212" s="31">
        <f>493.5</f>
        <v>493.5</v>
      </c>
      <c r="L212" s="32" t="s">
        <v>996</v>
      </c>
      <c r="M212" s="31">
        <f>508.6</f>
        <v>508.6</v>
      </c>
      <c r="N212" s="32" t="s">
        <v>788</v>
      </c>
      <c r="O212" s="31">
        <f>484.9</f>
        <v>484.9</v>
      </c>
      <c r="P212" s="32" t="s">
        <v>78</v>
      </c>
      <c r="Q212" s="31">
        <f>506.6</f>
        <v>506.6</v>
      </c>
      <c r="R212" s="32" t="s">
        <v>997</v>
      </c>
      <c r="S212" s="33">
        <f>499.68</f>
        <v>499.68</v>
      </c>
      <c r="T212" s="30">
        <f>282020</f>
        <v>282020</v>
      </c>
      <c r="U212" s="30" t="str">
        <f>"－"</f>
        <v>－</v>
      </c>
      <c r="V212" s="30">
        <f>141322158</f>
        <v>141322158</v>
      </c>
      <c r="W212" s="30" t="str">
        <f>"－"</f>
        <v>－</v>
      </c>
      <c r="X212" s="34">
        <f>20</f>
        <v>20</v>
      </c>
    </row>
    <row r="213" spans="1:24" ht="13.5" customHeight="1" x14ac:dyDescent="0.15">
      <c r="A213" s="25" t="s">
        <v>1032</v>
      </c>
      <c r="B213" s="25" t="s">
        <v>1029</v>
      </c>
      <c r="C213" s="25" t="s">
        <v>1030</v>
      </c>
      <c r="D213" s="25" t="s">
        <v>1031</v>
      </c>
      <c r="E213" s="26" t="s">
        <v>45</v>
      </c>
      <c r="F213" s="27" t="s">
        <v>45</v>
      </c>
      <c r="G213" s="28" t="s">
        <v>45</v>
      </c>
      <c r="H213" s="29"/>
      <c r="I213" s="29" t="s">
        <v>46</v>
      </c>
      <c r="J213" s="30">
        <v>10</v>
      </c>
      <c r="K213" s="31">
        <f>506.2</f>
        <v>506.2</v>
      </c>
      <c r="L213" s="32" t="s">
        <v>996</v>
      </c>
      <c r="M213" s="31">
        <f>516.3</f>
        <v>516.29999999999995</v>
      </c>
      <c r="N213" s="32" t="s">
        <v>1005</v>
      </c>
      <c r="O213" s="31">
        <f>505.3</f>
        <v>505.3</v>
      </c>
      <c r="P213" s="32" t="s">
        <v>255</v>
      </c>
      <c r="Q213" s="31">
        <f>511.4</f>
        <v>511.4</v>
      </c>
      <c r="R213" s="32" t="s">
        <v>997</v>
      </c>
      <c r="S213" s="33">
        <f>511.32</f>
        <v>511.32</v>
      </c>
      <c r="T213" s="30">
        <f>10260</f>
        <v>10260</v>
      </c>
      <c r="U213" s="30" t="str">
        <f>"－"</f>
        <v>－</v>
      </c>
      <c r="V213" s="30">
        <f>5251532</f>
        <v>5251532</v>
      </c>
      <c r="W213" s="30" t="str">
        <f>"－"</f>
        <v>－</v>
      </c>
      <c r="X213" s="34">
        <f>18</f>
        <v>18</v>
      </c>
    </row>
    <row r="214" spans="1:24" ht="13.5" customHeight="1" x14ac:dyDescent="0.15">
      <c r="A214" s="25" t="s">
        <v>1032</v>
      </c>
      <c r="B214" s="25" t="s">
        <v>1071</v>
      </c>
      <c r="C214" s="25" t="s">
        <v>1072</v>
      </c>
      <c r="D214" s="25" t="s">
        <v>1073</v>
      </c>
      <c r="E214" s="26" t="s">
        <v>782</v>
      </c>
      <c r="F214" s="27" t="s">
        <v>783</v>
      </c>
      <c r="G214" s="28" t="s">
        <v>1074</v>
      </c>
      <c r="H214" s="29"/>
      <c r="I214" s="29" t="s">
        <v>46</v>
      </c>
      <c r="J214" s="30">
        <v>1</v>
      </c>
      <c r="K214" s="31">
        <f>1004</f>
        <v>1004</v>
      </c>
      <c r="L214" s="32" t="s">
        <v>56</v>
      </c>
      <c r="M214" s="31">
        <f>1004</f>
        <v>1004</v>
      </c>
      <c r="N214" s="32" t="s">
        <v>56</v>
      </c>
      <c r="O214" s="31">
        <f>937</f>
        <v>937</v>
      </c>
      <c r="P214" s="32" t="s">
        <v>786</v>
      </c>
      <c r="Q214" s="31">
        <f>961</f>
        <v>961</v>
      </c>
      <c r="R214" s="32" t="s">
        <v>997</v>
      </c>
      <c r="S214" s="33">
        <f>976.33</f>
        <v>976.33</v>
      </c>
      <c r="T214" s="30">
        <f>876685</f>
        <v>876685</v>
      </c>
      <c r="U214" s="30">
        <f>525200</f>
        <v>525200</v>
      </c>
      <c r="V214" s="30">
        <f>841195631</f>
        <v>841195631</v>
      </c>
      <c r="W214" s="30">
        <f>499241464</f>
        <v>499241464</v>
      </c>
      <c r="X214" s="34">
        <f>12</f>
        <v>12</v>
      </c>
    </row>
    <row r="215" spans="1:24" ht="13.5" customHeight="1" x14ac:dyDescent="0.15">
      <c r="A215" s="25" t="s">
        <v>1032</v>
      </c>
      <c r="B215" s="25" t="s">
        <v>1075</v>
      </c>
      <c r="C215" s="25" t="s">
        <v>1076</v>
      </c>
      <c r="D215" s="25" t="s">
        <v>1077</v>
      </c>
      <c r="E215" s="26" t="s">
        <v>782</v>
      </c>
      <c r="F215" s="27" t="s">
        <v>783</v>
      </c>
      <c r="G215" s="28" t="s">
        <v>1074</v>
      </c>
      <c r="H215" s="29"/>
      <c r="I215" s="29" t="s">
        <v>46</v>
      </c>
      <c r="J215" s="30">
        <v>1</v>
      </c>
      <c r="K215" s="31">
        <f>989</f>
        <v>989</v>
      </c>
      <c r="L215" s="32" t="s">
        <v>56</v>
      </c>
      <c r="M215" s="31">
        <f>1024</f>
        <v>1024</v>
      </c>
      <c r="N215" s="32" t="s">
        <v>997</v>
      </c>
      <c r="O215" s="31">
        <f>983</f>
        <v>983</v>
      </c>
      <c r="P215" s="32" t="s">
        <v>56</v>
      </c>
      <c r="Q215" s="31">
        <f>1024</f>
        <v>1024</v>
      </c>
      <c r="R215" s="32" t="s">
        <v>997</v>
      </c>
      <c r="S215" s="33">
        <f>1006.08</f>
        <v>1006.08</v>
      </c>
      <c r="T215" s="30">
        <f>216330</f>
        <v>216330</v>
      </c>
      <c r="U215" s="30">
        <f>10000</f>
        <v>10000</v>
      </c>
      <c r="V215" s="30">
        <f>216245797</f>
        <v>216245797</v>
      </c>
      <c r="W215" s="30">
        <f>10118000</f>
        <v>10118000</v>
      </c>
      <c r="X215" s="34">
        <f>12</f>
        <v>12</v>
      </c>
    </row>
    <row r="216" spans="1:24" ht="13.5" customHeight="1" x14ac:dyDescent="0.15">
      <c r="A216" s="25" t="s">
        <v>1032</v>
      </c>
      <c r="B216" s="25" t="s">
        <v>1078</v>
      </c>
      <c r="C216" s="25" t="s">
        <v>1079</v>
      </c>
      <c r="D216" s="25" t="s">
        <v>1080</v>
      </c>
      <c r="E216" s="26" t="s">
        <v>782</v>
      </c>
      <c r="F216" s="27" t="s">
        <v>783</v>
      </c>
      <c r="G216" s="28" t="s">
        <v>1081</v>
      </c>
      <c r="H216" s="29"/>
      <c r="I216" s="29" t="s">
        <v>46</v>
      </c>
      <c r="J216" s="30">
        <v>10</v>
      </c>
      <c r="K216" s="31">
        <f>900</f>
        <v>900</v>
      </c>
      <c r="L216" s="32" t="s">
        <v>786</v>
      </c>
      <c r="M216" s="31">
        <f>900</f>
        <v>900</v>
      </c>
      <c r="N216" s="32" t="s">
        <v>786</v>
      </c>
      <c r="O216" s="31">
        <f>797</f>
        <v>797</v>
      </c>
      <c r="P216" s="32" t="s">
        <v>255</v>
      </c>
      <c r="Q216" s="31">
        <f>811.5</f>
        <v>811.5</v>
      </c>
      <c r="R216" s="32" t="s">
        <v>997</v>
      </c>
      <c r="S216" s="33">
        <f>804.5</f>
        <v>804.5</v>
      </c>
      <c r="T216" s="30">
        <f>330</f>
        <v>330</v>
      </c>
      <c r="U216" s="30" t="str">
        <f>"－"</f>
        <v>－</v>
      </c>
      <c r="V216" s="30">
        <f>265470</f>
        <v>265470</v>
      </c>
      <c r="W216" s="30" t="str">
        <f>"－"</f>
        <v>－</v>
      </c>
      <c r="X216" s="34">
        <f>3</f>
        <v>3</v>
      </c>
    </row>
    <row r="217" spans="1:24" ht="13.5" customHeight="1" x14ac:dyDescent="0.15">
      <c r="A217" s="25" t="s">
        <v>1032</v>
      </c>
      <c r="B217" s="25" t="s">
        <v>1082</v>
      </c>
      <c r="C217" s="25" t="s">
        <v>1083</v>
      </c>
      <c r="D217" s="25" t="s">
        <v>1084</v>
      </c>
      <c r="E217" s="26" t="s">
        <v>782</v>
      </c>
      <c r="F217" s="27" t="s">
        <v>783</v>
      </c>
      <c r="G217" s="28" t="s">
        <v>1081</v>
      </c>
      <c r="H217" s="29"/>
      <c r="I217" s="29" t="s">
        <v>46</v>
      </c>
      <c r="J217" s="30">
        <v>10</v>
      </c>
      <c r="K217" s="31">
        <f>900</f>
        <v>900</v>
      </c>
      <c r="L217" s="32" t="s">
        <v>786</v>
      </c>
      <c r="M217" s="31">
        <f>900</f>
        <v>900</v>
      </c>
      <c r="N217" s="32" t="s">
        <v>786</v>
      </c>
      <c r="O217" s="31">
        <f>800</f>
        <v>800</v>
      </c>
      <c r="P217" s="32" t="s">
        <v>997</v>
      </c>
      <c r="Q217" s="31">
        <f>800</f>
        <v>800</v>
      </c>
      <c r="R217" s="32" t="s">
        <v>997</v>
      </c>
      <c r="S217" s="33">
        <f>802.33</f>
        <v>802.33</v>
      </c>
      <c r="T217" s="30">
        <f>810</f>
        <v>810</v>
      </c>
      <c r="U217" s="30" t="str">
        <f>"－"</f>
        <v>－</v>
      </c>
      <c r="V217" s="30">
        <f>652360</f>
        <v>652360</v>
      </c>
      <c r="W217" s="30" t="str">
        <f>"－"</f>
        <v>－</v>
      </c>
      <c r="X217" s="34">
        <f>3</f>
        <v>3</v>
      </c>
    </row>
    <row r="218" spans="1:24" ht="13.5" customHeight="1" x14ac:dyDescent="0.15">
      <c r="A218" s="25" t="s">
        <v>1032</v>
      </c>
      <c r="B218" s="25" t="s">
        <v>643</v>
      </c>
      <c r="C218" s="25" t="s">
        <v>644</v>
      </c>
      <c r="D218" s="25" t="s">
        <v>645</v>
      </c>
      <c r="E218" s="26" t="s">
        <v>45</v>
      </c>
      <c r="F218" s="27" t="s">
        <v>45</v>
      </c>
      <c r="G218" s="28" t="s">
        <v>45</v>
      </c>
      <c r="H218" s="29"/>
      <c r="I218" s="29" t="s">
        <v>46</v>
      </c>
      <c r="J218" s="30">
        <v>10</v>
      </c>
      <c r="K218" s="31">
        <f>952.7</f>
        <v>952.7</v>
      </c>
      <c r="L218" s="32" t="s">
        <v>996</v>
      </c>
      <c r="M218" s="31">
        <f>955.4</f>
        <v>955.4</v>
      </c>
      <c r="N218" s="32" t="s">
        <v>785</v>
      </c>
      <c r="O218" s="31">
        <f>946</f>
        <v>946</v>
      </c>
      <c r="P218" s="32" t="s">
        <v>788</v>
      </c>
      <c r="Q218" s="31">
        <f>954</f>
        <v>954</v>
      </c>
      <c r="R218" s="32" t="s">
        <v>997</v>
      </c>
      <c r="S218" s="33">
        <f>948.29</f>
        <v>948.29</v>
      </c>
      <c r="T218" s="30">
        <f>4497070</f>
        <v>4497070</v>
      </c>
      <c r="U218" s="30">
        <f>2247490</f>
        <v>2247490</v>
      </c>
      <c r="V218" s="30">
        <f>4273064114</f>
        <v>4273064114</v>
      </c>
      <c r="W218" s="30">
        <f>2136177905</f>
        <v>2136177905</v>
      </c>
      <c r="X218" s="34">
        <f>20</f>
        <v>20</v>
      </c>
    </row>
    <row r="219" spans="1:24" ht="13.5" customHeight="1" x14ac:dyDescent="0.15">
      <c r="A219" s="25" t="s">
        <v>1032</v>
      </c>
      <c r="B219" s="25" t="s">
        <v>646</v>
      </c>
      <c r="C219" s="25" t="s">
        <v>647</v>
      </c>
      <c r="D219" s="25" t="s">
        <v>648</v>
      </c>
      <c r="E219" s="26" t="s">
        <v>45</v>
      </c>
      <c r="F219" s="27" t="s">
        <v>45</v>
      </c>
      <c r="G219" s="28" t="s">
        <v>45</v>
      </c>
      <c r="H219" s="29"/>
      <c r="I219" s="29" t="s">
        <v>46</v>
      </c>
      <c r="J219" s="30">
        <v>10</v>
      </c>
      <c r="K219" s="31">
        <f>972.2</f>
        <v>972.2</v>
      </c>
      <c r="L219" s="32" t="s">
        <v>996</v>
      </c>
      <c r="M219" s="31">
        <f>983</f>
        <v>983</v>
      </c>
      <c r="N219" s="32" t="s">
        <v>997</v>
      </c>
      <c r="O219" s="31">
        <f>964</f>
        <v>964</v>
      </c>
      <c r="P219" s="32" t="s">
        <v>78</v>
      </c>
      <c r="Q219" s="31">
        <f>981.9</f>
        <v>981.9</v>
      </c>
      <c r="R219" s="32" t="s">
        <v>997</v>
      </c>
      <c r="S219" s="33">
        <f>975.6</f>
        <v>975.6</v>
      </c>
      <c r="T219" s="30">
        <f>7004870</f>
        <v>7004870</v>
      </c>
      <c r="U219" s="30">
        <f>6509960</f>
        <v>6509960</v>
      </c>
      <c r="V219" s="30">
        <f>6833421024</f>
        <v>6833421024</v>
      </c>
      <c r="W219" s="30">
        <f>6350214180</f>
        <v>6350214180</v>
      </c>
      <c r="X219" s="34">
        <f>20</f>
        <v>20</v>
      </c>
    </row>
    <row r="220" spans="1:24" ht="13.5" customHeight="1" x14ac:dyDescent="0.15">
      <c r="A220" s="25" t="s">
        <v>1032</v>
      </c>
      <c r="B220" s="25" t="s">
        <v>649</v>
      </c>
      <c r="C220" s="25" t="s">
        <v>650</v>
      </c>
      <c r="D220" s="25" t="s">
        <v>651</v>
      </c>
      <c r="E220" s="26" t="s">
        <v>45</v>
      </c>
      <c r="F220" s="27" t="s">
        <v>45</v>
      </c>
      <c r="G220" s="28" t="s">
        <v>45</v>
      </c>
      <c r="H220" s="29"/>
      <c r="I220" s="29" t="s">
        <v>46</v>
      </c>
      <c r="J220" s="30">
        <v>10</v>
      </c>
      <c r="K220" s="31">
        <f>837.4</f>
        <v>837.4</v>
      </c>
      <c r="L220" s="32" t="s">
        <v>996</v>
      </c>
      <c r="M220" s="31">
        <f>848.3</f>
        <v>848.3</v>
      </c>
      <c r="N220" s="32" t="s">
        <v>78</v>
      </c>
      <c r="O220" s="31">
        <f>826.6</f>
        <v>826.6</v>
      </c>
      <c r="P220" s="32" t="s">
        <v>788</v>
      </c>
      <c r="Q220" s="31">
        <f>830.7</f>
        <v>830.7</v>
      </c>
      <c r="R220" s="32" t="s">
        <v>997</v>
      </c>
      <c r="S220" s="33">
        <f>835.24</f>
        <v>835.24</v>
      </c>
      <c r="T220" s="30">
        <f>1984400</f>
        <v>1984400</v>
      </c>
      <c r="U220" s="30">
        <f>1786200</f>
        <v>1786200</v>
      </c>
      <c r="V220" s="30">
        <f>1656855232</f>
        <v>1656855232</v>
      </c>
      <c r="W220" s="30">
        <f>1491774053</f>
        <v>1491774053</v>
      </c>
      <c r="X220" s="34">
        <f>20</f>
        <v>20</v>
      </c>
    </row>
    <row r="221" spans="1:24" ht="13.5" customHeight="1" x14ac:dyDescent="0.15">
      <c r="A221" s="25" t="s">
        <v>1032</v>
      </c>
      <c r="B221" s="25" t="s">
        <v>652</v>
      </c>
      <c r="C221" s="25" t="s">
        <v>653</v>
      </c>
      <c r="D221" s="25" t="s">
        <v>654</v>
      </c>
      <c r="E221" s="26" t="s">
        <v>45</v>
      </c>
      <c r="F221" s="27" t="s">
        <v>45</v>
      </c>
      <c r="G221" s="28" t="s">
        <v>45</v>
      </c>
      <c r="H221" s="29"/>
      <c r="I221" s="29" t="s">
        <v>46</v>
      </c>
      <c r="J221" s="30">
        <v>10</v>
      </c>
      <c r="K221" s="31">
        <f>1690</f>
        <v>1690</v>
      </c>
      <c r="L221" s="32" t="s">
        <v>996</v>
      </c>
      <c r="M221" s="31">
        <f>1739</f>
        <v>1739</v>
      </c>
      <c r="N221" s="32" t="s">
        <v>80</v>
      </c>
      <c r="O221" s="31">
        <f>1654.5</f>
        <v>1654.5</v>
      </c>
      <c r="P221" s="32" t="s">
        <v>78</v>
      </c>
      <c r="Q221" s="31">
        <f>1735</f>
        <v>1735</v>
      </c>
      <c r="R221" s="32" t="s">
        <v>997</v>
      </c>
      <c r="S221" s="33">
        <f>1706.05</f>
        <v>1706.05</v>
      </c>
      <c r="T221" s="30">
        <f>890970</f>
        <v>890970</v>
      </c>
      <c r="U221" s="30">
        <f>722070</f>
        <v>722070</v>
      </c>
      <c r="V221" s="30">
        <f>1509149509</f>
        <v>1509149509</v>
      </c>
      <c r="W221" s="30">
        <f>1220154914</f>
        <v>1220154914</v>
      </c>
      <c r="X221" s="34">
        <f>20</f>
        <v>20</v>
      </c>
    </row>
    <row r="222" spans="1:24" ht="13.5" customHeight="1" x14ac:dyDescent="0.15">
      <c r="A222" s="25" t="s">
        <v>1032</v>
      </c>
      <c r="B222" s="25" t="s">
        <v>655</v>
      </c>
      <c r="C222" s="25" t="s">
        <v>656</v>
      </c>
      <c r="D222" s="25" t="s">
        <v>657</v>
      </c>
      <c r="E222" s="26" t="s">
        <v>45</v>
      </c>
      <c r="F222" s="27" t="s">
        <v>45</v>
      </c>
      <c r="G222" s="28" t="s">
        <v>45</v>
      </c>
      <c r="H222" s="29"/>
      <c r="I222" s="29" t="s">
        <v>46</v>
      </c>
      <c r="J222" s="30">
        <v>10</v>
      </c>
      <c r="K222" s="31">
        <f>1342.5</f>
        <v>1342.5</v>
      </c>
      <c r="L222" s="32" t="s">
        <v>996</v>
      </c>
      <c r="M222" s="31">
        <f>1367.5</f>
        <v>1367.5</v>
      </c>
      <c r="N222" s="32" t="s">
        <v>788</v>
      </c>
      <c r="O222" s="31">
        <f>1336</f>
        <v>1336</v>
      </c>
      <c r="P222" s="32" t="s">
        <v>255</v>
      </c>
      <c r="Q222" s="31">
        <f>1357</f>
        <v>1357</v>
      </c>
      <c r="R222" s="32" t="s">
        <v>997</v>
      </c>
      <c r="S222" s="33">
        <f>1352.13</f>
        <v>1352.13</v>
      </c>
      <c r="T222" s="30">
        <f>622830</f>
        <v>622830</v>
      </c>
      <c r="U222" s="30">
        <f>370000</f>
        <v>370000</v>
      </c>
      <c r="V222" s="30">
        <f>842136520</f>
        <v>842136520</v>
      </c>
      <c r="W222" s="30">
        <f>499933800</f>
        <v>499933800</v>
      </c>
      <c r="X222" s="34">
        <f>20</f>
        <v>20</v>
      </c>
    </row>
    <row r="223" spans="1:24" ht="13.5" customHeight="1" x14ac:dyDescent="0.15">
      <c r="A223" s="25" t="s">
        <v>1032</v>
      </c>
      <c r="B223" s="25" t="s">
        <v>658</v>
      </c>
      <c r="C223" s="25" t="s">
        <v>659</v>
      </c>
      <c r="D223" s="25" t="s">
        <v>660</v>
      </c>
      <c r="E223" s="26" t="s">
        <v>45</v>
      </c>
      <c r="F223" s="27" t="s">
        <v>45</v>
      </c>
      <c r="G223" s="28" t="s">
        <v>45</v>
      </c>
      <c r="H223" s="29"/>
      <c r="I223" s="29" t="s">
        <v>46</v>
      </c>
      <c r="J223" s="30">
        <v>10</v>
      </c>
      <c r="K223" s="31">
        <f>1131</f>
        <v>1131</v>
      </c>
      <c r="L223" s="32" t="s">
        <v>996</v>
      </c>
      <c r="M223" s="31">
        <f>1151</f>
        <v>1151</v>
      </c>
      <c r="N223" s="32" t="s">
        <v>80</v>
      </c>
      <c r="O223" s="31">
        <f>1101</f>
        <v>1101</v>
      </c>
      <c r="P223" s="32" t="s">
        <v>78</v>
      </c>
      <c r="Q223" s="31">
        <f>1150.5</f>
        <v>1150.5</v>
      </c>
      <c r="R223" s="32" t="s">
        <v>997</v>
      </c>
      <c r="S223" s="33">
        <f>1131.7</f>
        <v>1131.7</v>
      </c>
      <c r="T223" s="30">
        <f>303690</f>
        <v>303690</v>
      </c>
      <c r="U223" s="30">
        <f>60</f>
        <v>60</v>
      </c>
      <c r="V223" s="30">
        <f>342440540</f>
        <v>342440540</v>
      </c>
      <c r="W223" s="30">
        <f>68080</f>
        <v>68080</v>
      </c>
      <c r="X223" s="34">
        <f>20</f>
        <v>20</v>
      </c>
    </row>
    <row r="224" spans="1:24" ht="13.5" customHeight="1" x14ac:dyDescent="0.15">
      <c r="A224" s="25" t="s">
        <v>1032</v>
      </c>
      <c r="B224" s="25" t="s">
        <v>661</v>
      </c>
      <c r="C224" s="25" t="s">
        <v>662</v>
      </c>
      <c r="D224" s="25" t="s">
        <v>663</v>
      </c>
      <c r="E224" s="26" t="s">
        <v>45</v>
      </c>
      <c r="F224" s="27" t="s">
        <v>45</v>
      </c>
      <c r="G224" s="28" t="s">
        <v>45</v>
      </c>
      <c r="H224" s="29"/>
      <c r="I224" s="29" t="s">
        <v>46</v>
      </c>
      <c r="J224" s="30">
        <v>10</v>
      </c>
      <c r="K224" s="31">
        <f>585.8</f>
        <v>585.79999999999995</v>
      </c>
      <c r="L224" s="32" t="s">
        <v>996</v>
      </c>
      <c r="M224" s="31">
        <f>597.5</f>
        <v>597.5</v>
      </c>
      <c r="N224" s="32" t="s">
        <v>80</v>
      </c>
      <c r="O224" s="31">
        <f>564.7</f>
        <v>564.70000000000005</v>
      </c>
      <c r="P224" s="32" t="s">
        <v>1003</v>
      </c>
      <c r="Q224" s="31">
        <f>577.3</f>
        <v>577.29999999999995</v>
      </c>
      <c r="R224" s="32" t="s">
        <v>997</v>
      </c>
      <c r="S224" s="33">
        <f>580.04</f>
        <v>580.04</v>
      </c>
      <c r="T224" s="30">
        <f>16541090</f>
        <v>16541090</v>
      </c>
      <c r="U224" s="30">
        <f>77640</f>
        <v>77640</v>
      </c>
      <c r="V224" s="30">
        <f>9597331501</f>
        <v>9597331501</v>
      </c>
      <c r="W224" s="30">
        <f>44403529</f>
        <v>44403529</v>
      </c>
      <c r="X224" s="34">
        <f>20</f>
        <v>20</v>
      </c>
    </row>
    <row r="225" spans="1:24" ht="13.5" customHeight="1" x14ac:dyDescent="0.15">
      <c r="A225" s="25" t="s">
        <v>1032</v>
      </c>
      <c r="B225" s="25" t="s">
        <v>664</v>
      </c>
      <c r="C225" s="25" t="s">
        <v>665</v>
      </c>
      <c r="D225" s="25" t="s">
        <v>666</v>
      </c>
      <c r="E225" s="26" t="s">
        <v>45</v>
      </c>
      <c r="F225" s="27" t="s">
        <v>45</v>
      </c>
      <c r="G225" s="28" t="s">
        <v>45</v>
      </c>
      <c r="H225" s="29"/>
      <c r="I225" s="29" t="s">
        <v>46</v>
      </c>
      <c r="J225" s="30">
        <v>10</v>
      </c>
      <c r="K225" s="31">
        <f>1074.5</f>
        <v>1074.5</v>
      </c>
      <c r="L225" s="32" t="s">
        <v>996</v>
      </c>
      <c r="M225" s="31">
        <f>1123.5</f>
        <v>1123.5</v>
      </c>
      <c r="N225" s="32" t="s">
        <v>997</v>
      </c>
      <c r="O225" s="31">
        <f>1074.5</f>
        <v>1074.5</v>
      </c>
      <c r="P225" s="32" t="s">
        <v>996</v>
      </c>
      <c r="Q225" s="31">
        <f>1119</f>
        <v>1119</v>
      </c>
      <c r="R225" s="32" t="s">
        <v>997</v>
      </c>
      <c r="S225" s="33">
        <f>1099.05</f>
        <v>1099.05</v>
      </c>
      <c r="T225" s="30">
        <f>652510</f>
        <v>652510</v>
      </c>
      <c r="U225" s="30">
        <f>560020</f>
        <v>560020</v>
      </c>
      <c r="V225" s="30">
        <f>720101325</f>
        <v>720101325</v>
      </c>
      <c r="W225" s="30">
        <f>618452220</f>
        <v>618452220</v>
      </c>
      <c r="X225" s="34">
        <f>20</f>
        <v>20</v>
      </c>
    </row>
    <row r="226" spans="1:24" ht="13.5" customHeight="1" x14ac:dyDescent="0.15">
      <c r="A226" s="25" t="s">
        <v>1032</v>
      </c>
      <c r="B226" s="25" t="s">
        <v>667</v>
      </c>
      <c r="C226" s="25" t="s">
        <v>668</v>
      </c>
      <c r="D226" s="25" t="s">
        <v>669</v>
      </c>
      <c r="E226" s="26" t="s">
        <v>45</v>
      </c>
      <c r="F226" s="27" t="s">
        <v>45</v>
      </c>
      <c r="G226" s="28" t="s">
        <v>45</v>
      </c>
      <c r="H226" s="29"/>
      <c r="I226" s="29" t="s">
        <v>46</v>
      </c>
      <c r="J226" s="30">
        <v>1</v>
      </c>
      <c r="K226" s="31">
        <f>1103</f>
        <v>1103</v>
      </c>
      <c r="L226" s="32" t="s">
        <v>996</v>
      </c>
      <c r="M226" s="31">
        <f>1118</f>
        <v>1118</v>
      </c>
      <c r="N226" s="32" t="s">
        <v>788</v>
      </c>
      <c r="O226" s="31">
        <f>1071</f>
        <v>1071</v>
      </c>
      <c r="P226" s="32" t="s">
        <v>78</v>
      </c>
      <c r="Q226" s="31">
        <f>1116</f>
        <v>1116</v>
      </c>
      <c r="R226" s="32" t="s">
        <v>997</v>
      </c>
      <c r="S226" s="33">
        <f>1098.1</f>
        <v>1098.0999999999999</v>
      </c>
      <c r="T226" s="30">
        <f>69019</f>
        <v>69019</v>
      </c>
      <c r="U226" s="30" t="str">
        <f>"－"</f>
        <v>－</v>
      </c>
      <c r="V226" s="30">
        <f>75844622</f>
        <v>75844622</v>
      </c>
      <c r="W226" s="30" t="str">
        <f>"－"</f>
        <v>－</v>
      </c>
      <c r="X226" s="34">
        <f>20</f>
        <v>20</v>
      </c>
    </row>
    <row r="227" spans="1:24" ht="13.5" customHeight="1" x14ac:dyDescent="0.15">
      <c r="A227" s="25" t="s">
        <v>1032</v>
      </c>
      <c r="B227" s="25" t="s">
        <v>670</v>
      </c>
      <c r="C227" s="25" t="s">
        <v>671</v>
      </c>
      <c r="D227" s="25" t="s">
        <v>672</v>
      </c>
      <c r="E227" s="26" t="s">
        <v>45</v>
      </c>
      <c r="F227" s="27" t="s">
        <v>45</v>
      </c>
      <c r="G227" s="28" t="s">
        <v>45</v>
      </c>
      <c r="H227" s="29"/>
      <c r="I227" s="29" t="s">
        <v>46</v>
      </c>
      <c r="J227" s="30">
        <v>10</v>
      </c>
      <c r="K227" s="31">
        <f>880</f>
        <v>880</v>
      </c>
      <c r="L227" s="32" t="s">
        <v>996</v>
      </c>
      <c r="M227" s="31">
        <f>895</f>
        <v>895</v>
      </c>
      <c r="N227" s="32" t="s">
        <v>794</v>
      </c>
      <c r="O227" s="31">
        <f>877</f>
        <v>877</v>
      </c>
      <c r="P227" s="32" t="s">
        <v>784</v>
      </c>
      <c r="Q227" s="31">
        <f>894.5</f>
        <v>894.5</v>
      </c>
      <c r="R227" s="32" t="s">
        <v>997</v>
      </c>
      <c r="S227" s="33">
        <f>887.28</f>
        <v>887.28</v>
      </c>
      <c r="T227" s="30">
        <f>118840</f>
        <v>118840</v>
      </c>
      <c r="U227" s="30" t="str">
        <f>"－"</f>
        <v>－</v>
      </c>
      <c r="V227" s="30">
        <f>105036439</f>
        <v>105036439</v>
      </c>
      <c r="W227" s="30" t="str">
        <f>"－"</f>
        <v>－</v>
      </c>
      <c r="X227" s="34">
        <f>20</f>
        <v>20</v>
      </c>
    </row>
    <row r="228" spans="1:24" ht="13.5" customHeight="1" x14ac:dyDescent="0.15">
      <c r="A228" s="25" t="s">
        <v>1032</v>
      </c>
      <c r="B228" s="25" t="s">
        <v>673</v>
      </c>
      <c r="C228" s="25" t="s">
        <v>674</v>
      </c>
      <c r="D228" s="25" t="s">
        <v>675</v>
      </c>
      <c r="E228" s="26" t="s">
        <v>45</v>
      </c>
      <c r="F228" s="27" t="s">
        <v>45</v>
      </c>
      <c r="G228" s="28" t="s">
        <v>45</v>
      </c>
      <c r="H228" s="29"/>
      <c r="I228" s="29" t="s">
        <v>46</v>
      </c>
      <c r="J228" s="30">
        <v>10</v>
      </c>
      <c r="K228" s="31">
        <f>1152.5</f>
        <v>1152.5</v>
      </c>
      <c r="L228" s="32" t="s">
        <v>996</v>
      </c>
      <c r="M228" s="31">
        <f>1170.5</f>
        <v>1170.5</v>
      </c>
      <c r="N228" s="32" t="s">
        <v>788</v>
      </c>
      <c r="O228" s="31">
        <f>1112</f>
        <v>1112</v>
      </c>
      <c r="P228" s="32" t="s">
        <v>255</v>
      </c>
      <c r="Q228" s="31">
        <f>1144</f>
        <v>1144</v>
      </c>
      <c r="R228" s="32" t="s">
        <v>997</v>
      </c>
      <c r="S228" s="33">
        <f>1142.78</f>
        <v>1142.78</v>
      </c>
      <c r="T228" s="30">
        <f>138820</f>
        <v>138820</v>
      </c>
      <c r="U228" s="30">
        <f>47900</f>
        <v>47900</v>
      </c>
      <c r="V228" s="30">
        <f>157207020</f>
        <v>157207020</v>
      </c>
      <c r="W228" s="30">
        <f>53458690</f>
        <v>53458690</v>
      </c>
      <c r="X228" s="34">
        <f>20</f>
        <v>20</v>
      </c>
    </row>
    <row r="229" spans="1:24" ht="13.5" customHeight="1" x14ac:dyDescent="0.15">
      <c r="A229" s="25" t="s">
        <v>1032</v>
      </c>
      <c r="B229" s="25" t="s">
        <v>676</v>
      </c>
      <c r="C229" s="25" t="s">
        <v>677</v>
      </c>
      <c r="D229" s="25" t="s">
        <v>678</v>
      </c>
      <c r="E229" s="26" t="s">
        <v>45</v>
      </c>
      <c r="F229" s="27" t="s">
        <v>45</v>
      </c>
      <c r="G229" s="28" t="s">
        <v>45</v>
      </c>
      <c r="H229" s="29"/>
      <c r="I229" s="29" t="s">
        <v>46</v>
      </c>
      <c r="J229" s="30">
        <v>10</v>
      </c>
      <c r="K229" s="31">
        <f>1359.5</f>
        <v>1359.5</v>
      </c>
      <c r="L229" s="32" t="s">
        <v>996</v>
      </c>
      <c r="M229" s="31">
        <f>1374.5</f>
        <v>1374.5</v>
      </c>
      <c r="N229" s="32" t="s">
        <v>788</v>
      </c>
      <c r="O229" s="31">
        <f>1342.5</f>
        <v>1342.5</v>
      </c>
      <c r="P229" s="32" t="s">
        <v>255</v>
      </c>
      <c r="Q229" s="31">
        <f>1366.5</f>
        <v>1366.5</v>
      </c>
      <c r="R229" s="32" t="s">
        <v>997</v>
      </c>
      <c r="S229" s="33">
        <f>1362.28</f>
        <v>1362.28</v>
      </c>
      <c r="T229" s="30">
        <f>3096180</f>
        <v>3096180</v>
      </c>
      <c r="U229" s="30">
        <f>1129190</f>
        <v>1129190</v>
      </c>
      <c r="V229" s="30">
        <f>4221026619</f>
        <v>4221026619</v>
      </c>
      <c r="W229" s="30">
        <f>1538170084</f>
        <v>1538170084</v>
      </c>
      <c r="X229" s="34">
        <f>20</f>
        <v>20</v>
      </c>
    </row>
    <row r="230" spans="1:24" ht="13.5" customHeight="1" x14ac:dyDescent="0.15">
      <c r="A230" s="25" t="s">
        <v>1032</v>
      </c>
      <c r="B230" s="25" t="s">
        <v>679</v>
      </c>
      <c r="C230" s="25" t="s">
        <v>680</v>
      </c>
      <c r="D230" s="25" t="s">
        <v>681</v>
      </c>
      <c r="E230" s="26" t="s">
        <v>45</v>
      </c>
      <c r="F230" s="27" t="s">
        <v>45</v>
      </c>
      <c r="G230" s="28" t="s">
        <v>45</v>
      </c>
      <c r="H230" s="29"/>
      <c r="I230" s="29" t="s">
        <v>46</v>
      </c>
      <c r="J230" s="30">
        <v>1</v>
      </c>
      <c r="K230" s="31">
        <f>3925</f>
        <v>3925</v>
      </c>
      <c r="L230" s="32" t="s">
        <v>996</v>
      </c>
      <c r="M230" s="31">
        <f>3925</f>
        <v>3925</v>
      </c>
      <c r="N230" s="32" t="s">
        <v>996</v>
      </c>
      <c r="O230" s="31">
        <f>3710</f>
        <v>3710</v>
      </c>
      <c r="P230" s="32" t="s">
        <v>784</v>
      </c>
      <c r="Q230" s="31">
        <f>3805</f>
        <v>3805</v>
      </c>
      <c r="R230" s="32" t="s">
        <v>997</v>
      </c>
      <c r="S230" s="33">
        <f>3817.5</f>
        <v>3817.5</v>
      </c>
      <c r="T230" s="30">
        <f>29871</f>
        <v>29871</v>
      </c>
      <c r="U230" s="30" t="str">
        <f>"－"</f>
        <v>－</v>
      </c>
      <c r="V230" s="30">
        <f>113950735</f>
        <v>113950735</v>
      </c>
      <c r="W230" s="30" t="str">
        <f>"－"</f>
        <v>－</v>
      </c>
      <c r="X230" s="34">
        <f>20</f>
        <v>20</v>
      </c>
    </row>
    <row r="231" spans="1:24" ht="13.5" customHeight="1" x14ac:dyDescent="0.15">
      <c r="A231" s="25" t="s">
        <v>1032</v>
      </c>
      <c r="B231" s="25" t="s">
        <v>682</v>
      </c>
      <c r="C231" s="25" t="s">
        <v>683</v>
      </c>
      <c r="D231" s="25" t="s">
        <v>684</v>
      </c>
      <c r="E231" s="26" t="s">
        <v>45</v>
      </c>
      <c r="F231" s="27" t="s">
        <v>45</v>
      </c>
      <c r="G231" s="28" t="s">
        <v>45</v>
      </c>
      <c r="H231" s="29"/>
      <c r="I231" s="29" t="s">
        <v>46</v>
      </c>
      <c r="J231" s="30">
        <v>10</v>
      </c>
      <c r="K231" s="31">
        <f>1687</f>
        <v>1687</v>
      </c>
      <c r="L231" s="32" t="s">
        <v>996</v>
      </c>
      <c r="M231" s="31">
        <f>1746</f>
        <v>1746</v>
      </c>
      <c r="N231" s="32" t="s">
        <v>793</v>
      </c>
      <c r="O231" s="31">
        <f>1670.5</f>
        <v>1670.5</v>
      </c>
      <c r="P231" s="32" t="s">
        <v>997</v>
      </c>
      <c r="Q231" s="31">
        <f>1744</f>
        <v>1744</v>
      </c>
      <c r="R231" s="32" t="s">
        <v>997</v>
      </c>
      <c r="S231" s="33">
        <f>1711.93</f>
        <v>1711.93</v>
      </c>
      <c r="T231" s="30">
        <f>920</f>
        <v>920</v>
      </c>
      <c r="U231" s="30" t="str">
        <f>"－"</f>
        <v>－</v>
      </c>
      <c r="V231" s="30">
        <f>1561565</f>
        <v>1561565</v>
      </c>
      <c r="W231" s="30" t="str">
        <f>"－"</f>
        <v>－</v>
      </c>
      <c r="X231" s="34">
        <f>7</f>
        <v>7</v>
      </c>
    </row>
    <row r="232" spans="1:24" ht="13.5" customHeight="1" x14ac:dyDescent="0.15">
      <c r="A232" s="25" t="s">
        <v>1032</v>
      </c>
      <c r="B232" s="25" t="s">
        <v>685</v>
      </c>
      <c r="C232" s="25" t="s">
        <v>686</v>
      </c>
      <c r="D232" s="25" t="s">
        <v>687</v>
      </c>
      <c r="E232" s="26" t="s">
        <v>45</v>
      </c>
      <c r="F232" s="27" t="s">
        <v>45</v>
      </c>
      <c r="G232" s="28" t="s">
        <v>45</v>
      </c>
      <c r="H232" s="29"/>
      <c r="I232" s="29" t="s">
        <v>46</v>
      </c>
      <c r="J232" s="30">
        <v>10</v>
      </c>
      <c r="K232" s="31">
        <f>2073</f>
        <v>2073</v>
      </c>
      <c r="L232" s="32" t="s">
        <v>996</v>
      </c>
      <c r="M232" s="31">
        <f>2098.5</f>
        <v>2098.5</v>
      </c>
      <c r="N232" s="32" t="s">
        <v>80</v>
      </c>
      <c r="O232" s="31">
        <f>2013</f>
        <v>2013</v>
      </c>
      <c r="P232" s="32" t="s">
        <v>78</v>
      </c>
      <c r="Q232" s="31">
        <f>2094</f>
        <v>2094</v>
      </c>
      <c r="R232" s="32" t="s">
        <v>998</v>
      </c>
      <c r="S232" s="33">
        <f>2061.79</f>
        <v>2061.79</v>
      </c>
      <c r="T232" s="30">
        <f>681250</f>
        <v>681250</v>
      </c>
      <c r="U232" s="30">
        <f>26760</f>
        <v>26760</v>
      </c>
      <c r="V232" s="30">
        <f>1379740440</f>
        <v>1379740440</v>
      </c>
      <c r="W232" s="30">
        <f>56035440</f>
        <v>56035440</v>
      </c>
      <c r="X232" s="34">
        <f>12</f>
        <v>12</v>
      </c>
    </row>
    <row r="233" spans="1:24" ht="13.5" customHeight="1" x14ac:dyDescent="0.15">
      <c r="A233" s="25" t="s">
        <v>1032</v>
      </c>
      <c r="B233" s="25" t="s">
        <v>688</v>
      </c>
      <c r="C233" s="25" t="s">
        <v>689</v>
      </c>
      <c r="D233" s="25" t="s">
        <v>690</v>
      </c>
      <c r="E233" s="26" t="s">
        <v>45</v>
      </c>
      <c r="F233" s="27" t="s">
        <v>45</v>
      </c>
      <c r="G233" s="28" t="s">
        <v>45</v>
      </c>
      <c r="H233" s="29"/>
      <c r="I233" s="29" t="s">
        <v>46</v>
      </c>
      <c r="J233" s="30">
        <v>1</v>
      </c>
      <c r="K233" s="31">
        <f>28720</f>
        <v>28720</v>
      </c>
      <c r="L233" s="32" t="s">
        <v>996</v>
      </c>
      <c r="M233" s="31">
        <f>29290</f>
        <v>29290</v>
      </c>
      <c r="N233" s="32" t="s">
        <v>998</v>
      </c>
      <c r="O233" s="31">
        <f>27960</f>
        <v>27960</v>
      </c>
      <c r="P233" s="32" t="s">
        <v>78</v>
      </c>
      <c r="Q233" s="31">
        <f>29165</f>
        <v>29165</v>
      </c>
      <c r="R233" s="32" t="s">
        <v>997</v>
      </c>
      <c r="S233" s="33">
        <f>28840.71</f>
        <v>28840.71</v>
      </c>
      <c r="T233" s="30">
        <f>2926</f>
        <v>2926</v>
      </c>
      <c r="U233" s="30" t="str">
        <f>"－"</f>
        <v>－</v>
      </c>
      <c r="V233" s="30">
        <f>83916080</f>
        <v>83916080</v>
      </c>
      <c r="W233" s="30" t="str">
        <f>"－"</f>
        <v>－</v>
      </c>
      <c r="X233" s="34">
        <f>7</f>
        <v>7</v>
      </c>
    </row>
    <row r="234" spans="1:24" ht="13.5" customHeight="1" x14ac:dyDescent="0.15">
      <c r="A234" s="25" t="s">
        <v>1032</v>
      </c>
      <c r="B234" s="25" t="s">
        <v>691</v>
      </c>
      <c r="C234" s="25" t="s">
        <v>692</v>
      </c>
      <c r="D234" s="25" t="s">
        <v>693</v>
      </c>
      <c r="E234" s="26" t="s">
        <v>45</v>
      </c>
      <c r="F234" s="27" t="s">
        <v>45</v>
      </c>
      <c r="G234" s="28" t="s">
        <v>45</v>
      </c>
      <c r="H234" s="29"/>
      <c r="I234" s="29" t="s">
        <v>46</v>
      </c>
      <c r="J234" s="30">
        <v>1</v>
      </c>
      <c r="K234" s="31">
        <f>18555</f>
        <v>18555</v>
      </c>
      <c r="L234" s="32" t="s">
        <v>996</v>
      </c>
      <c r="M234" s="31">
        <f>18870</f>
        <v>18870</v>
      </c>
      <c r="N234" s="32" t="s">
        <v>789</v>
      </c>
      <c r="O234" s="31">
        <f>18075</f>
        <v>18075</v>
      </c>
      <c r="P234" s="32" t="s">
        <v>1003</v>
      </c>
      <c r="Q234" s="31">
        <f>18815</f>
        <v>18815</v>
      </c>
      <c r="R234" s="32" t="s">
        <v>997</v>
      </c>
      <c r="S234" s="33">
        <f>18519.58</f>
        <v>18519.580000000002</v>
      </c>
      <c r="T234" s="30">
        <f>4765</f>
        <v>4765</v>
      </c>
      <c r="U234" s="30">
        <f>1900</f>
        <v>1900</v>
      </c>
      <c r="V234" s="30">
        <f>88967695</f>
        <v>88967695</v>
      </c>
      <c r="W234" s="30">
        <f>35748500</f>
        <v>35748500</v>
      </c>
      <c r="X234" s="34">
        <f>12</f>
        <v>12</v>
      </c>
    </row>
    <row r="235" spans="1:24" ht="13.5" customHeight="1" x14ac:dyDescent="0.15">
      <c r="A235" s="25" t="s">
        <v>1032</v>
      </c>
      <c r="B235" s="25" t="s">
        <v>694</v>
      </c>
      <c r="C235" s="25" t="s">
        <v>695</v>
      </c>
      <c r="D235" s="25" t="s">
        <v>696</v>
      </c>
      <c r="E235" s="26" t="s">
        <v>45</v>
      </c>
      <c r="F235" s="27" t="s">
        <v>45</v>
      </c>
      <c r="G235" s="28" t="s">
        <v>45</v>
      </c>
      <c r="H235" s="29"/>
      <c r="I235" s="29" t="s">
        <v>46</v>
      </c>
      <c r="J235" s="30">
        <v>10</v>
      </c>
      <c r="K235" s="31">
        <f>1110.5</f>
        <v>1110.5</v>
      </c>
      <c r="L235" s="32" t="s">
        <v>996</v>
      </c>
      <c r="M235" s="31">
        <f>1128</f>
        <v>1128</v>
      </c>
      <c r="N235" s="32" t="s">
        <v>786</v>
      </c>
      <c r="O235" s="31">
        <f>1089</f>
        <v>1089</v>
      </c>
      <c r="P235" s="32" t="s">
        <v>875</v>
      </c>
      <c r="Q235" s="31">
        <f>1127</f>
        <v>1127</v>
      </c>
      <c r="R235" s="32" t="s">
        <v>786</v>
      </c>
      <c r="S235" s="33">
        <f>1102.82</f>
        <v>1102.82</v>
      </c>
      <c r="T235" s="30">
        <f>660220</f>
        <v>660220</v>
      </c>
      <c r="U235" s="30">
        <f>490000</f>
        <v>490000</v>
      </c>
      <c r="V235" s="30">
        <f>729630695</f>
        <v>729630695</v>
      </c>
      <c r="W235" s="30">
        <f>543161000</f>
        <v>543161000</v>
      </c>
      <c r="X235" s="34">
        <f>14</f>
        <v>14</v>
      </c>
    </row>
    <row r="236" spans="1:24" ht="13.5" customHeight="1" x14ac:dyDescent="0.15">
      <c r="A236" s="25" t="s">
        <v>1032</v>
      </c>
      <c r="B236" s="25" t="s">
        <v>697</v>
      </c>
      <c r="C236" s="25" t="s">
        <v>1085</v>
      </c>
      <c r="D236" s="25" t="s">
        <v>1086</v>
      </c>
      <c r="E236" s="26" t="s">
        <v>45</v>
      </c>
      <c r="F236" s="27" t="s">
        <v>45</v>
      </c>
      <c r="G236" s="28" t="s">
        <v>45</v>
      </c>
      <c r="H236" s="29"/>
      <c r="I236" s="29" t="s">
        <v>46</v>
      </c>
      <c r="J236" s="30">
        <v>10</v>
      </c>
      <c r="K236" s="31">
        <f>1069</f>
        <v>1069</v>
      </c>
      <c r="L236" s="32" t="s">
        <v>996</v>
      </c>
      <c r="M236" s="31">
        <f>1123</f>
        <v>1123</v>
      </c>
      <c r="N236" s="32" t="s">
        <v>997</v>
      </c>
      <c r="O236" s="31">
        <f>1069</f>
        <v>1069</v>
      </c>
      <c r="P236" s="32" t="s">
        <v>996</v>
      </c>
      <c r="Q236" s="31">
        <f>1123</f>
        <v>1123</v>
      </c>
      <c r="R236" s="32" t="s">
        <v>997</v>
      </c>
      <c r="S236" s="33">
        <f>1091.92</f>
        <v>1091.92</v>
      </c>
      <c r="T236" s="30">
        <f>3800</f>
        <v>3800</v>
      </c>
      <c r="U236" s="30" t="str">
        <f>"－"</f>
        <v>－</v>
      </c>
      <c r="V236" s="30">
        <f>4139555</f>
        <v>4139555</v>
      </c>
      <c r="W236" s="30" t="str">
        <f>"－"</f>
        <v>－</v>
      </c>
      <c r="X236" s="34">
        <f>19</f>
        <v>19</v>
      </c>
    </row>
    <row r="237" spans="1:24" ht="13.5" customHeight="1" x14ac:dyDescent="0.15">
      <c r="A237" s="25" t="s">
        <v>1032</v>
      </c>
      <c r="B237" s="25" t="s">
        <v>700</v>
      </c>
      <c r="C237" s="25" t="s">
        <v>701</v>
      </c>
      <c r="D237" s="25" t="s">
        <v>702</v>
      </c>
      <c r="E237" s="26" t="s">
        <v>45</v>
      </c>
      <c r="F237" s="27" t="s">
        <v>45</v>
      </c>
      <c r="G237" s="28" t="s">
        <v>45</v>
      </c>
      <c r="H237" s="29"/>
      <c r="I237" s="29" t="s">
        <v>46</v>
      </c>
      <c r="J237" s="30">
        <v>1</v>
      </c>
      <c r="K237" s="31">
        <f>1278</f>
        <v>1278</v>
      </c>
      <c r="L237" s="32" t="s">
        <v>996</v>
      </c>
      <c r="M237" s="31">
        <f>1288</f>
        <v>1288</v>
      </c>
      <c r="N237" s="32" t="s">
        <v>997</v>
      </c>
      <c r="O237" s="31">
        <f>1227</f>
        <v>1227</v>
      </c>
      <c r="P237" s="32" t="s">
        <v>78</v>
      </c>
      <c r="Q237" s="31">
        <f>1288</f>
        <v>1288</v>
      </c>
      <c r="R237" s="32" t="s">
        <v>997</v>
      </c>
      <c r="S237" s="33">
        <f>1264.9</f>
        <v>1264.9000000000001</v>
      </c>
      <c r="T237" s="30">
        <f>291455</f>
        <v>291455</v>
      </c>
      <c r="U237" s="30">
        <f>78000</f>
        <v>78000</v>
      </c>
      <c r="V237" s="30">
        <f>369442132</f>
        <v>369442132</v>
      </c>
      <c r="W237" s="30">
        <f>100565400</f>
        <v>100565400</v>
      </c>
      <c r="X237" s="34">
        <f>20</f>
        <v>20</v>
      </c>
    </row>
    <row r="238" spans="1:24" ht="13.5" customHeight="1" x14ac:dyDescent="0.15">
      <c r="A238" s="25" t="s">
        <v>1032</v>
      </c>
      <c r="B238" s="25" t="s">
        <v>703</v>
      </c>
      <c r="C238" s="25" t="s">
        <v>704</v>
      </c>
      <c r="D238" s="25" t="s">
        <v>705</v>
      </c>
      <c r="E238" s="26" t="s">
        <v>45</v>
      </c>
      <c r="F238" s="27" t="s">
        <v>45</v>
      </c>
      <c r="G238" s="28" t="s">
        <v>45</v>
      </c>
      <c r="H238" s="29"/>
      <c r="I238" s="29" t="s">
        <v>46</v>
      </c>
      <c r="J238" s="30">
        <v>1</v>
      </c>
      <c r="K238" s="31">
        <f>13480</f>
        <v>13480</v>
      </c>
      <c r="L238" s="32" t="s">
        <v>996</v>
      </c>
      <c r="M238" s="31">
        <f>13790</f>
        <v>13790</v>
      </c>
      <c r="N238" s="32" t="s">
        <v>80</v>
      </c>
      <c r="O238" s="31">
        <f>12920</f>
        <v>12920</v>
      </c>
      <c r="P238" s="32" t="s">
        <v>255</v>
      </c>
      <c r="Q238" s="31">
        <f>13210</f>
        <v>13210</v>
      </c>
      <c r="R238" s="32" t="s">
        <v>997</v>
      </c>
      <c r="S238" s="33">
        <f>13279.5</f>
        <v>13279.5</v>
      </c>
      <c r="T238" s="30">
        <f>1462</f>
        <v>1462</v>
      </c>
      <c r="U238" s="30" t="str">
        <f>"－"</f>
        <v>－</v>
      </c>
      <c r="V238" s="30">
        <f>19498640</f>
        <v>19498640</v>
      </c>
      <c r="W238" s="30" t="str">
        <f>"－"</f>
        <v>－</v>
      </c>
      <c r="X238" s="34">
        <f>20</f>
        <v>20</v>
      </c>
    </row>
    <row r="239" spans="1:24" ht="13.5" customHeight="1" x14ac:dyDescent="0.15">
      <c r="A239" s="25" t="s">
        <v>1032</v>
      </c>
      <c r="B239" s="25" t="s">
        <v>706</v>
      </c>
      <c r="C239" s="25" t="s">
        <v>707</v>
      </c>
      <c r="D239" s="25" t="s">
        <v>708</v>
      </c>
      <c r="E239" s="26" t="s">
        <v>45</v>
      </c>
      <c r="F239" s="27" t="s">
        <v>45</v>
      </c>
      <c r="G239" s="28" t="s">
        <v>45</v>
      </c>
      <c r="H239" s="29"/>
      <c r="I239" s="29" t="s">
        <v>46</v>
      </c>
      <c r="J239" s="30">
        <v>1</v>
      </c>
      <c r="K239" s="31">
        <f>1941</f>
        <v>1941</v>
      </c>
      <c r="L239" s="32" t="s">
        <v>996</v>
      </c>
      <c r="M239" s="31">
        <f>2008</f>
        <v>2008</v>
      </c>
      <c r="N239" s="32" t="s">
        <v>997</v>
      </c>
      <c r="O239" s="31">
        <f>1920</f>
        <v>1920</v>
      </c>
      <c r="P239" s="32" t="s">
        <v>56</v>
      </c>
      <c r="Q239" s="31">
        <f>2008</f>
        <v>2008</v>
      </c>
      <c r="R239" s="32" t="s">
        <v>997</v>
      </c>
      <c r="S239" s="33">
        <f>1959.05</f>
        <v>1959.05</v>
      </c>
      <c r="T239" s="30">
        <f>23767</f>
        <v>23767</v>
      </c>
      <c r="U239" s="30">
        <f>6</f>
        <v>6</v>
      </c>
      <c r="V239" s="30">
        <f>46497312</f>
        <v>46497312</v>
      </c>
      <c r="W239" s="30">
        <f>11736</f>
        <v>11736</v>
      </c>
      <c r="X239" s="34">
        <f>20</f>
        <v>20</v>
      </c>
    </row>
    <row r="240" spans="1:24" ht="13.5" customHeight="1" x14ac:dyDescent="0.15">
      <c r="A240" s="25" t="s">
        <v>1032</v>
      </c>
      <c r="B240" s="25" t="s">
        <v>709</v>
      </c>
      <c r="C240" s="25" t="s">
        <v>710</v>
      </c>
      <c r="D240" s="25" t="s">
        <v>711</v>
      </c>
      <c r="E240" s="26" t="s">
        <v>45</v>
      </c>
      <c r="F240" s="27" t="s">
        <v>45</v>
      </c>
      <c r="G240" s="28" t="s">
        <v>45</v>
      </c>
      <c r="H240" s="29"/>
      <c r="I240" s="29" t="s">
        <v>46</v>
      </c>
      <c r="J240" s="30">
        <v>10</v>
      </c>
      <c r="K240" s="31">
        <f>1608.5</f>
        <v>1608.5</v>
      </c>
      <c r="L240" s="32" t="s">
        <v>996</v>
      </c>
      <c r="M240" s="31">
        <f>1724</f>
        <v>1724</v>
      </c>
      <c r="N240" s="32" t="s">
        <v>788</v>
      </c>
      <c r="O240" s="31">
        <f>1574</f>
        <v>1574</v>
      </c>
      <c r="P240" s="32" t="s">
        <v>255</v>
      </c>
      <c r="Q240" s="31">
        <f>1623.5</f>
        <v>1623.5</v>
      </c>
      <c r="R240" s="32" t="s">
        <v>997</v>
      </c>
      <c r="S240" s="33">
        <f>1641.75</f>
        <v>1641.75</v>
      </c>
      <c r="T240" s="30">
        <f>1870</f>
        <v>1870</v>
      </c>
      <c r="U240" s="30" t="str">
        <f>"－"</f>
        <v>－</v>
      </c>
      <c r="V240" s="30">
        <f>3039540</f>
        <v>3039540</v>
      </c>
      <c r="W240" s="30" t="str">
        <f>"－"</f>
        <v>－</v>
      </c>
      <c r="X240" s="34">
        <f>12</f>
        <v>12</v>
      </c>
    </row>
    <row r="241" spans="1:24" ht="13.5" customHeight="1" x14ac:dyDescent="0.15">
      <c r="A241" s="25" t="s">
        <v>1032</v>
      </c>
      <c r="B241" s="25" t="s">
        <v>712</v>
      </c>
      <c r="C241" s="25" t="s">
        <v>795</v>
      </c>
      <c r="D241" s="25" t="s">
        <v>796</v>
      </c>
      <c r="E241" s="26" t="s">
        <v>45</v>
      </c>
      <c r="F241" s="27" t="s">
        <v>45</v>
      </c>
      <c r="G241" s="28" t="s">
        <v>45</v>
      </c>
      <c r="H241" s="29"/>
      <c r="I241" s="29" t="s">
        <v>46</v>
      </c>
      <c r="J241" s="30">
        <v>10</v>
      </c>
      <c r="K241" s="31">
        <f>848.2</f>
        <v>848.2</v>
      </c>
      <c r="L241" s="32" t="s">
        <v>996</v>
      </c>
      <c r="M241" s="31">
        <f>855</f>
        <v>855</v>
      </c>
      <c r="N241" s="32" t="s">
        <v>78</v>
      </c>
      <c r="O241" s="31">
        <f>844.2</f>
        <v>844.2</v>
      </c>
      <c r="P241" s="32" t="s">
        <v>788</v>
      </c>
      <c r="Q241" s="31">
        <f>848.5</f>
        <v>848.5</v>
      </c>
      <c r="R241" s="32" t="s">
        <v>997</v>
      </c>
      <c r="S241" s="33">
        <f>849.58</f>
        <v>849.58</v>
      </c>
      <c r="T241" s="30">
        <f>227510</f>
        <v>227510</v>
      </c>
      <c r="U241" s="30">
        <f>126770</f>
        <v>126770</v>
      </c>
      <c r="V241" s="30">
        <f>193457927</f>
        <v>193457927</v>
      </c>
      <c r="W241" s="30">
        <f>107855916</f>
        <v>107855916</v>
      </c>
      <c r="X241" s="34">
        <f>20</f>
        <v>20</v>
      </c>
    </row>
    <row r="242" spans="1:24" ht="13.5" customHeight="1" x14ac:dyDescent="0.15">
      <c r="A242" s="25" t="s">
        <v>1032</v>
      </c>
      <c r="B242" s="25" t="s">
        <v>713</v>
      </c>
      <c r="C242" s="25" t="s">
        <v>714</v>
      </c>
      <c r="D242" s="25" t="s">
        <v>715</v>
      </c>
      <c r="E242" s="26" t="s">
        <v>45</v>
      </c>
      <c r="F242" s="27" t="s">
        <v>45</v>
      </c>
      <c r="G242" s="28" t="s">
        <v>45</v>
      </c>
      <c r="H242" s="29"/>
      <c r="I242" s="29" t="s">
        <v>46</v>
      </c>
      <c r="J242" s="30">
        <v>10</v>
      </c>
      <c r="K242" s="31">
        <f>1853</f>
        <v>1853</v>
      </c>
      <c r="L242" s="32" t="s">
        <v>996</v>
      </c>
      <c r="M242" s="31">
        <f>1917.5</f>
        <v>1917.5</v>
      </c>
      <c r="N242" s="32" t="s">
        <v>997</v>
      </c>
      <c r="O242" s="31">
        <f>1835.5</f>
        <v>1835.5</v>
      </c>
      <c r="P242" s="32" t="s">
        <v>56</v>
      </c>
      <c r="Q242" s="31">
        <f>1917.5</f>
        <v>1917.5</v>
      </c>
      <c r="R242" s="32" t="s">
        <v>997</v>
      </c>
      <c r="S242" s="33">
        <f>1874.73</f>
        <v>1874.73</v>
      </c>
      <c r="T242" s="30">
        <f>35690</f>
        <v>35690</v>
      </c>
      <c r="U242" s="30" t="str">
        <f>"－"</f>
        <v>－</v>
      </c>
      <c r="V242" s="30">
        <f>66975040</f>
        <v>66975040</v>
      </c>
      <c r="W242" s="30" t="str">
        <f>"－"</f>
        <v>－</v>
      </c>
      <c r="X242" s="34">
        <f>20</f>
        <v>20</v>
      </c>
    </row>
    <row r="243" spans="1:24" ht="13.5" customHeight="1" x14ac:dyDescent="0.15">
      <c r="A243" s="25" t="s">
        <v>1032</v>
      </c>
      <c r="B243" s="25" t="s">
        <v>716</v>
      </c>
      <c r="C243" s="25" t="s">
        <v>717</v>
      </c>
      <c r="D243" s="25" t="s">
        <v>718</v>
      </c>
      <c r="E243" s="26" t="s">
        <v>45</v>
      </c>
      <c r="F243" s="27" t="s">
        <v>45</v>
      </c>
      <c r="G243" s="28" t="s">
        <v>45</v>
      </c>
      <c r="H243" s="29"/>
      <c r="I243" s="29" t="s">
        <v>46</v>
      </c>
      <c r="J243" s="30">
        <v>10</v>
      </c>
      <c r="K243" s="31">
        <f>1850.5</f>
        <v>1850.5</v>
      </c>
      <c r="L243" s="32" t="s">
        <v>996</v>
      </c>
      <c r="M243" s="31">
        <f>1914</f>
        <v>1914</v>
      </c>
      <c r="N243" s="32" t="s">
        <v>998</v>
      </c>
      <c r="O243" s="31">
        <f>1829</f>
        <v>1829</v>
      </c>
      <c r="P243" s="32" t="s">
        <v>56</v>
      </c>
      <c r="Q243" s="31">
        <f>1911</f>
        <v>1911</v>
      </c>
      <c r="R243" s="32" t="s">
        <v>997</v>
      </c>
      <c r="S243" s="33">
        <f>1868.63</f>
        <v>1868.63</v>
      </c>
      <c r="T243" s="30">
        <f>1572750</f>
        <v>1572750</v>
      </c>
      <c r="U243" s="30">
        <f>603000</f>
        <v>603000</v>
      </c>
      <c r="V243" s="30">
        <f>2950802815</f>
        <v>2950802815</v>
      </c>
      <c r="W243" s="30">
        <f>1134867200</f>
        <v>1134867200</v>
      </c>
      <c r="X243" s="34">
        <f>20</f>
        <v>20</v>
      </c>
    </row>
    <row r="244" spans="1:24" ht="13.5" customHeight="1" x14ac:dyDescent="0.15">
      <c r="A244" s="25" t="s">
        <v>1032</v>
      </c>
      <c r="B244" s="25" t="s">
        <v>719</v>
      </c>
      <c r="C244" s="25" t="s">
        <v>720</v>
      </c>
      <c r="D244" s="25" t="s">
        <v>721</v>
      </c>
      <c r="E244" s="26" t="s">
        <v>45</v>
      </c>
      <c r="F244" s="27" t="s">
        <v>45</v>
      </c>
      <c r="G244" s="28" t="s">
        <v>45</v>
      </c>
      <c r="H244" s="29"/>
      <c r="I244" s="29" t="s">
        <v>46</v>
      </c>
      <c r="J244" s="30">
        <v>10</v>
      </c>
      <c r="K244" s="31">
        <f>2055.5</f>
        <v>2055.5</v>
      </c>
      <c r="L244" s="32" t="s">
        <v>996</v>
      </c>
      <c r="M244" s="31">
        <f>2072</f>
        <v>2072</v>
      </c>
      <c r="N244" s="32" t="s">
        <v>997</v>
      </c>
      <c r="O244" s="31">
        <f>1974</f>
        <v>1974</v>
      </c>
      <c r="P244" s="32" t="s">
        <v>78</v>
      </c>
      <c r="Q244" s="31">
        <f>2070</f>
        <v>2070</v>
      </c>
      <c r="R244" s="32" t="s">
        <v>997</v>
      </c>
      <c r="S244" s="33">
        <f>2036.21</f>
        <v>2036.21</v>
      </c>
      <c r="T244" s="30">
        <f>154300</f>
        <v>154300</v>
      </c>
      <c r="U244" s="30">
        <f>14210</f>
        <v>14210</v>
      </c>
      <c r="V244" s="30">
        <f>315939670</f>
        <v>315939670</v>
      </c>
      <c r="W244" s="30">
        <f>29350755</f>
        <v>29350755</v>
      </c>
      <c r="X244" s="34">
        <f>19</f>
        <v>19</v>
      </c>
    </row>
    <row r="245" spans="1:24" ht="13.5" customHeight="1" x14ac:dyDescent="0.15">
      <c r="A245" s="25" t="s">
        <v>1032</v>
      </c>
      <c r="B245" s="25" t="s">
        <v>722</v>
      </c>
      <c r="C245" s="25" t="s">
        <v>723</v>
      </c>
      <c r="D245" s="25" t="s">
        <v>724</v>
      </c>
      <c r="E245" s="26" t="s">
        <v>45</v>
      </c>
      <c r="F245" s="27" t="s">
        <v>45</v>
      </c>
      <c r="G245" s="28" t="s">
        <v>45</v>
      </c>
      <c r="H245" s="29"/>
      <c r="I245" s="29" t="s">
        <v>46</v>
      </c>
      <c r="J245" s="30">
        <v>1</v>
      </c>
      <c r="K245" s="31">
        <f>15755</f>
        <v>15755</v>
      </c>
      <c r="L245" s="32" t="s">
        <v>996</v>
      </c>
      <c r="M245" s="31">
        <f>16130</f>
        <v>16130</v>
      </c>
      <c r="N245" s="32" t="s">
        <v>80</v>
      </c>
      <c r="O245" s="31">
        <f>15395</f>
        <v>15395</v>
      </c>
      <c r="P245" s="32" t="s">
        <v>78</v>
      </c>
      <c r="Q245" s="31">
        <f>16085</f>
        <v>16085</v>
      </c>
      <c r="R245" s="32" t="s">
        <v>997</v>
      </c>
      <c r="S245" s="33">
        <f>15835.25</f>
        <v>15835.25</v>
      </c>
      <c r="T245" s="30">
        <f>790032</f>
        <v>790032</v>
      </c>
      <c r="U245" s="30" t="str">
        <f>"－"</f>
        <v>－</v>
      </c>
      <c r="V245" s="30">
        <f>12524408335</f>
        <v>12524408335</v>
      </c>
      <c r="W245" s="30" t="str">
        <f>"－"</f>
        <v>－</v>
      </c>
      <c r="X245" s="34">
        <f>20</f>
        <v>20</v>
      </c>
    </row>
    <row r="246" spans="1:24" ht="13.5" customHeight="1" x14ac:dyDescent="0.15">
      <c r="A246" s="25" t="s">
        <v>1032</v>
      </c>
      <c r="B246" s="25" t="s">
        <v>725</v>
      </c>
      <c r="C246" s="25" t="s">
        <v>726</v>
      </c>
      <c r="D246" s="25" t="s">
        <v>727</v>
      </c>
      <c r="E246" s="26" t="s">
        <v>45</v>
      </c>
      <c r="F246" s="27" t="s">
        <v>45</v>
      </c>
      <c r="G246" s="28" t="s">
        <v>45</v>
      </c>
      <c r="H246" s="29"/>
      <c r="I246" s="29" t="s">
        <v>46</v>
      </c>
      <c r="J246" s="30">
        <v>1</v>
      </c>
      <c r="K246" s="31">
        <f>14165</f>
        <v>14165</v>
      </c>
      <c r="L246" s="32" t="s">
        <v>996</v>
      </c>
      <c r="M246" s="31">
        <f>14520</f>
        <v>14520</v>
      </c>
      <c r="N246" s="32" t="s">
        <v>788</v>
      </c>
      <c r="O246" s="31">
        <f>13880</f>
        <v>13880</v>
      </c>
      <c r="P246" s="32" t="s">
        <v>78</v>
      </c>
      <c r="Q246" s="31">
        <f>14515</f>
        <v>14515</v>
      </c>
      <c r="R246" s="32" t="s">
        <v>997</v>
      </c>
      <c r="S246" s="33">
        <f>14276.25</f>
        <v>14276.25</v>
      </c>
      <c r="T246" s="30">
        <f>151626</f>
        <v>151626</v>
      </c>
      <c r="U246" s="30">
        <f>79</f>
        <v>79</v>
      </c>
      <c r="V246" s="30">
        <f>2167895152</f>
        <v>2167895152</v>
      </c>
      <c r="W246" s="30">
        <f>1133097</f>
        <v>1133097</v>
      </c>
      <c r="X246" s="34">
        <f>20</f>
        <v>20</v>
      </c>
    </row>
    <row r="247" spans="1:24" ht="13.5" customHeight="1" x14ac:dyDescent="0.15">
      <c r="A247" s="25" t="s">
        <v>1032</v>
      </c>
      <c r="B247" s="25" t="s">
        <v>728</v>
      </c>
      <c r="C247" s="25" t="s">
        <v>729</v>
      </c>
      <c r="D247" s="25" t="s">
        <v>730</v>
      </c>
      <c r="E247" s="26" t="s">
        <v>45</v>
      </c>
      <c r="F247" s="27" t="s">
        <v>45</v>
      </c>
      <c r="G247" s="28" t="s">
        <v>45</v>
      </c>
      <c r="H247" s="29"/>
      <c r="I247" s="29" t="s">
        <v>46</v>
      </c>
      <c r="J247" s="30">
        <v>1</v>
      </c>
      <c r="K247" s="31">
        <f>26330</f>
        <v>26330</v>
      </c>
      <c r="L247" s="32" t="s">
        <v>1003</v>
      </c>
      <c r="M247" s="31">
        <f>27555</f>
        <v>27555</v>
      </c>
      <c r="N247" s="32" t="s">
        <v>997</v>
      </c>
      <c r="O247" s="31">
        <f>26330</f>
        <v>26330</v>
      </c>
      <c r="P247" s="32" t="s">
        <v>1003</v>
      </c>
      <c r="Q247" s="31">
        <f>27555</f>
        <v>27555</v>
      </c>
      <c r="R247" s="32" t="s">
        <v>997</v>
      </c>
      <c r="S247" s="33">
        <f>26943.13</f>
        <v>26943.13</v>
      </c>
      <c r="T247" s="30">
        <f>169</f>
        <v>169</v>
      </c>
      <c r="U247" s="30" t="str">
        <f>"－"</f>
        <v>－</v>
      </c>
      <c r="V247" s="30">
        <f>4618115</f>
        <v>4618115</v>
      </c>
      <c r="W247" s="30" t="str">
        <f>"－"</f>
        <v>－</v>
      </c>
      <c r="X247" s="34">
        <f>8</f>
        <v>8</v>
      </c>
    </row>
    <row r="248" spans="1:24" ht="13.5" customHeight="1" x14ac:dyDescent="0.15">
      <c r="A248" s="25" t="s">
        <v>1032</v>
      </c>
      <c r="B248" s="25" t="s">
        <v>731</v>
      </c>
      <c r="C248" s="25" t="s">
        <v>732</v>
      </c>
      <c r="D248" s="25" t="s">
        <v>733</v>
      </c>
      <c r="E248" s="26" t="s">
        <v>45</v>
      </c>
      <c r="F248" s="27" t="s">
        <v>45</v>
      </c>
      <c r="G248" s="28" t="s">
        <v>45</v>
      </c>
      <c r="H248" s="29"/>
      <c r="I248" s="29" t="s">
        <v>46</v>
      </c>
      <c r="J248" s="30">
        <v>1</v>
      </c>
      <c r="K248" s="31">
        <f>2554</f>
        <v>2554</v>
      </c>
      <c r="L248" s="32" t="s">
        <v>996</v>
      </c>
      <c r="M248" s="31">
        <f>2599</f>
        <v>2599</v>
      </c>
      <c r="N248" s="32" t="s">
        <v>875</v>
      </c>
      <c r="O248" s="31">
        <f>2520</f>
        <v>2520</v>
      </c>
      <c r="P248" s="32" t="s">
        <v>1003</v>
      </c>
      <c r="Q248" s="31">
        <f>2552</f>
        <v>2552</v>
      </c>
      <c r="R248" s="32" t="s">
        <v>997</v>
      </c>
      <c r="S248" s="33">
        <f>2535.25</f>
        <v>2535.25</v>
      </c>
      <c r="T248" s="30">
        <f>621828</f>
        <v>621828</v>
      </c>
      <c r="U248" s="30">
        <f>240712</f>
        <v>240712</v>
      </c>
      <c r="V248" s="30">
        <f>1574439375</f>
        <v>1574439375</v>
      </c>
      <c r="W248" s="30">
        <f>608901452</f>
        <v>608901452</v>
      </c>
      <c r="X248" s="34">
        <f>20</f>
        <v>20</v>
      </c>
    </row>
    <row r="249" spans="1:24" ht="13.5" customHeight="1" x14ac:dyDescent="0.15">
      <c r="A249" s="25" t="s">
        <v>1032</v>
      </c>
      <c r="B249" s="25" t="s">
        <v>734</v>
      </c>
      <c r="C249" s="25" t="s">
        <v>735</v>
      </c>
      <c r="D249" s="25" t="s">
        <v>736</v>
      </c>
      <c r="E249" s="26" t="s">
        <v>45</v>
      </c>
      <c r="F249" s="27" t="s">
        <v>45</v>
      </c>
      <c r="G249" s="28" t="s">
        <v>45</v>
      </c>
      <c r="H249" s="29"/>
      <c r="I249" s="29" t="s">
        <v>46</v>
      </c>
      <c r="J249" s="30">
        <v>10</v>
      </c>
      <c r="K249" s="31">
        <f>2749.5</f>
        <v>2749.5</v>
      </c>
      <c r="L249" s="32" t="s">
        <v>996</v>
      </c>
      <c r="M249" s="31">
        <f>2806</f>
        <v>2806</v>
      </c>
      <c r="N249" s="32" t="s">
        <v>788</v>
      </c>
      <c r="O249" s="31">
        <f>2743.5</f>
        <v>2743.5</v>
      </c>
      <c r="P249" s="32" t="s">
        <v>255</v>
      </c>
      <c r="Q249" s="31">
        <f>2783</f>
        <v>2783</v>
      </c>
      <c r="R249" s="32" t="s">
        <v>997</v>
      </c>
      <c r="S249" s="33">
        <f>2775.3</f>
        <v>2775.3</v>
      </c>
      <c r="T249" s="30">
        <f>1124730</f>
        <v>1124730</v>
      </c>
      <c r="U249" s="30">
        <f>826810</f>
        <v>826810</v>
      </c>
      <c r="V249" s="30">
        <f>3118038152</f>
        <v>3118038152</v>
      </c>
      <c r="W249" s="30">
        <f>2291672727</f>
        <v>2291672727</v>
      </c>
      <c r="X249" s="34">
        <f>20</f>
        <v>20</v>
      </c>
    </row>
    <row r="250" spans="1:24" ht="13.5" customHeight="1" x14ac:dyDescent="0.15">
      <c r="A250" s="25" t="s">
        <v>1032</v>
      </c>
      <c r="B250" s="25" t="s">
        <v>737</v>
      </c>
      <c r="C250" s="25" t="s">
        <v>738</v>
      </c>
      <c r="D250" s="25" t="s">
        <v>739</v>
      </c>
      <c r="E250" s="26" t="s">
        <v>45</v>
      </c>
      <c r="F250" s="27" t="s">
        <v>45</v>
      </c>
      <c r="G250" s="28" t="s">
        <v>45</v>
      </c>
      <c r="H250" s="29"/>
      <c r="I250" s="29" t="s">
        <v>46</v>
      </c>
      <c r="J250" s="30">
        <v>10</v>
      </c>
      <c r="K250" s="31">
        <f>254.3</f>
        <v>254.3</v>
      </c>
      <c r="L250" s="32" t="s">
        <v>996</v>
      </c>
      <c r="M250" s="31">
        <f>257.2</f>
        <v>257.2</v>
      </c>
      <c r="N250" s="32" t="s">
        <v>788</v>
      </c>
      <c r="O250" s="31">
        <f>251.2</f>
        <v>251.2</v>
      </c>
      <c r="P250" s="32" t="s">
        <v>255</v>
      </c>
      <c r="Q250" s="31">
        <f>255.6</f>
        <v>255.6</v>
      </c>
      <c r="R250" s="32" t="s">
        <v>997</v>
      </c>
      <c r="S250" s="33">
        <f>255.01</f>
        <v>255.01</v>
      </c>
      <c r="T250" s="30">
        <f>43126140</f>
        <v>43126140</v>
      </c>
      <c r="U250" s="30">
        <f>5124190</f>
        <v>5124190</v>
      </c>
      <c r="V250" s="30">
        <f>10982552033</f>
        <v>10982552033</v>
      </c>
      <c r="W250" s="30">
        <f>1305681815</f>
        <v>1305681815</v>
      </c>
      <c r="X250" s="34">
        <f>20</f>
        <v>20</v>
      </c>
    </row>
    <row r="251" spans="1:24" ht="13.5" customHeight="1" x14ac:dyDescent="0.15">
      <c r="A251" s="25" t="s">
        <v>1032</v>
      </c>
      <c r="B251" s="25" t="s">
        <v>740</v>
      </c>
      <c r="C251" s="25" t="s">
        <v>741</v>
      </c>
      <c r="D251" s="25" t="s">
        <v>742</v>
      </c>
      <c r="E251" s="26" t="s">
        <v>45</v>
      </c>
      <c r="F251" s="27" t="s">
        <v>45</v>
      </c>
      <c r="G251" s="28" t="s">
        <v>45</v>
      </c>
      <c r="H251" s="29"/>
      <c r="I251" s="29" t="s">
        <v>46</v>
      </c>
      <c r="J251" s="30">
        <v>1</v>
      </c>
      <c r="K251" s="31">
        <f>2260</f>
        <v>2260</v>
      </c>
      <c r="L251" s="32" t="s">
        <v>996</v>
      </c>
      <c r="M251" s="31">
        <f>2318</f>
        <v>2318</v>
      </c>
      <c r="N251" s="32" t="s">
        <v>1005</v>
      </c>
      <c r="O251" s="31">
        <f>2182</f>
        <v>2182</v>
      </c>
      <c r="P251" s="32" t="s">
        <v>255</v>
      </c>
      <c r="Q251" s="31">
        <f>2211</f>
        <v>2211</v>
      </c>
      <c r="R251" s="32" t="s">
        <v>997</v>
      </c>
      <c r="S251" s="33">
        <f>2253.7</f>
        <v>2253.6999999999998</v>
      </c>
      <c r="T251" s="30">
        <f>1059507</f>
        <v>1059507</v>
      </c>
      <c r="U251" s="30">
        <f>664006</f>
        <v>664006</v>
      </c>
      <c r="V251" s="30">
        <f>2373734624</f>
        <v>2373734624</v>
      </c>
      <c r="W251" s="30">
        <f>1480531413</f>
        <v>1480531413</v>
      </c>
      <c r="X251" s="34">
        <f>20</f>
        <v>20</v>
      </c>
    </row>
    <row r="252" spans="1:24" ht="13.5" customHeight="1" x14ac:dyDescent="0.15">
      <c r="A252" s="25" t="s">
        <v>1032</v>
      </c>
      <c r="B252" s="25" t="s">
        <v>743</v>
      </c>
      <c r="C252" s="25" t="s">
        <v>744</v>
      </c>
      <c r="D252" s="25" t="s">
        <v>745</v>
      </c>
      <c r="E252" s="26" t="s">
        <v>45</v>
      </c>
      <c r="F252" s="27" t="s">
        <v>45</v>
      </c>
      <c r="G252" s="28" t="s">
        <v>45</v>
      </c>
      <c r="H252" s="29"/>
      <c r="I252" s="29" t="s">
        <v>46</v>
      </c>
      <c r="J252" s="30">
        <v>1</v>
      </c>
      <c r="K252" s="31">
        <f>960</f>
        <v>960</v>
      </c>
      <c r="L252" s="32" t="s">
        <v>996</v>
      </c>
      <c r="M252" s="31">
        <f>1108</f>
        <v>1108</v>
      </c>
      <c r="N252" s="32" t="s">
        <v>790</v>
      </c>
      <c r="O252" s="31">
        <f>960</f>
        <v>960</v>
      </c>
      <c r="P252" s="32" t="s">
        <v>996</v>
      </c>
      <c r="Q252" s="31">
        <f>1025</f>
        <v>1025</v>
      </c>
      <c r="R252" s="32" t="s">
        <v>997</v>
      </c>
      <c r="S252" s="33">
        <f>1005.5</f>
        <v>1005.5</v>
      </c>
      <c r="T252" s="30">
        <f>2054892</f>
        <v>2054892</v>
      </c>
      <c r="U252" s="30">
        <f>1735002</f>
        <v>1735002</v>
      </c>
      <c r="V252" s="30">
        <f>2076153599</f>
        <v>2076153599</v>
      </c>
      <c r="W252" s="30">
        <f>1753566863</f>
        <v>1753566863</v>
      </c>
      <c r="X252" s="34">
        <f>20</f>
        <v>20</v>
      </c>
    </row>
    <row r="253" spans="1:24" ht="13.5" customHeight="1" x14ac:dyDescent="0.15">
      <c r="A253" s="25" t="s">
        <v>1032</v>
      </c>
      <c r="B253" s="25" t="s">
        <v>746</v>
      </c>
      <c r="C253" s="25" t="s">
        <v>747</v>
      </c>
      <c r="D253" s="25" t="s">
        <v>748</v>
      </c>
      <c r="E253" s="26" t="s">
        <v>45</v>
      </c>
      <c r="F253" s="27" t="s">
        <v>45</v>
      </c>
      <c r="G253" s="28" t="s">
        <v>45</v>
      </c>
      <c r="H253" s="29"/>
      <c r="I253" s="29" t="s">
        <v>46</v>
      </c>
      <c r="J253" s="30">
        <v>10</v>
      </c>
      <c r="K253" s="31">
        <f>1018.5</f>
        <v>1018.5</v>
      </c>
      <c r="L253" s="32" t="s">
        <v>996</v>
      </c>
      <c r="M253" s="31">
        <f>1053.5</f>
        <v>1053.5</v>
      </c>
      <c r="N253" s="32" t="s">
        <v>997</v>
      </c>
      <c r="O253" s="31">
        <f>1007.5</f>
        <v>1007.5</v>
      </c>
      <c r="P253" s="32" t="s">
        <v>56</v>
      </c>
      <c r="Q253" s="31">
        <f>1053.5</f>
        <v>1053.5</v>
      </c>
      <c r="R253" s="32" t="s">
        <v>997</v>
      </c>
      <c r="S253" s="33">
        <f>1028.03</f>
        <v>1028.03</v>
      </c>
      <c r="T253" s="30">
        <f>71650</f>
        <v>71650</v>
      </c>
      <c r="U253" s="30" t="str">
        <f>"－"</f>
        <v>－</v>
      </c>
      <c r="V253" s="30">
        <f>74096680</f>
        <v>74096680</v>
      </c>
      <c r="W253" s="30" t="str">
        <f>"－"</f>
        <v>－</v>
      </c>
      <c r="X253" s="34">
        <f>20</f>
        <v>20</v>
      </c>
    </row>
    <row r="254" spans="1:24" ht="13.5" customHeight="1" x14ac:dyDescent="0.15">
      <c r="A254" s="25" t="s">
        <v>1032</v>
      </c>
      <c r="B254" s="25" t="s">
        <v>749</v>
      </c>
      <c r="C254" s="25" t="s">
        <v>750</v>
      </c>
      <c r="D254" s="25" t="s">
        <v>751</v>
      </c>
      <c r="E254" s="26" t="s">
        <v>45</v>
      </c>
      <c r="F254" s="27" t="s">
        <v>45</v>
      </c>
      <c r="G254" s="28" t="s">
        <v>45</v>
      </c>
      <c r="H254" s="29"/>
      <c r="I254" s="29" t="s">
        <v>46</v>
      </c>
      <c r="J254" s="30">
        <v>10</v>
      </c>
      <c r="K254" s="31">
        <f>252.7</f>
        <v>252.7</v>
      </c>
      <c r="L254" s="32" t="s">
        <v>996</v>
      </c>
      <c r="M254" s="31">
        <f>259.5</f>
        <v>259.5</v>
      </c>
      <c r="N254" s="32" t="s">
        <v>997</v>
      </c>
      <c r="O254" s="31">
        <f>245</f>
        <v>245</v>
      </c>
      <c r="P254" s="32" t="s">
        <v>794</v>
      </c>
      <c r="Q254" s="31">
        <f>256</f>
        <v>256</v>
      </c>
      <c r="R254" s="32" t="s">
        <v>997</v>
      </c>
      <c r="S254" s="33">
        <f>254.15</f>
        <v>254.15</v>
      </c>
      <c r="T254" s="30">
        <f>10570</f>
        <v>10570</v>
      </c>
      <c r="U254" s="30" t="str">
        <f>"－"</f>
        <v>－</v>
      </c>
      <c r="V254" s="30">
        <f>2692386</f>
        <v>2692386</v>
      </c>
      <c r="W254" s="30" t="str">
        <f>"－"</f>
        <v>－</v>
      </c>
      <c r="X254" s="34">
        <f>20</f>
        <v>20</v>
      </c>
    </row>
    <row r="255" spans="1:24" ht="13.5" customHeight="1" x14ac:dyDescent="0.15">
      <c r="A255" s="25" t="s">
        <v>1032</v>
      </c>
      <c r="B255" s="25" t="s">
        <v>752</v>
      </c>
      <c r="C255" s="25" t="s">
        <v>753</v>
      </c>
      <c r="D255" s="25" t="s">
        <v>754</v>
      </c>
      <c r="E255" s="26" t="s">
        <v>45</v>
      </c>
      <c r="F255" s="27" t="s">
        <v>45</v>
      </c>
      <c r="G255" s="28" t="s">
        <v>45</v>
      </c>
      <c r="H255" s="29"/>
      <c r="I255" s="29" t="s">
        <v>46</v>
      </c>
      <c r="J255" s="30">
        <v>10</v>
      </c>
      <c r="K255" s="31">
        <f>3008</f>
        <v>3008</v>
      </c>
      <c r="L255" s="32" t="s">
        <v>996</v>
      </c>
      <c r="M255" s="31">
        <f>3055</f>
        <v>3055</v>
      </c>
      <c r="N255" s="32" t="s">
        <v>997</v>
      </c>
      <c r="O255" s="31">
        <f>2910</f>
        <v>2910</v>
      </c>
      <c r="P255" s="32" t="s">
        <v>78</v>
      </c>
      <c r="Q255" s="31">
        <f>3055</f>
        <v>3055</v>
      </c>
      <c r="R255" s="32" t="s">
        <v>997</v>
      </c>
      <c r="S255" s="33">
        <f>2988.23</f>
        <v>2988.23</v>
      </c>
      <c r="T255" s="30">
        <f>1987740</f>
        <v>1987740</v>
      </c>
      <c r="U255" s="30" t="str">
        <f>"－"</f>
        <v>－</v>
      </c>
      <c r="V255" s="30">
        <f>5944104690</f>
        <v>5944104690</v>
      </c>
      <c r="W255" s="30" t="str">
        <f>"－"</f>
        <v>－</v>
      </c>
      <c r="X255" s="34">
        <f>20</f>
        <v>20</v>
      </c>
    </row>
    <row r="256" spans="1:24" ht="13.5" customHeight="1" x14ac:dyDescent="0.15">
      <c r="A256" s="25" t="s">
        <v>1032</v>
      </c>
      <c r="B256" s="25" t="s">
        <v>755</v>
      </c>
      <c r="C256" s="25" t="s">
        <v>756</v>
      </c>
      <c r="D256" s="25" t="s">
        <v>757</v>
      </c>
      <c r="E256" s="26" t="s">
        <v>45</v>
      </c>
      <c r="F256" s="27" t="s">
        <v>45</v>
      </c>
      <c r="G256" s="28" t="s">
        <v>45</v>
      </c>
      <c r="H256" s="29"/>
      <c r="I256" s="29" t="s">
        <v>46</v>
      </c>
      <c r="J256" s="30">
        <v>10</v>
      </c>
      <c r="K256" s="31">
        <f>2233.5</f>
        <v>2233.5</v>
      </c>
      <c r="L256" s="32" t="s">
        <v>996</v>
      </c>
      <c r="M256" s="31">
        <f>2235</f>
        <v>2235</v>
      </c>
      <c r="N256" s="32" t="s">
        <v>785</v>
      </c>
      <c r="O256" s="31">
        <f>2180</f>
        <v>2180</v>
      </c>
      <c r="P256" s="32" t="s">
        <v>56</v>
      </c>
      <c r="Q256" s="31">
        <f>2227.5</f>
        <v>2227.5</v>
      </c>
      <c r="R256" s="32" t="s">
        <v>997</v>
      </c>
      <c r="S256" s="33">
        <f>2211.18</f>
        <v>2211.1799999999998</v>
      </c>
      <c r="T256" s="30">
        <f>1772400</f>
        <v>1772400</v>
      </c>
      <c r="U256" s="30">
        <f>310000</f>
        <v>310000</v>
      </c>
      <c r="V256" s="30">
        <f>3931434827</f>
        <v>3931434827</v>
      </c>
      <c r="W256" s="30">
        <f>689549247</f>
        <v>689549247</v>
      </c>
      <c r="X256" s="34">
        <f>20</f>
        <v>20</v>
      </c>
    </row>
    <row r="257" spans="1:24" ht="13.5" customHeight="1" x14ac:dyDescent="0.15">
      <c r="A257" s="25" t="s">
        <v>1032</v>
      </c>
      <c r="B257" s="25" t="s">
        <v>758</v>
      </c>
      <c r="C257" s="25" t="s">
        <v>759</v>
      </c>
      <c r="D257" s="25" t="s">
        <v>760</v>
      </c>
      <c r="E257" s="26" t="s">
        <v>45</v>
      </c>
      <c r="F257" s="27" t="s">
        <v>45</v>
      </c>
      <c r="G257" s="28" t="s">
        <v>45</v>
      </c>
      <c r="H257" s="29"/>
      <c r="I257" s="29" t="s">
        <v>46</v>
      </c>
      <c r="J257" s="30">
        <v>10</v>
      </c>
      <c r="K257" s="31">
        <f>300.1</f>
        <v>300.10000000000002</v>
      </c>
      <c r="L257" s="32" t="s">
        <v>996</v>
      </c>
      <c r="M257" s="31">
        <f>303.1</f>
        <v>303.10000000000002</v>
      </c>
      <c r="N257" s="32" t="s">
        <v>997</v>
      </c>
      <c r="O257" s="31">
        <f>295.5</f>
        <v>295.5</v>
      </c>
      <c r="P257" s="32" t="s">
        <v>78</v>
      </c>
      <c r="Q257" s="31">
        <f>303.1</f>
        <v>303.10000000000002</v>
      </c>
      <c r="R257" s="32" t="s">
        <v>997</v>
      </c>
      <c r="S257" s="33">
        <f>299.62</f>
        <v>299.62</v>
      </c>
      <c r="T257" s="30">
        <f>12667430</f>
        <v>12667430</v>
      </c>
      <c r="U257" s="30">
        <f>6820430</f>
        <v>6820430</v>
      </c>
      <c r="V257" s="30">
        <f>3804731023</f>
        <v>3804731023</v>
      </c>
      <c r="W257" s="30">
        <f>2048783282</f>
        <v>2048783282</v>
      </c>
      <c r="X257" s="34">
        <f>20</f>
        <v>20</v>
      </c>
    </row>
    <row r="258" spans="1:24" ht="13.5" customHeight="1" x14ac:dyDescent="0.15">
      <c r="A258" s="25" t="s">
        <v>1032</v>
      </c>
      <c r="B258" s="25" t="s">
        <v>761</v>
      </c>
      <c r="C258" s="25" t="s">
        <v>762</v>
      </c>
      <c r="D258" s="25" t="s">
        <v>763</v>
      </c>
      <c r="E258" s="26" t="s">
        <v>45</v>
      </c>
      <c r="F258" s="27" t="s">
        <v>45</v>
      </c>
      <c r="G258" s="28" t="s">
        <v>45</v>
      </c>
      <c r="H258" s="29"/>
      <c r="I258" s="29" t="s">
        <v>46</v>
      </c>
      <c r="J258" s="30">
        <v>1</v>
      </c>
      <c r="K258" s="31">
        <f>1514</f>
        <v>1514</v>
      </c>
      <c r="L258" s="32" t="s">
        <v>996</v>
      </c>
      <c r="M258" s="31">
        <f>1557</f>
        <v>1557</v>
      </c>
      <c r="N258" s="32" t="s">
        <v>1003</v>
      </c>
      <c r="O258" s="31">
        <f>1479</f>
        <v>1479</v>
      </c>
      <c r="P258" s="32" t="s">
        <v>788</v>
      </c>
      <c r="Q258" s="31">
        <f>1498</f>
        <v>1498</v>
      </c>
      <c r="R258" s="32" t="s">
        <v>997</v>
      </c>
      <c r="S258" s="33">
        <f>1514.15</f>
        <v>1514.15</v>
      </c>
      <c r="T258" s="30">
        <f>9169914</f>
        <v>9169914</v>
      </c>
      <c r="U258" s="30">
        <f>13180</f>
        <v>13180</v>
      </c>
      <c r="V258" s="30">
        <f>13854744375</f>
        <v>13854744375</v>
      </c>
      <c r="W258" s="30">
        <f>19797620</f>
        <v>19797620</v>
      </c>
      <c r="X258" s="34">
        <f>20</f>
        <v>20</v>
      </c>
    </row>
    <row r="259" spans="1:24" ht="13.5" customHeight="1" x14ac:dyDescent="0.15">
      <c r="A259" s="25" t="s">
        <v>1032</v>
      </c>
      <c r="B259" s="25" t="s">
        <v>764</v>
      </c>
      <c r="C259" s="25" t="s">
        <v>765</v>
      </c>
      <c r="D259" s="25" t="s">
        <v>766</v>
      </c>
      <c r="E259" s="26" t="s">
        <v>45</v>
      </c>
      <c r="F259" s="27" t="s">
        <v>45</v>
      </c>
      <c r="G259" s="28" t="s">
        <v>45</v>
      </c>
      <c r="H259" s="29"/>
      <c r="I259" s="29" t="s">
        <v>46</v>
      </c>
      <c r="J259" s="30">
        <v>1</v>
      </c>
      <c r="K259" s="31">
        <f>1840</f>
        <v>1840</v>
      </c>
      <c r="L259" s="32" t="s">
        <v>996</v>
      </c>
      <c r="M259" s="31">
        <f>1857</f>
        <v>1857</v>
      </c>
      <c r="N259" s="32" t="s">
        <v>78</v>
      </c>
      <c r="O259" s="31">
        <f>1792</f>
        <v>1792</v>
      </c>
      <c r="P259" s="32" t="s">
        <v>793</v>
      </c>
      <c r="Q259" s="31">
        <f>1806</f>
        <v>1806</v>
      </c>
      <c r="R259" s="32" t="s">
        <v>997</v>
      </c>
      <c r="S259" s="33">
        <f>1818.2</f>
        <v>1818.2</v>
      </c>
      <c r="T259" s="30">
        <f>23401</f>
        <v>23401</v>
      </c>
      <c r="U259" s="30">
        <f>12</f>
        <v>12</v>
      </c>
      <c r="V259" s="30">
        <f>42509558</f>
        <v>42509558</v>
      </c>
      <c r="W259" s="30">
        <f>21617</f>
        <v>21617</v>
      </c>
      <c r="X259" s="34">
        <f>20</f>
        <v>20</v>
      </c>
    </row>
    <row r="260" spans="1:24" ht="13.5" customHeight="1" x14ac:dyDescent="0.15">
      <c r="A260" s="25" t="s">
        <v>1032</v>
      </c>
      <c r="B260" s="25" t="s">
        <v>767</v>
      </c>
      <c r="C260" s="25" t="s">
        <v>768</v>
      </c>
      <c r="D260" s="25" t="s">
        <v>769</v>
      </c>
      <c r="E260" s="26" t="s">
        <v>45</v>
      </c>
      <c r="F260" s="27" t="s">
        <v>45</v>
      </c>
      <c r="G260" s="28" t="s">
        <v>45</v>
      </c>
      <c r="H260" s="29"/>
      <c r="I260" s="29" t="s">
        <v>46</v>
      </c>
      <c r="J260" s="30">
        <v>1</v>
      </c>
      <c r="K260" s="31">
        <f>2161</f>
        <v>2161</v>
      </c>
      <c r="L260" s="32" t="s">
        <v>996</v>
      </c>
      <c r="M260" s="31">
        <f>2169</f>
        <v>2169</v>
      </c>
      <c r="N260" s="32" t="s">
        <v>78</v>
      </c>
      <c r="O260" s="31">
        <f>2083</f>
        <v>2083</v>
      </c>
      <c r="P260" s="32" t="s">
        <v>80</v>
      </c>
      <c r="Q260" s="31">
        <f>2093</f>
        <v>2093</v>
      </c>
      <c r="R260" s="32" t="s">
        <v>997</v>
      </c>
      <c r="S260" s="33">
        <f>2122.1</f>
        <v>2122.1</v>
      </c>
      <c r="T260" s="30">
        <f>64396</f>
        <v>64396</v>
      </c>
      <c r="U260" s="30" t="str">
        <f>"－"</f>
        <v>－</v>
      </c>
      <c r="V260" s="30">
        <f>135285899</f>
        <v>135285899</v>
      </c>
      <c r="W260" s="30" t="str">
        <f>"－"</f>
        <v>－</v>
      </c>
      <c r="X260" s="34">
        <f>20</f>
        <v>20</v>
      </c>
    </row>
    <row r="261" spans="1:24" ht="13.5" customHeight="1" x14ac:dyDescent="0.15">
      <c r="A261" s="25" t="s">
        <v>1032</v>
      </c>
      <c r="B261" s="25" t="s">
        <v>770</v>
      </c>
      <c r="C261" s="25" t="s">
        <v>771</v>
      </c>
      <c r="D261" s="25" t="s">
        <v>1087</v>
      </c>
      <c r="E261" s="26" t="s">
        <v>45</v>
      </c>
      <c r="F261" s="27" t="s">
        <v>45</v>
      </c>
      <c r="G261" s="28" t="s">
        <v>45</v>
      </c>
      <c r="H261" s="29"/>
      <c r="I261" s="29" t="s">
        <v>46</v>
      </c>
      <c r="J261" s="30">
        <v>1</v>
      </c>
      <c r="K261" s="31">
        <f>2858</f>
        <v>2858</v>
      </c>
      <c r="L261" s="32" t="s">
        <v>996</v>
      </c>
      <c r="M261" s="31">
        <f>2898</f>
        <v>2898</v>
      </c>
      <c r="N261" s="32" t="s">
        <v>997</v>
      </c>
      <c r="O261" s="31">
        <f>2754</f>
        <v>2754</v>
      </c>
      <c r="P261" s="32" t="s">
        <v>1003</v>
      </c>
      <c r="Q261" s="31">
        <f>2898</f>
        <v>2898</v>
      </c>
      <c r="R261" s="32" t="s">
        <v>997</v>
      </c>
      <c r="S261" s="33">
        <f>2841.8</f>
        <v>2841.8</v>
      </c>
      <c r="T261" s="30">
        <f>458302</f>
        <v>458302</v>
      </c>
      <c r="U261" s="30">
        <f>232000</f>
        <v>232000</v>
      </c>
      <c r="V261" s="30">
        <f>1297773666</f>
        <v>1297773666</v>
      </c>
      <c r="W261" s="30">
        <f>656311200</f>
        <v>656311200</v>
      </c>
      <c r="X261" s="34">
        <f>20</f>
        <v>20</v>
      </c>
    </row>
    <row r="262" spans="1:24" ht="13.5" customHeight="1" x14ac:dyDescent="0.15">
      <c r="A262" s="25" t="s">
        <v>1032</v>
      </c>
      <c r="B262" s="25" t="s">
        <v>773</v>
      </c>
      <c r="C262" s="25" t="s">
        <v>774</v>
      </c>
      <c r="D262" s="25" t="s">
        <v>1088</v>
      </c>
      <c r="E262" s="26" t="s">
        <v>45</v>
      </c>
      <c r="F262" s="27" t="s">
        <v>45</v>
      </c>
      <c r="G262" s="28" t="s">
        <v>45</v>
      </c>
      <c r="H262" s="29"/>
      <c r="I262" s="29" t="s">
        <v>46</v>
      </c>
      <c r="J262" s="30">
        <v>1</v>
      </c>
      <c r="K262" s="31">
        <f>2047</f>
        <v>2047</v>
      </c>
      <c r="L262" s="32" t="s">
        <v>996</v>
      </c>
      <c r="M262" s="31">
        <f>2058</f>
        <v>2058</v>
      </c>
      <c r="N262" s="32" t="s">
        <v>997</v>
      </c>
      <c r="O262" s="31">
        <f>1965</f>
        <v>1965</v>
      </c>
      <c r="P262" s="32" t="s">
        <v>1003</v>
      </c>
      <c r="Q262" s="31">
        <f>2057</f>
        <v>2057</v>
      </c>
      <c r="R262" s="32" t="s">
        <v>997</v>
      </c>
      <c r="S262" s="33">
        <f>2022.75</f>
        <v>2022.75</v>
      </c>
      <c r="T262" s="30">
        <f>618850</f>
        <v>618850</v>
      </c>
      <c r="U262" s="30">
        <f>23632</f>
        <v>23632</v>
      </c>
      <c r="V262" s="30">
        <f>1261954051</f>
        <v>1261954051</v>
      </c>
      <c r="W262" s="30">
        <f>48398336</f>
        <v>48398336</v>
      </c>
      <c r="X262" s="34">
        <f>20</f>
        <v>20</v>
      </c>
    </row>
    <row r="263" spans="1:24" ht="13.5" customHeight="1" x14ac:dyDescent="0.15">
      <c r="A263" s="25" t="s">
        <v>1032</v>
      </c>
      <c r="B263" s="25" t="s">
        <v>776</v>
      </c>
      <c r="C263" s="25" t="s">
        <v>777</v>
      </c>
      <c r="D263" s="25" t="s">
        <v>778</v>
      </c>
      <c r="E263" s="26" t="s">
        <v>45</v>
      </c>
      <c r="F263" s="27" t="s">
        <v>45</v>
      </c>
      <c r="G263" s="28" t="s">
        <v>45</v>
      </c>
      <c r="H263" s="29"/>
      <c r="I263" s="29" t="s">
        <v>46</v>
      </c>
      <c r="J263" s="30">
        <v>1</v>
      </c>
      <c r="K263" s="31">
        <f>1879</f>
        <v>1879</v>
      </c>
      <c r="L263" s="32" t="s">
        <v>996</v>
      </c>
      <c r="M263" s="31">
        <f>1925</f>
        <v>1925</v>
      </c>
      <c r="N263" s="32" t="s">
        <v>997</v>
      </c>
      <c r="O263" s="31">
        <f>1838</f>
        <v>1838</v>
      </c>
      <c r="P263" s="32" t="s">
        <v>78</v>
      </c>
      <c r="Q263" s="31">
        <f>1925</f>
        <v>1925</v>
      </c>
      <c r="R263" s="32" t="s">
        <v>997</v>
      </c>
      <c r="S263" s="33">
        <f>1886.3</f>
        <v>1886.3</v>
      </c>
      <c r="T263" s="30">
        <f>14289</f>
        <v>14289</v>
      </c>
      <c r="U263" s="30" t="str">
        <f>"－"</f>
        <v>－</v>
      </c>
      <c r="V263" s="30">
        <f>26896654</f>
        <v>26896654</v>
      </c>
      <c r="W263" s="30" t="str">
        <f>"－"</f>
        <v>－</v>
      </c>
      <c r="X263" s="34">
        <f>20</f>
        <v>20</v>
      </c>
    </row>
    <row r="264" spans="1:24" ht="13.5" customHeight="1" x14ac:dyDescent="0.15">
      <c r="A264" s="25" t="s">
        <v>1032</v>
      </c>
      <c r="B264" s="25" t="s">
        <v>779</v>
      </c>
      <c r="C264" s="25" t="s">
        <v>780</v>
      </c>
      <c r="D264" s="25" t="s">
        <v>781</v>
      </c>
      <c r="E264" s="26" t="s">
        <v>45</v>
      </c>
      <c r="F264" s="27" t="s">
        <v>45</v>
      </c>
      <c r="G264" s="28" t="s">
        <v>45</v>
      </c>
      <c r="H264" s="29"/>
      <c r="I264" s="29" t="s">
        <v>46</v>
      </c>
      <c r="J264" s="30">
        <v>1</v>
      </c>
      <c r="K264" s="31">
        <f>1357</f>
        <v>1357</v>
      </c>
      <c r="L264" s="32" t="s">
        <v>996</v>
      </c>
      <c r="M264" s="31">
        <f>1402</f>
        <v>1402</v>
      </c>
      <c r="N264" s="32" t="s">
        <v>793</v>
      </c>
      <c r="O264" s="31">
        <f>1330</f>
        <v>1330</v>
      </c>
      <c r="P264" s="32" t="s">
        <v>78</v>
      </c>
      <c r="Q264" s="31">
        <f>1380</f>
        <v>1380</v>
      </c>
      <c r="R264" s="32" t="s">
        <v>997</v>
      </c>
      <c r="S264" s="33">
        <f>1366.05</f>
        <v>1366.05</v>
      </c>
      <c r="T264" s="30">
        <f>32182</f>
        <v>32182</v>
      </c>
      <c r="U264" s="30" t="str">
        <f>"－"</f>
        <v>－</v>
      </c>
      <c r="V264" s="30">
        <f>43595561</f>
        <v>43595561</v>
      </c>
      <c r="W264" s="30" t="str">
        <f>"－"</f>
        <v>－</v>
      </c>
      <c r="X264" s="34">
        <f>20</f>
        <v>20</v>
      </c>
    </row>
    <row r="265" spans="1:24" ht="13.5" customHeight="1" x14ac:dyDescent="0.15">
      <c r="A265" s="25" t="s">
        <v>1032</v>
      </c>
      <c r="B265" s="25" t="s">
        <v>797</v>
      </c>
      <c r="C265" s="25" t="s">
        <v>798</v>
      </c>
      <c r="D265" s="25" t="s">
        <v>799</v>
      </c>
      <c r="E265" s="26" t="s">
        <v>45</v>
      </c>
      <c r="F265" s="27" t="s">
        <v>45</v>
      </c>
      <c r="G265" s="28" t="s">
        <v>45</v>
      </c>
      <c r="H265" s="29"/>
      <c r="I265" s="29" t="s">
        <v>46</v>
      </c>
      <c r="J265" s="30">
        <v>1</v>
      </c>
      <c r="K265" s="31">
        <f>2120</f>
        <v>2120</v>
      </c>
      <c r="L265" s="32" t="s">
        <v>996</v>
      </c>
      <c r="M265" s="31">
        <f>2399</f>
        <v>2399</v>
      </c>
      <c r="N265" s="32" t="s">
        <v>875</v>
      </c>
      <c r="O265" s="31">
        <f>2055</f>
        <v>2055</v>
      </c>
      <c r="P265" s="32" t="s">
        <v>255</v>
      </c>
      <c r="Q265" s="31">
        <f>2120</f>
        <v>2120</v>
      </c>
      <c r="R265" s="32" t="s">
        <v>997</v>
      </c>
      <c r="S265" s="33">
        <f>2190.7</f>
        <v>2190.6999999999998</v>
      </c>
      <c r="T265" s="30">
        <f>21703</f>
        <v>21703</v>
      </c>
      <c r="U265" s="30" t="str">
        <f>"－"</f>
        <v>－</v>
      </c>
      <c r="V265" s="30">
        <f>47743982</f>
        <v>47743982</v>
      </c>
      <c r="W265" s="30" t="str">
        <f>"－"</f>
        <v>－</v>
      </c>
      <c r="X265" s="34">
        <f>20</f>
        <v>20</v>
      </c>
    </row>
    <row r="266" spans="1:24" ht="13.5" customHeight="1" x14ac:dyDescent="0.15">
      <c r="A266" s="25" t="s">
        <v>1032</v>
      </c>
      <c r="B266" s="25" t="s">
        <v>800</v>
      </c>
      <c r="C266" s="25" t="s">
        <v>801</v>
      </c>
      <c r="D266" s="25" t="s">
        <v>802</v>
      </c>
      <c r="E266" s="26" t="s">
        <v>45</v>
      </c>
      <c r="F266" s="27" t="s">
        <v>45</v>
      </c>
      <c r="G266" s="28" t="s">
        <v>45</v>
      </c>
      <c r="H266" s="29"/>
      <c r="I266" s="29" t="s">
        <v>46</v>
      </c>
      <c r="J266" s="30">
        <v>1</v>
      </c>
      <c r="K266" s="31">
        <f>2529</f>
        <v>2529</v>
      </c>
      <c r="L266" s="32" t="s">
        <v>996</v>
      </c>
      <c r="M266" s="31">
        <f>2533</f>
        <v>2533</v>
      </c>
      <c r="N266" s="32" t="s">
        <v>785</v>
      </c>
      <c r="O266" s="31">
        <f>2350</f>
        <v>2350</v>
      </c>
      <c r="P266" s="32" t="s">
        <v>786</v>
      </c>
      <c r="Q266" s="31">
        <f>2429</f>
        <v>2429</v>
      </c>
      <c r="R266" s="32" t="s">
        <v>997</v>
      </c>
      <c r="S266" s="33">
        <f>2457.94</f>
        <v>2457.94</v>
      </c>
      <c r="T266" s="30">
        <f>1113</f>
        <v>1113</v>
      </c>
      <c r="U266" s="30" t="str">
        <f>"－"</f>
        <v>－</v>
      </c>
      <c r="V266" s="30">
        <f>2748644</f>
        <v>2748644</v>
      </c>
      <c r="W266" s="30" t="str">
        <f>"－"</f>
        <v>－</v>
      </c>
      <c r="X266" s="34">
        <f>18</f>
        <v>18</v>
      </c>
    </row>
    <row r="267" spans="1:24" ht="13.5" customHeight="1" x14ac:dyDescent="0.15">
      <c r="A267" s="25" t="s">
        <v>1032</v>
      </c>
      <c r="B267" s="25" t="s">
        <v>803</v>
      </c>
      <c r="C267" s="25" t="s">
        <v>804</v>
      </c>
      <c r="D267" s="25" t="s">
        <v>805</v>
      </c>
      <c r="E267" s="26" t="s">
        <v>45</v>
      </c>
      <c r="F267" s="27" t="s">
        <v>45</v>
      </c>
      <c r="G267" s="28" t="s">
        <v>45</v>
      </c>
      <c r="H267" s="29"/>
      <c r="I267" s="29" t="s">
        <v>46</v>
      </c>
      <c r="J267" s="30">
        <v>1</v>
      </c>
      <c r="K267" s="31">
        <f>10105</f>
        <v>10105</v>
      </c>
      <c r="L267" s="32" t="s">
        <v>996</v>
      </c>
      <c r="M267" s="31">
        <f>10215</f>
        <v>10215</v>
      </c>
      <c r="N267" s="32" t="s">
        <v>788</v>
      </c>
      <c r="O267" s="31">
        <f>9982</f>
        <v>9982</v>
      </c>
      <c r="P267" s="32" t="s">
        <v>255</v>
      </c>
      <c r="Q267" s="31">
        <f>10150</f>
        <v>10150</v>
      </c>
      <c r="R267" s="32" t="s">
        <v>997</v>
      </c>
      <c r="S267" s="33">
        <f>10125.5</f>
        <v>10125.5</v>
      </c>
      <c r="T267" s="30">
        <f>503889</f>
        <v>503889</v>
      </c>
      <c r="U267" s="30">
        <f>322100</f>
        <v>322100</v>
      </c>
      <c r="V267" s="30">
        <f>5096721651</f>
        <v>5096721651</v>
      </c>
      <c r="W267" s="30">
        <f>3255187431</f>
        <v>3255187431</v>
      </c>
      <c r="X267" s="34">
        <f>20</f>
        <v>20</v>
      </c>
    </row>
    <row r="268" spans="1:24" ht="13.5" customHeight="1" x14ac:dyDescent="0.15">
      <c r="A268" s="25" t="s">
        <v>1032</v>
      </c>
      <c r="B268" s="25" t="s">
        <v>806</v>
      </c>
      <c r="C268" s="25" t="s">
        <v>807</v>
      </c>
      <c r="D268" s="25" t="s">
        <v>808</v>
      </c>
      <c r="E268" s="26" t="s">
        <v>45</v>
      </c>
      <c r="F268" s="27" t="s">
        <v>45</v>
      </c>
      <c r="G268" s="28" t="s">
        <v>45</v>
      </c>
      <c r="H268" s="29"/>
      <c r="I268" s="29" t="s">
        <v>46</v>
      </c>
      <c r="J268" s="30">
        <v>1</v>
      </c>
      <c r="K268" s="31">
        <f>12595</f>
        <v>12595</v>
      </c>
      <c r="L268" s="32" t="s">
        <v>996</v>
      </c>
      <c r="M268" s="31">
        <f>12785</f>
        <v>12785</v>
      </c>
      <c r="N268" s="32" t="s">
        <v>997</v>
      </c>
      <c r="O268" s="31">
        <f>12170</f>
        <v>12170</v>
      </c>
      <c r="P268" s="32" t="s">
        <v>78</v>
      </c>
      <c r="Q268" s="31">
        <f>12785</f>
        <v>12785</v>
      </c>
      <c r="R268" s="32" t="s">
        <v>997</v>
      </c>
      <c r="S268" s="33">
        <f>12496.25</f>
        <v>12496.25</v>
      </c>
      <c r="T268" s="30">
        <f>892547</f>
        <v>892547</v>
      </c>
      <c r="U268" s="30">
        <f>1</f>
        <v>1</v>
      </c>
      <c r="V268" s="30">
        <f>11106995505</f>
        <v>11106995505</v>
      </c>
      <c r="W268" s="30">
        <f>11350</f>
        <v>11350</v>
      </c>
      <c r="X268" s="34">
        <f>20</f>
        <v>20</v>
      </c>
    </row>
    <row r="269" spans="1:24" ht="13.5" customHeight="1" x14ac:dyDescent="0.15">
      <c r="A269" s="25" t="s">
        <v>1032</v>
      </c>
      <c r="B269" s="25" t="s">
        <v>809</v>
      </c>
      <c r="C269" s="25" t="s">
        <v>810</v>
      </c>
      <c r="D269" s="25" t="s">
        <v>811</v>
      </c>
      <c r="E269" s="26" t="s">
        <v>45</v>
      </c>
      <c r="F269" s="27" t="s">
        <v>45</v>
      </c>
      <c r="G269" s="28" t="s">
        <v>45</v>
      </c>
      <c r="H269" s="29"/>
      <c r="I269" s="29" t="s">
        <v>46</v>
      </c>
      <c r="J269" s="30">
        <v>1</v>
      </c>
      <c r="K269" s="31">
        <f>9368</f>
        <v>9368</v>
      </c>
      <c r="L269" s="32" t="s">
        <v>996</v>
      </c>
      <c r="M269" s="31">
        <f>9378</f>
        <v>9378</v>
      </c>
      <c r="N269" s="32" t="s">
        <v>785</v>
      </c>
      <c r="O269" s="31">
        <f>9144</f>
        <v>9144</v>
      </c>
      <c r="P269" s="32" t="s">
        <v>56</v>
      </c>
      <c r="Q269" s="31">
        <f>9355</f>
        <v>9355</v>
      </c>
      <c r="R269" s="32" t="s">
        <v>997</v>
      </c>
      <c r="S269" s="33">
        <f>9278.05</f>
        <v>9278.0499999999993</v>
      </c>
      <c r="T269" s="30">
        <f>405371</f>
        <v>405371</v>
      </c>
      <c r="U269" s="30">
        <f>147477</f>
        <v>147477</v>
      </c>
      <c r="V269" s="30">
        <f>3776206891</f>
        <v>3776206891</v>
      </c>
      <c r="W269" s="30">
        <f>1379523236</f>
        <v>1379523236</v>
      </c>
      <c r="X269" s="34">
        <f>20</f>
        <v>20</v>
      </c>
    </row>
    <row r="270" spans="1:24" ht="13.5" customHeight="1" x14ac:dyDescent="0.15">
      <c r="A270" s="25" t="s">
        <v>1032</v>
      </c>
      <c r="B270" s="25" t="s">
        <v>812</v>
      </c>
      <c r="C270" s="25" t="s">
        <v>813</v>
      </c>
      <c r="D270" s="25" t="s">
        <v>814</v>
      </c>
      <c r="E270" s="26" t="s">
        <v>45</v>
      </c>
      <c r="F270" s="27" t="s">
        <v>45</v>
      </c>
      <c r="G270" s="28" t="s">
        <v>45</v>
      </c>
      <c r="H270" s="29"/>
      <c r="I270" s="29" t="s">
        <v>46</v>
      </c>
      <c r="J270" s="30">
        <v>10</v>
      </c>
      <c r="K270" s="31">
        <f>2520</f>
        <v>2520</v>
      </c>
      <c r="L270" s="32" t="s">
        <v>996</v>
      </c>
      <c r="M270" s="31">
        <f>2578.5</f>
        <v>2578.5</v>
      </c>
      <c r="N270" s="32" t="s">
        <v>80</v>
      </c>
      <c r="O270" s="31">
        <f>2461.5</f>
        <v>2461.5</v>
      </c>
      <c r="P270" s="32" t="s">
        <v>78</v>
      </c>
      <c r="Q270" s="31">
        <f>2572.5</f>
        <v>2572.5</v>
      </c>
      <c r="R270" s="32" t="s">
        <v>997</v>
      </c>
      <c r="S270" s="33">
        <f>2531.58</f>
        <v>2531.58</v>
      </c>
      <c r="T270" s="30">
        <f>598180</f>
        <v>598180</v>
      </c>
      <c r="U270" s="30" t="str">
        <f>"－"</f>
        <v>－</v>
      </c>
      <c r="V270" s="30">
        <f>1519364990</f>
        <v>1519364990</v>
      </c>
      <c r="W270" s="30" t="str">
        <f>"－"</f>
        <v>－</v>
      </c>
      <c r="X270" s="34">
        <f>20</f>
        <v>20</v>
      </c>
    </row>
    <row r="271" spans="1:24" ht="13.5" customHeight="1" x14ac:dyDescent="0.15">
      <c r="A271" s="25" t="s">
        <v>1032</v>
      </c>
      <c r="B271" s="25" t="s">
        <v>815</v>
      </c>
      <c r="C271" s="25" t="s">
        <v>816</v>
      </c>
      <c r="D271" s="25" t="s">
        <v>817</v>
      </c>
      <c r="E271" s="26" t="s">
        <v>45</v>
      </c>
      <c r="F271" s="27" t="s">
        <v>45</v>
      </c>
      <c r="G271" s="28" t="s">
        <v>45</v>
      </c>
      <c r="H271" s="29"/>
      <c r="I271" s="29" t="s">
        <v>46</v>
      </c>
      <c r="J271" s="30">
        <v>10</v>
      </c>
      <c r="K271" s="31">
        <f>1979</f>
        <v>1979</v>
      </c>
      <c r="L271" s="32" t="s">
        <v>996</v>
      </c>
      <c r="M271" s="31">
        <f>2000</f>
        <v>2000</v>
      </c>
      <c r="N271" s="32" t="s">
        <v>788</v>
      </c>
      <c r="O271" s="31">
        <f>1954</f>
        <v>1954</v>
      </c>
      <c r="P271" s="32" t="s">
        <v>255</v>
      </c>
      <c r="Q271" s="31">
        <f>1987.5</f>
        <v>1987.5</v>
      </c>
      <c r="R271" s="32" t="s">
        <v>997</v>
      </c>
      <c r="S271" s="33">
        <f>1982.83</f>
        <v>1982.83</v>
      </c>
      <c r="T271" s="30">
        <f>1842640</f>
        <v>1842640</v>
      </c>
      <c r="U271" s="30">
        <f>792000</f>
        <v>792000</v>
      </c>
      <c r="V271" s="30">
        <f>3657004190</f>
        <v>3657004190</v>
      </c>
      <c r="W271" s="30">
        <f>1573249810</f>
        <v>1573249810</v>
      </c>
      <c r="X271" s="34">
        <f>20</f>
        <v>20</v>
      </c>
    </row>
    <row r="272" spans="1:24" ht="13.5" customHeight="1" x14ac:dyDescent="0.15">
      <c r="A272" s="25" t="s">
        <v>1032</v>
      </c>
      <c r="B272" s="25" t="s">
        <v>818</v>
      </c>
      <c r="C272" s="25" t="s">
        <v>819</v>
      </c>
      <c r="D272" s="25" t="s">
        <v>820</v>
      </c>
      <c r="E272" s="26" t="s">
        <v>45</v>
      </c>
      <c r="F272" s="27" t="s">
        <v>45</v>
      </c>
      <c r="G272" s="28" t="s">
        <v>45</v>
      </c>
      <c r="H272" s="29"/>
      <c r="I272" s="29" t="s">
        <v>46</v>
      </c>
      <c r="J272" s="30">
        <v>10</v>
      </c>
      <c r="K272" s="31">
        <f>2600</f>
        <v>2600</v>
      </c>
      <c r="L272" s="32" t="s">
        <v>996</v>
      </c>
      <c r="M272" s="31">
        <f>2667</f>
        <v>2667</v>
      </c>
      <c r="N272" s="32" t="s">
        <v>80</v>
      </c>
      <c r="O272" s="31">
        <f>2552</f>
        <v>2552</v>
      </c>
      <c r="P272" s="32" t="s">
        <v>78</v>
      </c>
      <c r="Q272" s="31">
        <f>2661.5</f>
        <v>2661.5</v>
      </c>
      <c r="R272" s="32" t="s">
        <v>997</v>
      </c>
      <c r="S272" s="33">
        <f>2619.5</f>
        <v>2619.5</v>
      </c>
      <c r="T272" s="30">
        <f>16110</f>
        <v>16110</v>
      </c>
      <c r="U272" s="30">
        <f>10</f>
        <v>10</v>
      </c>
      <c r="V272" s="30">
        <f>42280105</f>
        <v>42280105</v>
      </c>
      <c r="W272" s="30">
        <f>26525</f>
        <v>26525</v>
      </c>
      <c r="X272" s="34">
        <f>20</f>
        <v>20</v>
      </c>
    </row>
    <row r="273" spans="1:24" ht="13.5" customHeight="1" x14ac:dyDescent="0.15">
      <c r="A273" s="25" t="s">
        <v>1032</v>
      </c>
      <c r="B273" s="25" t="s">
        <v>821</v>
      </c>
      <c r="C273" s="25" t="s">
        <v>822</v>
      </c>
      <c r="D273" s="25" t="s">
        <v>823</v>
      </c>
      <c r="E273" s="26" t="s">
        <v>45</v>
      </c>
      <c r="F273" s="27" t="s">
        <v>45</v>
      </c>
      <c r="G273" s="28" t="s">
        <v>45</v>
      </c>
      <c r="H273" s="29"/>
      <c r="I273" s="29" t="s">
        <v>46</v>
      </c>
      <c r="J273" s="30">
        <v>1</v>
      </c>
      <c r="K273" s="31">
        <f>2490</f>
        <v>2490</v>
      </c>
      <c r="L273" s="32" t="s">
        <v>996</v>
      </c>
      <c r="M273" s="31">
        <f>2540</f>
        <v>2540</v>
      </c>
      <c r="N273" s="32" t="s">
        <v>789</v>
      </c>
      <c r="O273" s="31">
        <f>2417</f>
        <v>2417</v>
      </c>
      <c r="P273" s="32" t="s">
        <v>78</v>
      </c>
      <c r="Q273" s="31">
        <f>2536</f>
        <v>2536</v>
      </c>
      <c r="R273" s="32" t="s">
        <v>997</v>
      </c>
      <c r="S273" s="33">
        <f>2492.05</f>
        <v>2492.0500000000002</v>
      </c>
      <c r="T273" s="30">
        <f>35726</f>
        <v>35726</v>
      </c>
      <c r="U273" s="30" t="str">
        <f>"－"</f>
        <v>－</v>
      </c>
      <c r="V273" s="30">
        <f>89437744</f>
        <v>89437744</v>
      </c>
      <c r="W273" s="30" t="str">
        <f>"－"</f>
        <v>－</v>
      </c>
      <c r="X273" s="34">
        <f>20</f>
        <v>20</v>
      </c>
    </row>
    <row r="274" spans="1:24" ht="13.5" customHeight="1" x14ac:dyDescent="0.15">
      <c r="A274" s="25" t="s">
        <v>1032</v>
      </c>
      <c r="B274" s="25" t="s">
        <v>824</v>
      </c>
      <c r="C274" s="25" t="s">
        <v>825</v>
      </c>
      <c r="D274" s="25" t="s">
        <v>826</v>
      </c>
      <c r="E274" s="26" t="s">
        <v>45</v>
      </c>
      <c r="F274" s="27" t="s">
        <v>45</v>
      </c>
      <c r="G274" s="28" t="s">
        <v>45</v>
      </c>
      <c r="H274" s="29"/>
      <c r="I274" s="29" t="s">
        <v>46</v>
      </c>
      <c r="J274" s="30">
        <v>1</v>
      </c>
      <c r="K274" s="31">
        <f>1618</f>
        <v>1618</v>
      </c>
      <c r="L274" s="32" t="s">
        <v>996</v>
      </c>
      <c r="M274" s="31">
        <f>1620</f>
        <v>1620</v>
      </c>
      <c r="N274" s="32" t="s">
        <v>785</v>
      </c>
      <c r="O274" s="31">
        <f>1528</f>
        <v>1528</v>
      </c>
      <c r="P274" s="32" t="s">
        <v>255</v>
      </c>
      <c r="Q274" s="31">
        <f>1585</f>
        <v>1585</v>
      </c>
      <c r="R274" s="32" t="s">
        <v>997</v>
      </c>
      <c r="S274" s="33">
        <f>1587.15</f>
        <v>1587.15</v>
      </c>
      <c r="T274" s="30">
        <f>35310</f>
        <v>35310</v>
      </c>
      <c r="U274" s="30" t="str">
        <f>"－"</f>
        <v>－</v>
      </c>
      <c r="V274" s="30">
        <f>55279563</f>
        <v>55279563</v>
      </c>
      <c r="W274" s="30" t="str">
        <f>"－"</f>
        <v>－</v>
      </c>
      <c r="X274" s="34">
        <f>20</f>
        <v>20</v>
      </c>
    </row>
    <row r="275" spans="1:24" ht="13.5" customHeight="1" x14ac:dyDescent="0.15">
      <c r="A275" s="25" t="s">
        <v>1032</v>
      </c>
      <c r="B275" s="25" t="s">
        <v>827</v>
      </c>
      <c r="C275" s="25" t="s">
        <v>828</v>
      </c>
      <c r="D275" s="25" t="s">
        <v>829</v>
      </c>
      <c r="E275" s="26" t="s">
        <v>45</v>
      </c>
      <c r="F275" s="27" t="s">
        <v>45</v>
      </c>
      <c r="G275" s="28" t="s">
        <v>45</v>
      </c>
      <c r="H275" s="29"/>
      <c r="I275" s="29" t="s">
        <v>46</v>
      </c>
      <c r="J275" s="30">
        <v>1</v>
      </c>
      <c r="K275" s="31">
        <f>2053</f>
        <v>2053</v>
      </c>
      <c r="L275" s="32" t="s">
        <v>996</v>
      </c>
      <c r="M275" s="31">
        <f>2059</f>
        <v>2059</v>
      </c>
      <c r="N275" s="32" t="s">
        <v>789</v>
      </c>
      <c r="O275" s="31">
        <f>1950</f>
        <v>1950</v>
      </c>
      <c r="P275" s="32" t="s">
        <v>78</v>
      </c>
      <c r="Q275" s="31">
        <f>2046</f>
        <v>2046</v>
      </c>
      <c r="R275" s="32" t="s">
        <v>997</v>
      </c>
      <c r="S275" s="33">
        <f>2018.5</f>
        <v>2018.5</v>
      </c>
      <c r="T275" s="30">
        <f>27692</f>
        <v>27692</v>
      </c>
      <c r="U275" s="30" t="str">
        <f>"－"</f>
        <v>－</v>
      </c>
      <c r="V275" s="30">
        <f>55488194</f>
        <v>55488194</v>
      </c>
      <c r="W275" s="30" t="str">
        <f>"－"</f>
        <v>－</v>
      </c>
      <c r="X275" s="34">
        <f>20</f>
        <v>20</v>
      </c>
    </row>
    <row r="276" spans="1:24" ht="13.5" customHeight="1" x14ac:dyDescent="0.15">
      <c r="A276" s="25" t="s">
        <v>1032</v>
      </c>
      <c r="B276" s="25" t="s">
        <v>830</v>
      </c>
      <c r="C276" s="25" t="s">
        <v>831</v>
      </c>
      <c r="D276" s="25" t="s">
        <v>832</v>
      </c>
      <c r="E276" s="26" t="s">
        <v>45</v>
      </c>
      <c r="F276" s="27" t="s">
        <v>45</v>
      </c>
      <c r="G276" s="28" t="s">
        <v>45</v>
      </c>
      <c r="H276" s="29"/>
      <c r="I276" s="29" t="s">
        <v>46</v>
      </c>
      <c r="J276" s="30">
        <v>1</v>
      </c>
      <c r="K276" s="31">
        <f>1552</f>
        <v>1552</v>
      </c>
      <c r="L276" s="32" t="s">
        <v>996</v>
      </c>
      <c r="M276" s="31">
        <f>1608</f>
        <v>1608</v>
      </c>
      <c r="N276" s="32" t="s">
        <v>789</v>
      </c>
      <c r="O276" s="31">
        <f>1527</f>
        <v>1527</v>
      </c>
      <c r="P276" s="32" t="s">
        <v>78</v>
      </c>
      <c r="Q276" s="31">
        <f>1582</f>
        <v>1582</v>
      </c>
      <c r="R276" s="32" t="s">
        <v>997</v>
      </c>
      <c r="S276" s="33">
        <f>1570.2</f>
        <v>1570.2</v>
      </c>
      <c r="T276" s="30">
        <f>38271</f>
        <v>38271</v>
      </c>
      <c r="U276" s="30" t="str">
        <f>"－"</f>
        <v>－</v>
      </c>
      <c r="V276" s="30">
        <f>59988739</f>
        <v>59988739</v>
      </c>
      <c r="W276" s="30" t="str">
        <f>"－"</f>
        <v>－</v>
      </c>
      <c r="X276" s="34">
        <f>20</f>
        <v>20</v>
      </c>
    </row>
    <row r="277" spans="1:24" ht="13.5" customHeight="1" x14ac:dyDescent="0.15">
      <c r="A277" s="25" t="s">
        <v>1032</v>
      </c>
      <c r="B277" s="25" t="s">
        <v>833</v>
      </c>
      <c r="C277" s="25" t="s">
        <v>834</v>
      </c>
      <c r="D277" s="25" t="s">
        <v>835</v>
      </c>
      <c r="E277" s="26" t="s">
        <v>45</v>
      </c>
      <c r="F277" s="27" t="s">
        <v>45</v>
      </c>
      <c r="G277" s="28" t="s">
        <v>45</v>
      </c>
      <c r="H277" s="29"/>
      <c r="I277" s="29" t="s">
        <v>46</v>
      </c>
      <c r="J277" s="30">
        <v>1</v>
      </c>
      <c r="K277" s="31">
        <f>2681</f>
        <v>2681</v>
      </c>
      <c r="L277" s="32" t="s">
        <v>996</v>
      </c>
      <c r="M277" s="31">
        <f>2812</f>
        <v>2812</v>
      </c>
      <c r="N277" s="32" t="s">
        <v>997</v>
      </c>
      <c r="O277" s="31">
        <f>2610</f>
        <v>2610</v>
      </c>
      <c r="P277" s="32" t="s">
        <v>1003</v>
      </c>
      <c r="Q277" s="31">
        <f>2812</f>
        <v>2812</v>
      </c>
      <c r="R277" s="32" t="s">
        <v>997</v>
      </c>
      <c r="S277" s="33">
        <f>2704.3</f>
        <v>2704.3</v>
      </c>
      <c r="T277" s="30">
        <f>24945</f>
        <v>24945</v>
      </c>
      <c r="U277" s="30" t="str">
        <f>"－"</f>
        <v>－</v>
      </c>
      <c r="V277" s="30">
        <f>66705525</f>
        <v>66705525</v>
      </c>
      <c r="W277" s="30" t="str">
        <f>"－"</f>
        <v>－</v>
      </c>
      <c r="X277" s="34">
        <f>20</f>
        <v>20</v>
      </c>
    </row>
    <row r="278" spans="1:24" ht="13.5" customHeight="1" x14ac:dyDescent="0.15">
      <c r="A278" s="25" t="s">
        <v>1032</v>
      </c>
      <c r="B278" s="25" t="s">
        <v>836</v>
      </c>
      <c r="C278" s="25" t="s">
        <v>837</v>
      </c>
      <c r="D278" s="25" t="s">
        <v>838</v>
      </c>
      <c r="E278" s="26" t="s">
        <v>45</v>
      </c>
      <c r="F278" s="27" t="s">
        <v>45</v>
      </c>
      <c r="G278" s="28" t="s">
        <v>45</v>
      </c>
      <c r="H278" s="29"/>
      <c r="I278" s="29" t="s">
        <v>46</v>
      </c>
      <c r="J278" s="30">
        <v>1</v>
      </c>
      <c r="K278" s="31">
        <f>2113</f>
        <v>2113</v>
      </c>
      <c r="L278" s="32" t="s">
        <v>996</v>
      </c>
      <c r="M278" s="31">
        <f>2172</f>
        <v>2172</v>
      </c>
      <c r="N278" s="32" t="s">
        <v>997</v>
      </c>
      <c r="O278" s="31">
        <f>2049</f>
        <v>2049</v>
      </c>
      <c r="P278" s="32" t="s">
        <v>78</v>
      </c>
      <c r="Q278" s="31">
        <f>2172</f>
        <v>2172</v>
      </c>
      <c r="R278" s="32" t="s">
        <v>997</v>
      </c>
      <c r="S278" s="33">
        <f>2117.7</f>
        <v>2117.6999999999998</v>
      </c>
      <c r="T278" s="30">
        <f>49486</f>
        <v>49486</v>
      </c>
      <c r="U278" s="30">
        <f>2</f>
        <v>2</v>
      </c>
      <c r="V278" s="30">
        <f>105109956</f>
        <v>105109956</v>
      </c>
      <c r="W278" s="30">
        <f>4180</f>
        <v>4180</v>
      </c>
      <c r="X278" s="34">
        <f>20</f>
        <v>20</v>
      </c>
    </row>
    <row r="279" spans="1:24" ht="13.5" customHeight="1" x14ac:dyDescent="0.15">
      <c r="A279" s="25" t="s">
        <v>1032</v>
      </c>
      <c r="B279" s="25" t="s">
        <v>839</v>
      </c>
      <c r="C279" s="25" t="s">
        <v>840</v>
      </c>
      <c r="D279" s="25" t="s">
        <v>841</v>
      </c>
      <c r="E279" s="26" t="s">
        <v>45</v>
      </c>
      <c r="F279" s="27" t="s">
        <v>45</v>
      </c>
      <c r="G279" s="28" t="s">
        <v>45</v>
      </c>
      <c r="H279" s="29"/>
      <c r="I279" s="29" t="s">
        <v>46</v>
      </c>
      <c r="J279" s="30">
        <v>1</v>
      </c>
      <c r="K279" s="31">
        <f>26730</f>
        <v>26730</v>
      </c>
      <c r="L279" s="32" t="s">
        <v>996</v>
      </c>
      <c r="M279" s="31">
        <f>27365</f>
        <v>27365</v>
      </c>
      <c r="N279" s="32" t="s">
        <v>997</v>
      </c>
      <c r="O279" s="31">
        <f>26165</f>
        <v>26165</v>
      </c>
      <c r="P279" s="32" t="s">
        <v>1003</v>
      </c>
      <c r="Q279" s="31">
        <f>27290</f>
        <v>27290</v>
      </c>
      <c r="R279" s="32" t="s">
        <v>997</v>
      </c>
      <c r="S279" s="33">
        <f>26790.91</f>
        <v>26790.91</v>
      </c>
      <c r="T279" s="30">
        <f>102</f>
        <v>102</v>
      </c>
      <c r="U279" s="30" t="str">
        <f>"－"</f>
        <v>－</v>
      </c>
      <c r="V279" s="30">
        <f>2774680</f>
        <v>2774680</v>
      </c>
      <c r="W279" s="30" t="str">
        <f>"－"</f>
        <v>－</v>
      </c>
      <c r="X279" s="34">
        <f>11</f>
        <v>11</v>
      </c>
    </row>
    <row r="280" spans="1:24" ht="13.5" customHeight="1" x14ac:dyDescent="0.15">
      <c r="A280" s="25" t="s">
        <v>1032</v>
      </c>
      <c r="B280" s="25" t="s">
        <v>842</v>
      </c>
      <c r="C280" s="25" t="s">
        <v>843</v>
      </c>
      <c r="D280" s="25" t="s">
        <v>844</v>
      </c>
      <c r="E280" s="26" t="s">
        <v>45</v>
      </c>
      <c r="F280" s="27" t="s">
        <v>45</v>
      </c>
      <c r="G280" s="28" t="s">
        <v>45</v>
      </c>
      <c r="H280" s="29"/>
      <c r="I280" s="29" t="s">
        <v>46</v>
      </c>
      <c r="J280" s="30">
        <v>1</v>
      </c>
      <c r="K280" s="31">
        <f>2079</f>
        <v>2079</v>
      </c>
      <c r="L280" s="32" t="s">
        <v>996</v>
      </c>
      <c r="M280" s="31">
        <f>2110</f>
        <v>2110</v>
      </c>
      <c r="N280" s="32" t="s">
        <v>788</v>
      </c>
      <c r="O280" s="31">
        <f>2025</f>
        <v>2025</v>
      </c>
      <c r="P280" s="32" t="s">
        <v>1003</v>
      </c>
      <c r="Q280" s="31">
        <f>2091</f>
        <v>2091</v>
      </c>
      <c r="R280" s="32" t="s">
        <v>997</v>
      </c>
      <c r="S280" s="33">
        <f>2068.83</f>
        <v>2068.83</v>
      </c>
      <c r="T280" s="30">
        <f>7699</f>
        <v>7699</v>
      </c>
      <c r="U280" s="30" t="str">
        <f>"－"</f>
        <v>－</v>
      </c>
      <c r="V280" s="30">
        <f>16044740</f>
        <v>16044740</v>
      </c>
      <c r="W280" s="30" t="str">
        <f>"－"</f>
        <v>－</v>
      </c>
      <c r="X280" s="34">
        <f>18</f>
        <v>18</v>
      </c>
    </row>
    <row r="281" spans="1:24" ht="13.5" customHeight="1" x14ac:dyDescent="0.15">
      <c r="A281" s="25" t="s">
        <v>1032</v>
      </c>
      <c r="B281" s="25" t="s">
        <v>845</v>
      </c>
      <c r="C281" s="25" t="s">
        <v>846</v>
      </c>
      <c r="D281" s="25" t="s">
        <v>847</v>
      </c>
      <c r="E281" s="26" t="s">
        <v>45</v>
      </c>
      <c r="F281" s="27" t="s">
        <v>45</v>
      </c>
      <c r="G281" s="28" t="s">
        <v>45</v>
      </c>
      <c r="H281" s="29"/>
      <c r="I281" s="29" t="s">
        <v>46</v>
      </c>
      <c r="J281" s="30">
        <v>1</v>
      </c>
      <c r="K281" s="31">
        <f>2578</f>
        <v>2578</v>
      </c>
      <c r="L281" s="32" t="s">
        <v>996</v>
      </c>
      <c r="M281" s="31">
        <f>2579</f>
        <v>2579</v>
      </c>
      <c r="N281" s="32" t="s">
        <v>996</v>
      </c>
      <c r="O281" s="31">
        <f>2343</f>
        <v>2343</v>
      </c>
      <c r="P281" s="32" t="s">
        <v>997</v>
      </c>
      <c r="Q281" s="31">
        <f>2373</f>
        <v>2373</v>
      </c>
      <c r="R281" s="32" t="s">
        <v>997</v>
      </c>
      <c r="S281" s="33">
        <f>2455.2</f>
        <v>2455.1999999999998</v>
      </c>
      <c r="T281" s="30">
        <f>508447</f>
        <v>508447</v>
      </c>
      <c r="U281" s="30">
        <f>20</f>
        <v>20</v>
      </c>
      <c r="V281" s="30">
        <f>1250294831</f>
        <v>1250294831</v>
      </c>
      <c r="W281" s="30">
        <f>50600</f>
        <v>50600</v>
      </c>
      <c r="X281" s="34">
        <f>20</f>
        <v>20</v>
      </c>
    </row>
    <row r="282" spans="1:24" ht="13.5" customHeight="1" x14ac:dyDescent="0.15">
      <c r="A282" s="25" t="s">
        <v>1032</v>
      </c>
      <c r="B282" s="25" t="s">
        <v>848</v>
      </c>
      <c r="C282" s="25" t="s">
        <v>849</v>
      </c>
      <c r="D282" s="25" t="s">
        <v>850</v>
      </c>
      <c r="E282" s="26" t="s">
        <v>45</v>
      </c>
      <c r="F282" s="27" t="s">
        <v>45</v>
      </c>
      <c r="G282" s="28" t="s">
        <v>45</v>
      </c>
      <c r="H282" s="29"/>
      <c r="I282" s="29" t="s">
        <v>46</v>
      </c>
      <c r="J282" s="30">
        <v>1</v>
      </c>
      <c r="K282" s="31">
        <f>1823</f>
        <v>1823</v>
      </c>
      <c r="L282" s="32" t="s">
        <v>996</v>
      </c>
      <c r="M282" s="31">
        <f>1914</f>
        <v>1914</v>
      </c>
      <c r="N282" s="32" t="s">
        <v>997</v>
      </c>
      <c r="O282" s="31">
        <f>1790</f>
        <v>1790</v>
      </c>
      <c r="P282" s="32" t="s">
        <v>78</v>
      </c>
      <c r="Q282" s="31">
        <f>1910</f>
        <v>1910</v>
      </c>
      <c r="R282" s="32" t="s">
        <v>997</v>
      </c>
      <c r="S282" s="33">
        <f>1861.35</f>
        <v>1861.35</v>
      </c>
      <c r="T282" s="30">
        <f>32222</f>
        <v>32222</v>
      </c>
      <c r="U282" s="30" t="str">
        <f>"－"</f>
        <v>－</v>
      </c>
      <c r="V282" s="30">
        <f>59140603</f>
        <v>59140603</v>
      </c>
      <c r="W282" s="30" t="str">
        <f>"－"</f>
        <v>－</v>
      </c>
      <c r="X282" s="34">
        <f>20</f>
        <v>20</v>
      </c>
    </row>
    <row r="283" spans="1:24" ht="13.5" customHeight="1" x14ac:dyDescent="0.15">
      <c r="A283" s="25" t="s">
        <v>1032</v>
      </c>
      <c r="B283" s="25" t="s">
        <v>851</v>
      </c>
      <c r="C283" s="25" t="s">
        <v>852</v>
      </c>
      <c r="D283" s="25" t="s">
        <v>853</v>
      </c>
      <c r="E283" s="26" t="s">
        <v>45</v>
      </c>
      <c r="F283" s="27" t="s">
        <v>45</v>
      </c>
      <c r="G283" s="28" t="s">
        <v>45</v>
      </c>
      <c r="H283" s="29"/>
      <c r="I283" s="29" t="s">
        <v>46</v>
      </c>
      <c r="J283" s="30">
        <v>1</v>
      </c>
      <c r="K283" s="31">
        <f>1556</f>
        <v>1556</v>
      </c>
      <c r="L283" s="32" t="s">
        <v>996</v>
      </c>
      <c r="M283" s="31">
        <f>1570</f>
        <v>1570</v>
      </c>
      <c r="N283" s="32" t="s">
        <v>785</v>
      </c>
      <c r="O283" s="31">
        <f>1485</f>
        <v>1485</v>
      </c>
      <c r="P283" s="32" t="s">
        <v>786</v>
      </c>
      <c r="Q283" s="31">
        <f>1519</f>
        <v>1519</v>
      </c>
      <c r="R283" s="32" t="s">
        <v>997</v>
      </c>
      <c r="S283" s="33">
        <f>1527.9</f>
        <v>1527.9</v>
      </c>
      <c r="T283" s="30">
        <f>24821</f>
        <v>24821</v>
      </c>
      <c r="U283" s="30">
        <f>2000</f>
        <v>2000</v>
      </c>
      <c r="V283" s="30">
        <f>38320681</f>
        <v>38320681</v>
      </c>
      <c r="W283" s="30">
        <f>3081800</f>
        <v>3081800</v>
      </c>
      <c r="X283" s="34">
        <f>20</f>
        <v>20</v>
      </c>
    </row>
    <row r="284" spans="1:24" ht="13.5" customHeight="1" x14ac:dyDescent="0.15">
      <c r="A284" s="25" t="s">
        <v>1032</v>
      </c>
      <c r="B284" s="25" t="s">
        <v>854</v>
      </c>
      <c r="C284" s="25" t="s">
        <v>855</v>
      </c>
      <c r="D284" s="25" t="s">
        <v>856</v>
      </c>
      <c r="E284" s="26" t="s">
        <v>45</v>
      </c>
      <c r="F284" s="27" t="s">
        <v>45</v>
      </c>
      <c r="G284" s="28" t="s">
        <v>45</v>
      </c>
      <c r="H284" s="29"/>
      <c r="I284" s="29" t="s">
        <v>46</v>
      </c>
      <c r="J284" s="30">
        <v>10</v>
      </c>
      <c r="K284" s="31">
        <f>5109</f>
        <v>5109</v>
      </c>
      <c r="L284" s="32" t="s">
        <v>996</v>
      </c>
      <c r="M284" s="31">
        <f>5345</f>
        <v>5345</v>
      </c>
      <c r="N284" s="32" t="s">
        <v>875</v>
      </c>
      <c r="O284" s="31">
        <f>5098</f>
        <v>5098</v>
      </c>
      <c r="P284" s="32" t="s">
        <v>996</v>
      </c>
      <c r="Q284" s="31">
        <f>5142</f>
        <v>5142</v>
      </c>
      <c r="R284" s="32" t="s">
        <v>997</v>
      </c>
      <c r="S284" s="33">
        <f>5146.22</f>
        <v>5146.22</v>
      </c>
      <c r="T284" s="30">
        <f>62890</f>
        <v>62890</v>
      </c>
      <c r="U284" s="30" t="str">
        <f>"－"</f>
        <v>－</v>
      </c>
      <c r="V284" s="30">
        <f>323441760</f>
        <v>323441760</v>
      </c>
      <c r="W284" s="30" t="str">
        <f>"－"</f>
        <v>－</v>
      </c>
      <c r="X284" s="34">
        <f>18</f>
        <v>18</v>
      </c>
    </row>
    <row r="285" spans="1:24" ht="13.5" customHeight="1" x14ac:dyDescent="0.15">
      <c r="A285" s="25" t="s">
        <v>1032</v>
      </c>
      <c r="B285" s="25" t="s">
        <v>857</v>
      </c>
      <c r="C285" s="25" t="s">
        <v>858</v>
      </c>
      <c r="D285" s="25" t="s">
        <v>859</v>
      </c>
      <c r="E285" s="26" t="s">
        <v>45</v>
      </c>
      <c r="F285" s="27" t="s">
        <v>45</v>
      </c>
      <c r="G285" s="28" t="s">
        <v>45</v>
      </c>
      <c r="H285" s="29"/>
      <c r="I285" s="29" t="s">
        <v>46</v>
      </c>
      <c r="J285" s="30">
        <v>10</v>
      </c>
      <c r="K285" s="31">
        <f>4176</f>
        <v>4176</v>
      </c>
      <c r="L285" s="32" t="s">
        <v>785</v>
      </c>
      <c r="M285" s="31">
        <f>4231</f>
        <v>4231</v>
      </c>
      <c r="N285" s="32" t="s">
        <v>1003</v>
      </c>
      <c r="O285" s="31">
        <f>4126</f>
        <v>4126</v>
      </c>
      <c r="P285" s="32" t="s">
        <v>80</v>
      </c>
      <c r="Q285" s="31">
        <f>4152</f>
        <v>4152</v>
      </c>
      <c r="R285" s="32" t="s">
        <v>997</v>
      </c>
      <c r="S285" s="33">
        <f>4174.47</f>
        <v>4174.47</v>
      </c>
      <c r="T285" s="30">
        <f>831510</f>
        <v>831510</v>
      </c>
      <c r="U285" s="30">
        <f>444520</f>
        <v>444520</v>
      </c>
      <c r="V285" s="30">
        <f>3464241272</f>
        <v>3464241272</v>
      </c>
      <c r="W285" s="30">
        <f>1850053372</f>
        <v>1850053372</v>
      </c>
      <c r="X285" s="34">
        <f>17</f>
        <v>17</v>
      </c>
    </row>
    <row r="286" spans="1:24" ht="13.5" customHeight="1" x14ac:dyDescent="0.15">
      <c r="A286" s="25" t="s">
        <v>1032</v>
      </c>
      <c r="B286" s="25" t="s">
        <v>860</v>
      </c>
      <c r="C286" s="25" t="s">
        <v>861</v>
      </c>
      <c r="D286" s="25" t="s">
        <v>862</v>
      </c>
      <c r="E286" s="26" t="s">
        <v>45</v>
      </c>
      <c r="F286" s="27" t="s">
        <v>45</v>
      </c>
      <c r="G286" s="28" t="s">
        <v>45</v>
      </c>
      <c r="H286" s="29"/>
      <c r="I286" s="29" t="s">
        <v>46</v>
      </c>
      <c r="J286" s="30">
        <v>10</v>
      </c>
      <c r="K286" s="31">
        <f>689.6</f>
        <v>689.6</v>
      </c>
      <c r="L286" s="32" t="s">
        <v>996</v>
      </c>
      <c r="M286" s="31">
        <f>698.3</f>
        <v>698.3</v>
      </c>
      <c r="N286" s="32" t="s">
        <v>785</v>
      </c>
      <c r="O286" s="31">
        <f>683.3</f>
        <v>683.3</v>
      </c>
      <c r="P286" s="32" t="s">
        <v>875</v>
      </c>
      <c r="Q286" s="31">
        <f>687.5</f>
        <v>687.5</v>
      </c>
      <c r="R286" s="32" t="s">
        <v>997</v>
      </c>
      <c r="S286" s="33">
        <f>690.51</f>
        <v>690.51</v>
      </c>
      <c r="T286" s="30">
        <f>22990</f>
        <v>22990</v>
      </c>
      <c r="U286" s="30" t="str">
        <f>"－"</f>
        <v>－</v>
      </c>
      <c r="V286" s="30">
        <f>15851449</f>
        <v>15851449</v>
      </c>
      <c r="W286" s="30" t="str">
        <f>"－"</f>
        <v>－</v>
      </c>
      <c r="X286" s="34">
        <f>9</f>
        <v>9</v>
      </c>
    </row>
    <row r="287" spans="1:24" ht="13.5" customHeight="1" x14ac:dyDescent="0.15">
      <c r="A287" s="25" t="s">
        <v>1032</v>
      </c>
      <c r="B287" s="25" t="s">
        <v>863</v>
      </c>
      <c r="C287" s="25" t="s">
        <v>864</v>
      </c>
      <c r="D287" s="25" t="s">
        <v>865</v>
      </c>
      <c r="E287" s="26" t="s">
        <v>45</v>
      </c>
      <c r="F287" s="27" t="s">
        <v>45</v>
      </c>
      <c r="G287" s="28" t="s">
        <v>45</v>
      </c>
      <c r="H287" s="29"/>
      <c r="I287" s="29" t="s">
        <v>46</v>
      </c>
      <c r="J287" s="30">
        <v>1</v>
      </c>
      <c r="K287" s="31">
        <f>2124</f>
        <v>2124</v>
      </c>
      <c r="L287" s="32" t="s">
        <v>996</v>
      </c>
      <c r="M287" s="31">
        <f>2206</f>
        <v>2206</v>
      </c>
      <c r="N287" s="32" t="s">
        <v>793</v>
      </c>
      <c r="O287" s="31">
        <f>2088</f>
        <v>2088</v>
      </c>
      <c r="P287" s="32" t="s">
        <v>78</v>
      </c>
      <c r="Q287" s="31">
        <f>2182</f>
        <v>2182</v>
      </c>
      <c r="R287" s="32" t="s">
        <v>997</v>
      </c>
      <c r="S287" s="33">
        <f>2149.3</f>
        <v>2149.3000000000002</v>
      </c>
      <c r="T287" s="30">
        <f>1459</f>
        <v>1459</v>
      </c>
      <c r="U287" s="30" t="str">
        <f>"－"</f>
        <v>－</v>
      </c>
      <c r="V287" s="30">
        <f>3157293</f>
        <v>3157293</v>
      </c>
      <c r="W287" s="30" t="str">
        <f>"－"</f>
        <v>－</v>
      </c>
      <c r="X287" s="34">
        <f>20</f>
        <v>20</v>
      </c>
    </row>
    <row r="288" spans="1:24" ht="13.5" customHeight="1" x14ac:dyDescent="0.15">
      <c r="A288" s="25" t="s">
        <v>1032</v>
      </c>
      <c r="B288" s="25" t="s">
        <v>866</v>
      </c>
      <c r="C288" s="25" t="s">
        <v>867</v>
      </c>
      <c r="D288" s="25" t="s">
        <v>868</v>
      </c>
      <c r="E288" s="26" t="s">
        <v>45</v>
      </c>
      <c r="F288" s="27" t="s">
        <v>45</v>
      </c>
      <c r="G288" s="28" t="s">
        <v>45</v>
      </c>
      <c r="H288" s="29"/>
      <c r="I288" s="29" t="s">
        <v>46</v>
      </c>
      <c r="J288" s="30">
        <v>1</v>
      </c>
      <c r="K288" s="31">
        <f>1963</f>
        <v>1963</v>
      </c>
      <c r="L288" s="32" t="s">
        <v>996</v>
      </c>
      <c r="M288" s="31">
        <f>1983</f>
        <v>1983</v>
      </c>
      <c r="N288" s="32" t="s">
        <v>80</v>
      </c>
      <c r="O288" s="31">
        <f>1871</f>
        <v>1871</v>
      </c>
      <c r="P288" s="32" t="s">
        <v>78</v>
      </c>
      <c r="Q288" s="31">
        <f>1956</f>
        <v>1956</v>
      </c>
      <c r="R288" s="32" t="s">
        <v>997</v>
      </c>
      <c r="S288" s="33">
        <f>1936.22</f>
        <v>1936.22</v>
      </c>
      <c r="T288" s="30">
        <f>4944</f>
        <v>4944</v>
      </c>
      <c r="U288" s="30" t="str">
        <f>"－"</f>
        <v>－</v>
      </c>
      <c r="V288" s="30">
        <f>9528748</f>
        <v>9528748</v>
      </c>
      <c r="W288" s="30" t="str">
        <f>"－"</f>
        <v>－</v>
      </c>
      <c r="X288" s="34">
        <f>18</f>
        <v>18</v>
      </c>
    </row>
    <row r="289" spans="1:24" ht="13.5" customHeight="1" x14ac:dyDescent="0.15">
      <c r="A289" s="25" t="s">
        <v>1032</v>
      </c>
      <c r="B289" s="25" t="s">
        <v>869</v>
      </c>
      <c r="C289" s="25" t="s">
        <v>870</v>
      </c>
      <c r="D289" s="25" t="s">
        <v>871</v>
      </c>
      <c r="E289" s="26" t="s">
        <v>45</v>
      </c>
      <c r="F289" s="27" t="s">
        <v>45</v>
      </c>
      <c r="G289" s="28" t="s">
        <v>45</v>
      </c>
      <c r="H289" s="29"/>
      <c r="I289" s="29" t="s">
        <v>46</v>
      </c>
      <c r="J289" s="30">
        <v>1</v>
      </c>
      <c r="K289" s="31">
        <f>7606</f>
        <v>7606</v>
      </c>
      <c r="L289" s="32" t="s">
        <v>996</v>
      </c>
      <c r="M289" s="31">
        <f>7762</f>
        <v>7762</v>
      </c>
      <c r="N289" s="32" t="s">
        <v>786</v>
      </c>
      <c r="O289" s="31">
        <f>7606</f>
        <v>7606</v>
      </c>
      <c r="P289" s="32" t="s">
        <v>996</v>
      </c>
      <c r="Q289" s="31">
        <f>7759</f>
        <v>7759</v>
      </c>
      <c r="R289" s="32" t="s">
        <v>997</v>
      </c>
      <c r="S289" s="33">
        <f>7694.15</f>
        <v>7694.15</v>
      </c>
      <c r="T289" s="30">
        <f>20628</f>
        <v>20628</v>
      </c>
      <c r="U289" s="30">
        <f>2</f>
        <v>2</v>
      </c>
      <c r="V289" s="30">
        <f>158697515</f>
        <v>158697515</v>
      </c>
      <c r="W289" s="30">
        <f>15354</f>
        <v>15354</v>
      </c>
      <c r="X289" s="34">
        <f>20</f>
        <v>20</v>
      </c>
    </row>
    <row r="290" spans="1:24" ht="13.5" customHeight="1" x14ac:dyDescent="0.15">
      <c r="A290" s="25" t="s">
        <v>1032</v>
      </c>
      <c r="B290" s="25" t="s">
        <v>872</v>
      </c>
      <c r="C290" s="25" t="s">
        <v>873</v>
      </c>
      <c r="D290" s="25" t="s">
        <v>874</v>
      </c>
      <c r="E290" s="26" t="s">
        <v>45</v>
      </c>
      <c r="F290" s="27" t="s">
        <v>45</v>
      </c>
      <c r="G290" s="28" t="s">
        <v>45</v>
      </c>
      <c r="H290" s="29"/>
      <c r="I290" s="29" t="s">
        <v>46</v>
      </c>
      <c r="J290" s="30">
        <v>1</v>
      </c>
      <c r="K290" s="31">
        <f>6208</f>
        <v>6208</v>
      </c>
      <c r="L290" s="32" t="s">
        <v>996</v>
      </c>
      <c r="M290" s="31">
        <f>6700</f>
        <v>6700</v>
      </c>
      <c r="N290" s="32" t="s">
        <v>875</v>
      </c>
      <c r="O290" s="31">
        <f>6148</f>
        <v>6148</v>
      </c>
      <c r="P290" s="32" t="s">
        <v>80</v>
      </c>
      <c r="Q290" s="31">
        <f>6184</f>
        <v>6184</v>
      </c>
      <c r="R290" s="32" t="s">
        <v>997</v>
      </c>
      <c r="S290" s="33">
        <f>6239.84</f>
        <v>6239.84</v>
      </c>
      <c r="T290" s="30">
        <f>16628</f>
        <v>16628</v>
      </c>
      <c r="U290" s="30" t="str">
        <f>"－"</f>
        <v>－</v>
      </c>
      <c r="V290" s="30">
        <f>103862171</f>
        <v>103862171</v>
      </c>
      <c r="W290" s="30" t="str">
        <f>"－"</f>
        <v>－</v>
      </c>
      <c r="X290" s="34">
        <f>19</f>
        <v>19</v>
      </c>
    </row>
    <row r="291" spans="1:24" ht="13.5" customHeight="1" x14ac:dyDescent="0.15">
      <c r="A291" s="25" t="s">
        <v>1032</v>
      </c>
      <c r="B291" s="25" t="s">
        <v>878</v>
      </c>
      <c r="C291" s="25" t="s">
        <v>879</v>
      </c>
      <c r="D291" s="25" t="s">
        <v>880</v>
      </c>
      <c r="E291" s="26" t="s">
        <v>45</v>
      </c>
      <c r="F291" s="27" t="s">
        <v>45</v>
      </c>
      <c r="G291" s="28" t="s">
        <v>45</v>
      </c>
      <c r="H291" s="29"/>
      <c r="I291" s="29" t="s">
        <v>46</v>
      </c>
      <c r="J291" s="30">
        <v>1</v>
      </c>
      <c r="K291" s="31">
        <f>16410</f>
        <v>16410</v>
      </c>
      <c r="L291" s="32" t="s">
        <v>996</v>
      </c>
      <c r="M291" s="31">
        <f>16635</f>
        <v>16635</v>
      </c>
      <c r="N291" s="32" t="s">
        <v>997</v>
      </c>
      <c r="O291" s="31">
        <f>15870</f>
        <v>15870</v>
      </c>
      <c r="P291" s="32" t="s">
        <v>78</v>
      </c>
      <c r="Q291" s="31">
        <f>16635</f>
        <v>16635</v>
      </c>
      <c r="R291" s="32" t="s">
        <v>997</v>
      </c>
      <c r="S291" s="33">
        <f>16289.25</f>
        <v>16289.25</v>
      </c>
      <c r="T291" s="30">
        <f>354122</f>
        <v>354122</v>
      </c>
      <c r="U291" s="30" t="str">
        <f>"－"</f>
        <v>－</v>
      </c>
      <c r="V291" s="30">
        <f>5767197985</f>
        <v>5767197985</v>
      </c>
      <c r="W291" s="30" t="str">
        <f>"－"</f>
        <v>－</v>
      </c>
      <c r="X291" s="34">
        <f>20</f>
        <v>20</v>
      </c>
    </row>
    <row r="292" spans="1:24" ht="13.5" customHeight="1" x14ac:dyDescent="0.15">
      <c r="A292" s="25" t="s">
        <v>1032</v>
      </c>
      <c r="B292" s="25" t="s">
        <v>881</v>
      </c>
      <c r="C292" s="25" t="s">
        <v>882</v>
      </c>
      <c r="D292" s="25" t="s">
        <v>883</v>
      </c>
      <c r="E292" s="26" t="s">
        <v>45</v>
      </c>
      <c r="F292" s="27" t="s">
        <v>45</v>
      </c>
      <c r="G292" s="28" t="s">
        <v>45</v>
      </c>
      <c r="H292" s="29"/>
      <c r="I292" s="29" t="s">
        <v>46</v>
      </c>
      <c r="J292" s="30">
        <v>1</v>
      </c>
      <c r="K292" s="31">
        <f>8820</f>
        <v>8820</v>
      </c>
      <c r="L292" s="32" t="s">
        <v>996</v>
      </c>
      <c r="M292" s="31">
        <f>8824</f>
        <v>8824</v>
      </c>
      <c r="N292" s="32" t="s">
        <v>785</v>
      </c>
      <c r="O292" s="31">
        <f>8608</f>
        <v>8608</v>
      </c>
      <c r="P292" s="32" t="s">
        <v>56</v>
      </c>
      <c r="Q292" s="31">
        <f>8803</f>
        <v>8803</v>
      </c>
      <c r="R292" s="32" t="s">
        <v>997</v>
      </c>
      <c r="S292" s="33">
        <f>8732.3</f>
        <v>8732.2999999999993</v>
      </c>
      <c r="T292" s="30">
        <f>319974</f>
        <v>319974</v>
      </c>
      <c r="U292" s="30">
        <f>22800</f>
        <v>22800</v>
      </c>
      <c r="V292" s="30">
        <f>2803629621</f>
        <v>2803629621</v>
      </c>
      <c r="W292" s="30">
        <f>200576160</f>
        <v>200576160</v>
      </c>
      <c r="X292" s="34">
        <f>20</f>
        <v>20</v>
      </c>
    </row>
    <row r="293" spans="1:24" ht="13.5" customHeight="1" x14ac:dyDescent="0.15">
      <c r="A293" s="25" t="s">
        <v>1032</v>
      </c>
      <c r="B293" s="25" t="s">
        <v>884</v>
      </c>
      <c r="C293" s="25" t="s">
        <v>885</v>
      </c>
      <c r="D293" s="25" t="s">
        <v>886</v>
      </c>
      <c r="E293" s="26" t="s">
        <v>45</v>
      </c>
      <c r="F293" s="27" t="s">
        <v>45</v>
      </c>
      <c r="G293" s="28" t="s">
        <v>45</v>
      </c>
      <c r="H293" s="29"/>
      <c r="I293" s="29" t="s">
        <v>46</v>
      </c>
      <c r="J293" s="30">
        <v>1</v>
      </c>
      <c r="K293" s="31">
        <f>27680</f>
        <v>27680</v>
      </c>
      <c r="L293" s="32" t="s">
        <v>996</v>
      </c>
      <c r="M293" s="31">
        <f>28350</f>
        <v>28350</v>
      </c>
      <c r="N293" s="32" t="s">
        <v>56</v>
      </c>
      <c r="O293" s="31">
        <f>27640</f>
        <v>27640</v>
      </c>
      <c r="P293" s="32" t="s">
        <v>785</v>
      </c>
      <c r="Q293" s="31">
        <f>27655</f>
        <v>27655</v>
      </c>
      <c r="R293" s="32" t="s">
        <v>997</v>
      </c>
      <c r="S293" s="33">
        <f>27934</f>
        <v>27934</v>
      </c>
      <c r="T293" s="30">
        <f>308625</f>
        <v>308625</v>
      </c>
      <c r="U293" s="30">
        <f>100367</f>
        <v>100367</v>
      </c>
      <c r="V293" s="30">
        <f>8639237714</f>
        <v>8639237714</v>
      </c>
      <c r="W293" s="30">
        <f>2824107654</f>
        <v>2824107654</v>
      </c>
      <c r="X293" s="34">
        <f>20</f>
        <v>20</v>
      </c>
    </row>
    <row r="294" spans="1:24" ht="13.5" customHeight="1" x14ac:dyDescent="0.15">
      <c r="A294" s="25" t="s">
        <v>1032</v>
      </c>
      <c r="B294" s="25" t="s">
        <v>887</v>
      </c>
      <c r="C294" s="25" t="s">
        <v>888</v>
      </c>
      <c r="D294" s="25" t="s">
        <v>889</v>
      </c>
      <c r="E294" s="26" t="s">
        <v>45</v>
      </c>
      <c r="F294" s="27" t="s">
        <v>45</v>
      </c>
      <c r="G294" s="28" t="s">
        <v>45</v>
      </c>
      <c r="H294" s="29"/>
      <c r="I294" s="29" t="s">
        <v>46</v>
      </c>
      <c r="J294" s="30">
        <v>10</v>
      </c>
      <c r="K294" s="31">
        <f>4538</f>
        <v>4538</v>
      </c>
      <c r="L294" s="32" t="s">
        <v>996</v>
      </c>
      <c r="M294" s="31">
        <f>4575</f>
        <v>4575</v>
      </c>
      <c r="N294" s="32" t="s">
        <v>78</v>
      </c>
      <c r="O294" s="31">
        <f>4463</f>
        <v>4463</v>
      </c>
      <c r="P294" s="32" t="s">
        <v>790</v>
      </c>
      <c r="Q294" s="31">
        <f>4526</f>
        <v>4526</v>
      </c>
      <c r="R294" s="32" t="s">
        <v>255</v>
      </c>
      <c r="S294" s="33">
        <f>4512.25</f>
        <v>4512.25</v>
      </c>
      <c r="T294" s="30">
        <f>398780</f>
        <v>398780</v>
      </c>
      <c r="U294" s="30">
        <f>376000</f>
        <v>376000</v>
      </c>
      <c r="V294" s="30">
        <f>1785169270</f>
        <v>1785169270</v>
      </c>
      <c r="W294" s="30">
        <f>1682297700</f>
        <v>1682297700</v>
      </c>
      <c r="X294" s="34">
        <f>12</f>
        <v>12</v>
      </c>
    </row>
    <row r="295" spans="1:24" ht="13.5" customHeight="1" x14ac:dyDescent="0.15">
      <c r="A295" s="25" t="s">
        <v>1032</v>
      </c>
      <c r="B295" s="25" t="s">
        <v>890</v>
      </c>
      <c r="C295" s="25" t="s">
        <v>891</v>
      </c>
      <c r="D295" s="25" t="s">
        <v>892</v>
      </c>
      <c r="E295" s="26" t="s">
        <v>45</v>
      </c>
      <c r="F295" s="27" t="s">
        <v>45</v>
      </c>
      <c r="G295" s="28" t="s">
        <v>45</v>
      </c>
      <c r="H295" s="29"/>
      <c r="I295" s="29" t="s">
        <v>46</v>
      </c>
      <c r="J295" s="30">
        <v>10</v>
      </c>
      <c r="K295" s="31">
        <f>5006</f>
        <v>5006</v>
      </c>
      <c r="L295" s="32" t="s">
        <v>785</v>
      </c>
      <c r="M295" s="31">
        <f>5068</f>
        <v>5068</v>
      </c>
      <c r="N295" s="32" t="s">
        <v>875</v>
      </c>
      <c r="O295" s="31">
        <f>4944</f>
        <v>4944</v>
      </c>
      <c r="P295" s="32" t="s">
        <v>997</v>
      </c>
      <c r="Q295" s="31">
        <f>4999</f>
        <v>4999</v>
      </c>
      <c r="R295" s="32" t="s">
        <v>997</v>
      </c>
      <c r="S295" s="33">
        <f>5003.33</f>
        <v>5003.33</v>
      </c>
      <c r="T295" s="30">
        <f>1360310</f>
        <v>1360310</v>
      </c>
      <c r="U295" s="30">
        <f>1254020</f>
        <v>1254020</v>
      </c>
      <c r="V295" s="30">
        <f>6781248066</f>
        <v>6781248066</v>
      </c>
      <c r="W295" s="30">
        <f>6249318756</f>
        <v>6249318756</v>
      </c>
      <c r="X295" s="34">
        <f>15</f>
        <v>15</v>
      </c>
    </row>
    <row r="296" spans="1:24" ht="13.5" customHeight="1" x14ac:dyDescent="0.15">
      <c r="A296" s="25" t="s">
        <v>1032</v>
      </c>
      <c r="B296" s="25" t="s">
        <v>902</v>
      </c>
      <c r="C296" s="25" t="s">
        <v>903</v>
      </c>
      <c r="D296" s="25" t="s">
        <v>904</v>
      </c>
      <c r="E296" s="26" t="s">
        <v>45</v>
      </c>
      <c r="F296" s="27" t="s">
        <v>45</v>
      </c>
      <c r="G296" s="28" t="s">
        <v>45</v>
      </c>
      <c r="H296" s="29"/>
      <c r="I296" s="29" t="s">
        <v>46</v>
      </c>
      <c r="J296" s="30">
        <v>10</v>
      </c>
      <c r="K296" s="31">
        <f>1843</f>
        <v>1843</v>
      </c>
      <c r="L296" s="32" t="s">
        <v>996</v>
      </c>
      <c r="M296" s="31">
        <f>1843.5</f>
        <v>1843.5</v>
      </c>
      <c r="N296" s="32" t="s">
        <v>785</v>
      </c>
      <c r="O296" s="31">
        <f>1797.5</f>
        <v>1797.5</v>
      </c>
      <c r="P296" s="32" t="s">
        <v>56</v>
      </c>
      <c r="Q296" s="31">
        <f>1838.5</f>
        <v>1838.5</v>
      </c>
      <c r="R296" s="32" t="s">
        <v>997</v>
      </c>
      <c r="S296" s="33">
        <f>1823.78</f>
        <v>1823.78</v>
      </c>
      <c r="T296" s="30">
        <f>1651480</f>
        <v>1651480</v>
      </c>
      <c r="U296" s="30" t="str">
        <f>"－"</f>
        <v>－</v>
      </c>
      <c r="V296" s="30">
        <f>3021154125</f>
        <v>3021154125</v>
      </c>
      <c r="W296" s="30" t="str">
        <f>"－"</f>
        <v>－</v>
      </c>
      <c r="X296" s="34">
        <f>20</f>
        <v>20</v>
      </c>
    </row>
    <row r="297" spans="1:24" ht="13.5" customHeight="1" x14ac:dyDescent="0.15">
      <c r="A297" s="25" t="s">
        <v>1032</v>
      </c>
      <c r="B297" s="25" t="s">
        <v>905</v>
      </c>
      <c r="C297" s="25" t="s">
        <v>906</v>
      </c>
      <c r="D297" s="25" t="s">
        <v>907</v>
      </c>
      <c r="E297" s="26" t="s">
        <v>45</v>
      </c>
      <c r="F297" s="27" t="s">
        <v>45</v>
      </c>
      <c r="G297" s="28" t="s">
        <v>45</v>
      </c>
      <c r="H297" s="29"/>
      <c r="I297" s="29" t="s">
        <v>46</v>
      </c>
      <c r="J297" s="30">
        <v>10</v>
      </c>
      <c r="K297" s="31">
        <f>1890.5</f>
        <v>1890.5</v>
      </c>
      <c r="L297" s="32" t="s">
        <v>996</v>
      </c>
      <c r="M297" s="31">
        <f>1928.5</f>
        <v>1928.5</v>
      </c>
      <c r="N297" s="32" t="s">
        <v>1005</v>
      </c>
      <c r="O297" s="31">
        <f>1887.5</f>
        <v>1887.5</v>
      </c>
      <c r="P297" s="32" t="s">
        <v>255</v>
      </c>
      <c r="Q297" s="31">
        <f>1916.5</f>
        <v>1916.5</v>
      </c>
      <c r="R297" s="32" t="s">
        <v>997</v>
      </c>
      <c r="S297" s="33">
        <f>1910.03</f>
        <v>1910.03</v>
      </c>
      <c r="T297" s="30">
        <f>2078190</f>
        <v>2078190</v>
      </c>
      <c r="U297" s="30">
        <f>1073420</f>
        <v>1073420</v>
      </c>
      <c r="V297" s="30">
        <f>3966059585</f>
        <v>3966059585</v>
      </c>
      <c r="W297" s="30">
        <f>2047902075</f>
        <v>2047902075</v>
      </c>
      <c r="X297" s="34">
        <f>20</f>
        <v>20</v>
      </c>
    </row>
    <row r="298" spans="1:24" ht="13.5" customHeight="1" x14ac:dyDescent="0.15">
      <c r="A298" s="25" t="s">
        <v>1032</v>
      </c>
      <c r="B298" s="25" t="s">
        <v>908</v>
      </c>
      <c r="C298" s="25" t="s">
        <v>909</v>
      </c>
      <c r="D298" s="25" t="s">
        <v>910</v>
      </c>
      <c r="E298" s="26" t="s">
        <v>45</v>
      </c>
      <c r="F298" s="27" t="s">
        <v>45</v>
      </c>
      <c r="G298" s="28" t="s">
        <v>45</v>
      </c>
      <c r="H298" s="29"/>
      <c r="I298" s="29" t="s">
        <v>46</v>
      </c>
      <c r="J298" s="30">
        <v>1</v>
      </c>
      <c r="K298" s="31">
        <f>1585</f>
        <v>1585</v>
      </c>
      <c r="L298" s="32" t="s">
        <v>996</v>
      </c>
      <c r="M298" s="31">
        <f>1593</f>
        <v>1593</v>
      </c>
      <c r="N298" s="32" t="s">
        <v>996</v>
      </c>
      <c r="O298" s="31">
        <f>1538</f>
        <v>1538</v>
      </c>
      <c r="P298" s="32" t="s">
        <v>1003</v>
      </c>
      <c r="Q298" s="31">
        <f>1580</f>
        <v>1580</v>
      </c>
      <c r="R298" s="32" t="s">
        <v>997</v>
      </c>
      <c r="S298" s="33">
        <f>1566.11</f>
        <v>1566.11</v>
      </c>
      <c r="T298" s="30">
        <f>1078</f>
        <v>1078</v>
      </c>
      <c r="U298" s="30" t="str">
        <f>"－"</f>
        <v>－</v>
      </c>
      <c r="V298" s="30">
        <f>1692540</f>
        <v>1692540</v>
      </c>
      <c r="W298" s="30" t="str">
        <f>"－"</f>
        <v>－</v>
      </c>
      <c r="X298" s="34">
        <f>19</f>
        <v>19</v>
      </c>
    </row>
    <row r="299" spans="1:24" ht="13.5" customHeight="1" x14ac:dyDescent="0.15">
      <c r="A299" s="25" t="s">
        <v>1032</v>
      </c>
      <c r="B299" s="25" t="s">
        <v>911</v>
      </c>
      <c r="C299" s="25" t="s">
        <v>912</v>
      </c>
      <c r="D299" s="25" t="s">
        <v>913</v>
      </c>
      <c r="E299" s="26" t="s">
        <v>45</v>
      </c>
      <c r="F299" s="27" t="s">
        <v>45</v>
      </c>
      <c r="G299" s="28" t="s">
        <v>45</v>
      </c>
      <c r="H299" s="29"/>
      <c r="I299" s="29" t="s">
        <v>46</v>
      </c>
      <c r="J299" s="30">
        <v>1</v>
      </c>
      <c r="K299" s="31">
        <f>1592</f>
        <v>1592</v>
      </c>
      <c r="L299" s="32" t="s">
        <v>996</v>
      </c>
      <c r="M299" s="31">
        <f>1625</f>
        <v>1625</v>
      </c>
      <c r="N299" s="32" t="s">
        <v>80</v>
      </c>
      <c r="O299" s="31">
        <f>1556</f>
        <v>1556</v>
      </c>
      <c r="P299" s="32" t="s">
        <v>78</v>
      </c>
      <c r="Q299" s="31">
        <f>1616</f>
        <v>1616</v>
      </c>
      <c r="R299" s="32" t="s">
        <v>997</v>
      </c>
      <c r="S299" s="33">
        <f>1597.5</f>
        <v>1597.5</v>
      </c>
      <c r="T299" s="30">
        <f>991</f>
        <v>991</v>
      </c>
      <c r="U299" s="30" t="str">
        <f>"－"</f>
        <v>－</v>
      </c>
      <c r="V299" s="30">
        <f>1589986</f>
        <v>1589986</v>
      </c>
      <c r="W299" s="30" t="str">
        <f>"－"</f>
        <v>－</v>
      </c>
      <c r="X299" s="34">
        <f>16</f>
        <v>16</v>
      </c>
    </row>
    <row r="300" spans="1:24" ht="13.5" customHeight="1" x14ac:dyDescent="0.15">
      <c r="A300" s="25" t="s">
        <v>1032</v>
      </c>
      <c r="B300" s="25" t="s">
        <v>914</v>
      </c>
      <c r="C300" s="25" t="s">
        <v>915</v>
      </c>
      <c r="D300" s="25" t="s">
        <v>916</v>
      </c>
      <c r="E300" s="26" t="s">
        <v>45</v>
      </c>
      <c r="F300" s="27" t="s">
        <v>45</v>
      </c>
      <c r="G300" s="28" t="s">
        <v>45</v>
      </c>
      <c r="H300" s="29"/>
      <c r="I300" s="29" t="s">
        <v>46</v>
      </c>
      <c r="J300" s="30">
        <v>1</v>
      </c>
      <c r="K300" s="31">
        <f>3375</f>
        <v>3375</v>
      </c>
      <c r="L300" s="32" t="s">
        <v>996</v>
      </c>
      <c r="M300" s="31">
        <f>3435</f>
        <v>3435</v>
      </c>
      <c r="N300" s="32" t="s">
        <v>997</v>
      </c>
      <c r="O300" s="31">
        <f>3290</f>
        <v>3290</v>
      </c>
      <c r="P300" s="32" t="s">
        <v>78</v>
      </c>
      <c r="Q300" s="31">
        <f>3400</f>
        <v>3400</v>
      </c>
      <c r="R300" s="32" t="s">
        <v>997</v>
      </c>
      <c r="S300" s="33">
        <f>3364.25</f>
        <v>3364.25</v>
      </c>
      <c r="T300" s="30">
        <f>7205</f>
        <v>7205</v>
      </c>
      <c r="U300" s="30">
        <f>1</f>
        <v>1</v>
      </c>
      <c r="V300" s="30">
        <f>24234835</f>
        <v>24234835</v>
      </c>
      <c r="W300" s="30">
        <f>3400</f>
        <v>3400</v>
      </c>
      <c r="X300" s="34">
        <f>20</f>
        <v>20</v>
      </c>
    </row>
    <row r="301" spans="1:24" ht="13.5" customHeight="1" x14ac:dyDescent="0.15">
      <c r="A301" s="25" t="s">
        <v>1032</v>
      </c>
      <c r="B301" s="25" t="s">
        <v>917</v>
      </c>
      <c r="C301" s="25" t="s">
        <v>918</v>
      </c>
      <c r="D301" s="25" t="s">
        <v>919</v>
      </c>
      <c r="E301" s="26" t="s">
        <v>45</v>
      </c>
      <c r="F301" s="27" t="s">
        <v>45</v>
      </c>
      <c r="G301" s="28" t="s">
        <v>45</v>
      </c>
      <c r="H301" s="29"/>
      <c r="I301" s="29" t="s">
        <v>46</v>
      </c>
      <c r="J301" s="30">
        <v>10</v>
      </c>
      <c r="K301" s="31">
        <f>1988.5</f>
        <v>1988.5</v>
      </c>
      <c r="L301" s="32" t="s">
        <v>1003</v>
      </c>
      <c r="M301" s="31">
        <f>2067.5</f>
        <v>2067.5</v>
      </c>
      <c r="N301" s="32" t="s">
        <v>789</v>
      </c>
      <c r="O301" s="31">
        <f>1948.5</f>
        <v>1948.5</v>
      </c>
      <c r="P301" s="32" t="s">
        <v>792</v>
      </c>
      <c r="Q301" s="31">
        <f>2056.5</f>
        <v>2056.5</v>
      </c>
      <c r="R301" s="32" t="s">
        <v>997</v>
      </c>
      <c r="S301" s="33">
        <f>2040.59</f>
        <v>2040.59</v>
      </c>
      <c r="T301" s="30">
        <f>480</f>
        <v>480</v>
      </c>
      <c r="U301" s="30" t="str">
        <f>"－"</f>
        <v>－</v>
      </c>
      <c r="V301" s="30">
        <f>986055</f>
        <v>986055</v>
      </c>
      <c r="W301" s="30" t="str">
        <f>"－"</f>
        <v>－</v>
      </c>
      <c r="X301" s="34">
        <f>11</f>
        <v>11</v>
      </c>
    </row>
    <row r="302" spans="1:24" ht="13.5" customHeight="1" x14ac:dyDescent="0.15">
      <c r="A302" s="25" t="s">
        <v>1032</v>
      </c>
      <c r="B302" s="25" t="s">
        <v>928</v>
      </c>
      <c r="C302" s="25" t="s">
        <v>929</v>
      </c>
      <c r="D302" s="25" t="s">
        <v>930</v>
      </c>
      <c r="E302" s="26" t="s">
        <v>45</v>
      </c>
      <c r="F302" s="27" t="s">
        <v>45</v>
      </c>
      <c r="G302" s="28" t="s">
        <v>45</v>
      </c>
      <c r="H302" s="29"/>
      <c r="I302" s="29" t="s">
        <v>46</v>
      </c>
      <c r="J302" s="30">
        <v>10</v>
      </c>
      <c r="K302" s="31">
        <f>204.1</f>
        <v>204.1</v>
      </c>
      <c r="L302" s="32" t="s">
        <v>996</v>
      </c>
      <c r="M302" s="31">
        <f>211</f>
        <v>211</v>
      </c>
      <c r="N302" s="32" t="s">
        <v>792</v>
      </c>
      <c r="O302" s="31">
        <f>200.5</f>
        <v>200.5</v>
      </c>
      <c r="P302" s="32" t="s">
        <v>78</v>
      </c>
      <c r="Q302" s="31">
        <f>210</f>
        <v>210</v>
      </c>
      <c r="R302" s="32" t="s">
        <v>997</v>
      </c>
      <c r="S302" s="33">
        <f>206.15</f>
        <v>206.15</v>
      </c>
      <c r="T302" s="30">
        <f>2770</f>
        <v>2770</v>
      </c>
      <c r="U302" s="30" t="str">
        <f>"－"</f>
        <v>－</v>
      </c>
      <c r="V302" s="30">
        <f>571087</f>
        <v>571087</v>
      </c>
      <c r="W302" s="30" t="str">
        <f>"－"</f>
        <v>－</v>
      </c>
      <c r="X302" s="34">
        <f>20</f>
        <v>20</v>
      </c>
    </row>
    <row r="303" spans="1:24" ht="13.5" customHeight="1" x14ac:dyDescent="0.15">
      <c r="A303" s="25" t="s">
        <v>1032</v>
      </c>
      <c r="B303" s="25" t="s">
        <v>920</v>
      </c>
      <c r="C303" s="25" t="s">
        <v>921</v>
      </c>
      <c r="D303" s="25" t="s">
        <v>922</v>
      </c>
      <c r="E303" s="26" t="s">
        <v>45</v>
      </c>
      <c r="F303" s="27" t="s">
        <v>45</v>
      </c>
      <c r="G303" s="28" t="s">
        <v>45</v>
      </c>
      <c r="H303" s="29"/>
      <c r="I303" s="29" t="s">
        <v>46</v>
      </c>
      <c r="J303" s="30">
        <v>10</v>
      </c>
      <c r="K303" s="31">
        <f>180.5</f>
        <v>180.5</v>
      </c>
      <c r="L303" s="32" t="s">
        <v>996</v>
      </c>
      <c r="M303" s="31">
        <f>191</f>
        <v>191</v>
      </c>
      <c r="N303" s="32" t="s">
        <v>997</v>
      </c>
      <c r="O303" s="31">
        <f>180.5</f>
        <v>180.5</v>
      </c>
      <c r="P303" s="32" t="s">
        <v>996</v>
      </c>
      <c r="Q303" s="31">
        <f>191</f>
        <v>191</v>
      </c>
      <c r="R303" s="32" t="s">
        <v>997</v>
      </c>
      <c r="S303" s="33">
        <f>186.81</f>
        <v>186.81</v>
      </c>
      <c r="T303" s="30">
        <f>1369220</f>
        <v>1369220</v>
      </c>
      <c r="U303" s="30">
        <f>1360000</f>
        <v>1360000</v>
      </c>
      <c r="V303" s="30">
        <f>253099176</f>
        <v>253099176</v>
      </c>
      <c r="W303" s="30">
        <f>251396000</f>
        <v>251396000</v>
      </c>
      <c r="X303" s="34">
        <f>20</f>
        <v>20</v>
      </c>
    </row>
    <row r="304" spans="1:24" ht="13.5" customHeight="1" x14ac:dyDescent="0.15">
      <c r="A304" s="25" t="s">
        <v>1032</v>
      </c>
      <c r="B304" s="25" t="s">
        <v>923</v>
      </c>
      <c r="C304" s="25" t="s">
        <v>924</v>
      </c>
      <c r="D304" s="25" t="s">
        <v>925</v>
      </c>
      <c r="E304" s="26" t="s">
        <v>45</v>
      </c>
      <c r="F304" s="27" t="s">
        <v>45</v>
      </c>
      <c r="G304" s="28" t="s">
        <v>45</v>
      </c>
      <c r="H304" s="29"/>
      <c r="I304" s="29" t="s">
        <v>46</v>
      </c>
      <c r="J304" s="30">
        <v>10</v>
      </c>
      <c r="K304" s="31">
        <f>730.8</f>
        <v>730.8</v>
      </c>
      <c r="L304" s="32" t="s">
        <v>78</v>
      </c>
      <c r="M304" s="31">
        <f>731.1</f>
        <v>731.1</v>
      </c>
      <c r="N304" s="32" t="s">
        <v>1003</v>
      </c>
      <c r="O304" s="31">
        <f>700.8</f>
        <v>700.8</v>
      </c>
      <c r="P304" s="32" t="s">
        <v>998</v>
      </c>
      <c r="Q304" s="31">
        <f>705.6</f>
        <v>705.6</v>
      </c>
      <c r="R304" s="32" t="s">
        <v>997</v>
      </c>
      <c r="S304" s="33">
        <f>713.51</f>
        <v>713.51</v>
      </c>
      <c r="T304" s="30">
        <f>57940</f>
        <v>57940</v>
      </c>
      <c r="U304" s="30">
        <f>57430</f>
        <v>57430</v>
      </c>
      <c r="V304" s="30">
        <f>41086319</f>
        <v>41086319</v>
      </c>
      <c r="W304" s="30">
        <f>40718444</f>
        <v>40718444</v>
      </c>
      <c r="X304" s="34">
        <f>12</f>
        <v>12</v>
      </c>
    </row>
    <row r="305" spans="1:24" ht="13.5" customHeight="1" x14ac:dyDescent="0.15">
      <c r="A305" s="25" t="s">
        <v>1032</v>
      </c>
      <c r="B305" s="25" t="s">
        <v>931</v>
      </c>
      <c r="C305" s="25" t="s">
        <v>932</v>
      </c>
      <c r="D305" s="25" t="s">
        <v>933</v>
      </c>
      <c r="E305" s="26" t="s">
        <v>45</v>
      </c>
      <c r="F305" s="27" t="s">
        <v>45</v>
      </c>
      <c r="G305" s="28" t="s">
        <v>45</v>
      </c>
      <c r="H305" s="29"/>
      <c r="I305" s="29" t="s">
        <v>46</v>
      </c>
      <c r="J305" s="30">
        <v>1</v>
      </c>
      <c r="K305" s="31">
        <f>1071</f>
        <v>1071</v>
      </c>
      <c r="L305" s="32" t="s">
        <v>996</v>
      </c>
      <c r="M305" s="31">
        <f>1094</f>
        <v>1094</v>
      </c>
      <c r="N305" s="32" t="s">
        <v>786</v>
      </c>
      <c r="O305" s="31">
        <f>1028</f>
        <v>1028</v>
      </c>
      <c r="P305" s="32" t="s">
        <v>78</v>
      </c>
      <c r="Q305" s="31">
        <f>1070</f>
        <v>1070</v>
      </c>
      <c r="R305" s="32" t="s">
        <v>997</v>
      </c>
      <c r="S305" s="33">
        <f>1057.6</f>
        <v>1057.5999999999999</v>
      </c>
      <c r="T305" s="30">
        <f>73525</f>
        <v>73525</v>
      </c>
      <c r="U305" s="30" t="str">
        <f>"－"</f>
        <v>－</v>
      </c>
      <c r="V305" s="30">
        <f>78040339</f>
        <v>78040339</v>
      </c>
      <c r="W305" s="30" t="str">
        <f>"－"</f>
        <v>－</v>
      </c>
      <c r="X305" s="34">
        <f>20</f>
        <v>20</v>
      </c>
    </row>
    <row r="306" spans="1:24" ht="13.5" customHeight="1" x14ac:dyDescent="0.15">
      <c r="A306" s="25" t="s">
        <v>1032</v>
      </c>
      <c r="B306" s="25" t="s">
        <v>934</v>
      </c>
      <c r="C306" s="25" t="s">
        <v>935</v>
      </c>
      <c r="D306" s="25" t="s">
        <v>936</v>
      </c>
      <c r="E306" s="26" t="s">
        <v>45</v>
      </c>
      <c r="F306" s="27" t="s">
        <v>45</v>
      </c>
      <c r="G306" s="28" t="s">
        <v>45</v>
      </c>
      <c r="H306" s="29"/>
      <c r="I306" s="29" t="s">
        <v>46</v>
      </c>
      <c r="J306" s="30">
        <v>1</v>
      </c>
      <c r="K306" s="31">
        <f>932</f>
        <v>932</v>
      </c>
      <c r="L306" s="32" t="s">
        <v>996</v>
      </c>
      <c r="M306" s="31">
        <f>964</f>
        <v>964</v>
      </c>
      <c r="N306" s="32" t="s">
        <v>997</v>
      </c>
      <c r="O306" s="31">
        <f>932</f>
        <v>932</v>
      </c>
      <c r="P306" s="32" t="s">
        <v>996</v>
      </c>
      <c r="Q306" s="31">
        <f>964</f>
        <v>964</v>
      </c>
      <c r="R306" s="32" t="s">
        <v>997</v>
      </c>
      <c r="S306" s="33">
        <f>949.8</f>
        <v>949.8</v>
      </c>
      <c r="T306" s="30">
        <f>109806</f>
        <v>109806</v>
      </c>
      <c r="U306" s="30">
        <f>100000</f>
        <v>100000</v>
      </c>
      <c r="V306" s="30">
        <f>104832469</f>
        <v>104832469</v>
      </c>
      <c r="W306" s="30">
        <f>95472000</f>
        <v>95472000</v>
      </c>
      <c r="X306" s="34">
        <f>20</f>
        <v>20</v>
      </c>
    </row>
    <row r="307" spans="1:24" ht="13.5" customHeight="1" x14ac:dyDescent="0.15">
      <c r="A307" s="25" t="s">
        <v>1032</v>
      </c>
      <c r="B307" s="25" t="s">
        <v>937</v>
      </c>
      <c r="C307" s="25" t="s">
        <v>938</v>
      </c>
      <c r="D307" s="25" t="s">
        <v>939</v>
      </c>
      <c r="E307" s="26" t="s">
        <v>45</v>
      </c>
      <c r="F307" s="27" t="s">
        <v>45</v>
      </c>
      <c r="G307" s="28" t="s">
        <v>45</v>
      </c>
      <c r="H307" s="29"/>
      <c r="I307" s="29" t="s">
        <v>46</v>
      </c>
      <c r="J307" s="30">
        <v>10</v>
      </c>
      <c r="K307" s="31">
        <f>760.5</f>
        <v>760.5</v>
      </c>
      <c r="L307" s="32" t="s">
        <v>996</v>
      </c>
      <c r="M307" s="31">
        <f>779.6</f>
        <v>779.6</v>
      </c>
      <c r="N307" s="32" t="s">
        <v>875</v>
      </c>
      <c r="O307" s="31">
        <f>752.7</f>
        <v>752.7</v>
      </c>
      <c r="P307" s="32" t="s">
        <v>788</v>
      </c>
      <c r="Q307" s="31">
        <f>757.8</f>
        <v>757.8</v>
      </c>
      <c r="R307" s="32" t="s">
        <v>997</v>
      </c>
      <c r="S307" s="33">
        <f>759.44</f>
        <v>759.44</v>
      </c>
      <c r="T307" s="30">
        <f>721370</f>
        <v>721370</v>
      </c>
      <c r="U307" s="30">
        <f>543210</f>
        <v>543210</v>
      </c>
      <c r="V307" s="30">
        <f>549584399</f>
        <v>549584399</v>
      </c>
      <c r="W307" s="30">
        <f>414482446</f>
        <v>414482446</v>
      </c>
      <c r="X307" s="34">
        <f>20</f>
        <v>20</v>
      </c>
    </row>
    <row r="308" spans="1:24" ht="13.5" customHeight="1" x14ac:dyDescent="0.15">
      <c r="A308" s="25" t="s">
        <v>1032</v>
      </c>
      <c r="B308" s="25" t="s">
        <v>940</v>
      </c>
      <c r="C308" s="25" t="s">
        <v>941</v>
      </c>
      <c r="D308" s="25" t="s">
        <v>942</v>
      </c>
      <c r="E308" s="26" t="s">
        <v>45</v>
      </c>
      <c r="F308" s="27" t="s">
        <v>45</v>
      </c>
      <c r="G308" s="28" t="s">
        <v>45</v>
      </c>
      <c r="H308" s="29"/>
      <c r="I308" s="29" t="s">
        <v>46</v>
      </c>
      <c r="J308" s="30">
        <v>10</v>
      </c>
      <c r="K308" s="31">
        <f>733.6</f>
        <v>733.6</v>
      </c>
      <c r="L308" s="32" t="s">
        <v>996</v>
      </c>
      <c r="M308" s="31">
        <f>738.7</f>
        <v>738.7</v>
      </c>
      <c r="N308" s="32" t="s">
        <v>1003</v>
      </c>
      <c r="O308" s="31">
        <f>708.9</f>
        <v>708.9</v>
      </c>
      <c r="P308" s="32" t="s">
        <v>80</v>
      </c>
      <c r="Q308" s="31">
        <f>713.2</f>
        <v>713.2</v>
      </c>
      <c r="R308" s="32" t="s">
        <v>997</v>
      </c>
      <c r="S308" s="33">
        <f>717.86</f>
        <v>717.86</v>
      </c>
      <c r="T308" s="30">
        <f>110510</f>
        <v>110510</v>
      </c>
      <c r="U308" s="30">
        <f>84000</f>
        <v>84000</v>
      </c>
      <c r="V308" s="30">
        <f>78920330</f>
        <v>78920330</v>
      </c>
      <c r="W308" s="30">
        <f>60005700</f>
        <v>60005700</v>
      </c>
      <c r="X308" s="34">
        <f>20</f>
        <v>20</v>
      </c>
    </row>
    <row r="309" spans="1:24" ht="13.5" customHeight="1" x14ac:dyDescent="0.15">
      <c r="A309" s="25" t="s">
        <v>1032</v>
      </c>
      <c r="B309" s="25" t="s">
        <v>943</v>
      </c>
      <c r="C309" s="25" t="s">
        <v>944</v>
      </c>
      <c r="D309" s="25" t="s">
        <v>945</v>
      </c>
      <c r="E309" s="26" t="s">
        <v>45</v>
      </c>
      <c r="F309" s="27" t="s">
        <v>45</v>
      </c>
      <c r="G309" s="28" t="s">
        <v>45</v>
      </c>
      <c r="H309" s="29"/>
      <c r="I309" s="29" t="s">
        <v>46</v>
      </c>
      <c r="J309" s="30">
        <v>1</v>
      </c>
      <c r="K309" s="31">
        <f>1040</f>
        <v>1040</v>
      </c>
      <c r="L309" s="32" t="s">
        <v>996</v>
      </c>
      <c r="M309" s="31">
        <f>1065</f>
        <v>1065</v>
      </c>
      <c r="N309" s="32" t="s">
        <v>997</v>
      </c>
      <c r="O309" s="31">
        <f>1016</f>
        <v>1016</v>
      </c>
      <c r="P309" s="32" t="s">
        <v>1003</v>
      </c>
      <c r="Q309" s="31">
        <f>1065</f>
        <v>1065</v>
      </c>
      <c r="R309" s="32" t="s">
        <v>997</v>
      </c>
      <c r="S309" s="33">
        <f>1047.4</f>
        <v>1047.4000000000001</v>
      </c>
      <c r="T309" s="30">
        <f>10461</f>
        <v>10461</v>
      </c>
      <c r="U309" s="30" t="str">
        <f>"－"</f>
        <v>－</v>
      </c>
      <c r="V309" s="30">
        <f>10871716</f>
        <v>10871716</v>
      </c>
      <c r="W309" s="30" t="str">
        <f>"－"</f>
        <v>－</v>
      </c>
      <c r="X309" s="34">
        <f>20</f>
        <v>20</v>
      </c>
    </row>
    <row r="310" spans="1:24" ht="13.5" customHeight="1" x14ac:dyDescent="0.15">
      <c r="A310" s="25" t="s">
        <v>1032</v>
      </c>
      <c r="B310" s="25" t="s">
        <v>952</v>
      </c>
      <c r="C310" s="25" t="s">
        <v>953</v>
      </c>
      <c r="D310" s="25" t="s">
        <v>954</v>
      </c>
      <c r="E310" s="26" t="s">
        <v>45</v>
      </c>
      <c r="F310" s="27" t="s">
        <v>45</v>
      </c>
      <c r="G310" s="28" t="s">
        <v>45</v>
      </c>
      <c r="H310" s="29"/>
      <c r="I310" s="29" t="s">
        <v>46</v>
      </c>
      <c r="J310" s="30">
        <v>10</v>
      </c>
      <c r="K310" s="31">
        <f>2415.5</f>
        <v>2415.5</v>
      </c>
      <c r="L310" s="32" t="s">
        <v>996</v>
      </c>
      <c r="M310" s="31">
        <f>2447</f>
        <v>2447</v>
      </c>
      <c r="N310" s="32" t="s">
        <v>789</v>
      </c>
      <c r="O310" s="31">
        <f>2374</f>
        <v>2374</v>
      </c>
      <c r="P310" s="32" t="s">
        <v>78</v>
      </c>
      <c r="Q310" s="31">
        <f>2433</f>
        <v>2433</v>
      </c>
      <c r="R310" s="32" t="s">
        <v>997</v>
      </c>
      <c r="S310" s="33">
        <f>2415.79</f>
        <v>2415.79</v>
      </c>
      <c r="T310" s="30">
        <f>27070</f>
        <v>27070</v>
      </c>
      <c r="U310" s="30" t="str">
        <f>"－"</f>
        <v>－</v>
      </c>
      <c r="V310" s="30">
        <f>65704910</f>
        <v>65704910</v>
      </c>
      <c r="W310" s="30" t="str">
        <f>"－"</f>
        <v>－</v>
      </c>
      <c r="X310" s="34">
        <f>19</f>
        <v>19</v>
      </c>
    </row>
    <row r="311" spans="1:24" ht="13.5" customHeight="1" x14ac:dyDescent="0.15">
      <c r="A311" s="25" t="s">
        <v>1032</v>
      </c>
      <c r="B311" s="25" t="s">
        <v>955</v>
      </c>
      <c r="C311" s="25" t="s">
        <v>956</v>
      </c>
      <c r="D311" s="25" t="s">
        <v>957</v>
      </c>
      <c r="E311" s="26" t="s">
        <v>45</v>
      </c>
      <c r="F311" s="27" t="s">
        <v>45</v>
      </c>
      <c r="G311" s="28" t="s">
        <v>45</v>
      </c>
      <c r="H311" s="29"/>
      <c r="I311" s="29" t="s">
        <v>46</v>
      </c>
      <c r="J311" s="30">
        <v>10</v>
      </c>
      <c r="K311" s="31">
        <f>2362.5</f>
        <v>2362.5</v>
      </c>
      <c r="L311" s="32" t="s">
        <v>996</v>
      </c>
      <c r="M311" s="31">
        <f>2410</f>
        <v>2410</v>
      </c>
      <c r="N311" s="32" t="s">
        <v>790</v>
      </c>
      <c r="O311" s="31">
        <f>2340</f>
        <v>2340</v>
      </c>
      <c r="P311" s="32" t="s">
        <v>785</v>
      </c>
      <c r="Q311" s="31">
        <f>2392.5</f>
        <v>2392.5</v>
      </c>
      <c r="R311" s="32" t="s">
        <v>997</v>
      </c>
      <c r="S311" s="33">
        <f>2378.97</f>
        <v>2378.9699999999998</v>
      </c>
      <c r="T311" s="30">
        <f>281730</f>
        <v>281730</v>
      </c>
      <c r="U311" s="30">
        <f>253410</f>
        <v>253410</v>
      </c>
      <c r="V311" s="30">
        <f>669926613</f>
        <v>669926613</v>
      </c>
      <c r="W311" s="30">
        <f>602578268</f>
        <v>602578268</v>
      </c>
      <c r="X311" s="34">
        <f>18</f>
        <v>18</v>
      </c>
    </row>
    <row r="312" spans="1:24" ht="13.5" customHeight="1" x14ac:dyDescent="0.15">
      <c r="A312" s="25" t="s">
        <v>1032</v>
      </c>
      <c r="B312" s="25" t="s">
        <v>946</v>
      </c>
      <c r="C312" s="25" t="s">
        <v>947</v>
      </c>
      <c r="D312" s="25" t="s">
        <v>948</v>
      </c>
      <c r="E312" s="26" t="s">
        <v>45</v>
      </c>
      <c r="F312" s="27" t="s">
        <v>45</v>
      </c>
      <c r="G312" s="28" t="s">
        <v>45</v>
      </c>
      <c r="H312" s="29"/>
      <c r="I312" s="29" t="s">
        <v>46</v>
      </c>
      <c r="J312" s="30">
        <v>10</v>
      </c>
      <c r="K312" s="31">
        <f>4851</f>
        <v>4851</v>
      </c>
      <c r="L312" s="32" t="s">
        <v>996</v>
      </c>
      <c r="M312" s="31">
        <f>4907</f>
        <v>4907</v>
      </c>
      <c r="N312" s="32" t="s">
        <v>792</v>
      </c>
      <c r="O312" s="31">
        <f>4848</f>
        <v>4848</v>
      </c>
      <c r="P312" s="32" t="s">
        <v>793</v>
      </c>
      <c r="Q312" s="31">
        <f>4848</f>
        <v>4848</v>
      </c>
      <c r="R312" s="32" t="s">
        <v>793</v>
      </c>
      <c r="S312" s="33">
        <f>4858</f>
        <v>4858</v>
      </c>
      <c r="T312" s="30">
        <f>105100</f>
        <v>105100</v>
      </c>
      <c r="U312" s="30">
        <f>105000</f>
        <v>105000</v>
      </c>
      <c r="V312" s="30">
        <f>511082350</f>
        <v>511082350</v>
      </c>
      <c r="W312" s="30">
        <f>510595700</f>
        <v>510595700</v>
      </c>
      <c r="X312" s="34">
        <f>5</f>
        <v>5</v>
      </c>
    </row>
    <row r="313" spans="1:24" ht="13.5" customHeight="1" x14ac:dyDescent="0.15">
      <c r="A313" s="25" t="s">
        <v>1032</v>
      </c>
      <c r="B313" s="25" t="s">
        <v>949</v>
      </c>
      <c r="C313" s="25" t="s">
        <v>950</v>
      </c>
      <c r="D313" s="25" t="s">
        <v>951</v>
      </c>
      <c r="E313" s="26" t="s">
        <v>45</v>
      </c>
      <c r="F313" s="27" t="s">
        <v>45</v>
      </c>
      <c r="G313" s="28" t="s">
        <v>45</v>
      </c>
      <c r="H313" s="29"/>
      <c r="I313" s="29" t="s">
        <v>46</v>
      </c>
      <c r="J313" s="30">
        <v>10</v>
      </c>
      <c r="K313" s="31">
        <f>4415</f>
        <v>4415</v>
      </c>
      <c r="L313" s="32" t="s">
        <v>786</v>
      </c>
      <c r="M313" s="31">
        <f>4438</f>
        <v>4438</v>
      </c>
      <c r="N313" s="32" t="s">
        <v>255</v>
      </c>
      <c r="O313" s="31">
        <f>4415</f>
        <v>4415</v>
      </c>
      <c r="P313" s="32" t="s">
        <v>786</v>
      </c>
      <c r="Q313" s="31">
        <f>4438</f>
        <v>4438</v>
      </c>
      <c r="R313" s="32" t="s">
        <v>255</v>
      </c>
      <c r="S313" s="33">
        <f>4426.5</f>
        <v>4426.5</v>
      </c>
      <c r="T313" s="30">
        <f>20</f>
        <v>20</v>
      </c>
      <c r="U313" s="30" t="str">
        <f>"－"</f>
        <v>－</v>
      </c>
      <c r="V313" s="30">
        <f>88530</f>
        <v>88530</v>
      </c>
      <c r="W313" s="30" t="str">
        <f>"－"</f>
        <v>－</v>
      </c>
      <c r="X313" s="34">
        <f>2</f>
        <v>2</v>
      </c>
    </row>
    <row r="314" spans="1:24" ht="13.5" customHeight="1" x14ac:dyDescent="0.15">
      <c r="A314" s="25" t="s">
        <v>1032</v>
      </c>
      <c r="B314" s="25" t="s">
        <v>958</v>
      </c>
      <c r="C314" s="25" t="s">
        <v>959</v>
      </c>
      <c r="D314" s="25" t="s">
        <v>960</v>
      </c>
      <c r="E314" s="26" t="s">
        <v>45</v>
      </c>
      <c r="F314" s="27" t="s">
        <v>45</v>
      </c>
      <c r="G314" s="28" t="s">
        <v>45</v>
      </c>
      <c r="H314" s="29"/>
      <c r="I314" s="29" t="s">
        <v>46</v>
      </c>
      <c r="J314" s="30">
        <v>10</v>
      </c>
      <c r="K314" s="31">
        <f>1989</f>
        <v>1989</v>
      </c>
      <c r="L314" s="32" t="s">
        <v>785</v>
      </c>
      <c r="M314" s="31">
        <f>1995</f>
        <v>1995</v>
      </c>
      <c r="N314" s="32" t="s">
        <v>875</v>
      </c>
      <c r="O314" s="31">
        <f>1967</f>
        <v>1967</v>
      </c>
      <c r="P314" s="32" t="s">
        <v>792</v>
      </c>
      <c r="Q314" s="31">
        <f>1967</f>
        <v>1967</v>
      </c>
      <c r="R314" s="32" t="s">
        <v>792</v>
      </c>
      <c r="S314" s="33">
        <f>1984.3</f>
        <v>1984.3</v>
      </c>
      <c r="T314" s="30">
        <f>290</f>
        <v>290</v>
      </c>
      <c r="U314" s="30" t="str">
        <f>"－"</f>
        <v>－</v>
      </c>
      <c r="V314" s="30">
        <f>576335</f>
        <v>576335</v>
      </c>
      <c r="W314" s="30" t="str">
        <f>"－"</f>
        <v>－</v>
      </c>
      <c r="X314" s="34">
        <f>5</f>
        <v>5</v>
      </c>
    </row>
    <row r="315" spans="1:24" ht="13.5" customHeight="1" x14ac:dyDescent="0.15">
      <c r="A315" s="25" t="s">
        <v>1032</v>
      </c>
      <c r="B315" s="25" t="s">
        <v>961</v>
      </c>
      <c r="C315" s="25" t="s">
        <v>962</v>
      </c>
      <c r="D315" s="25" t="s">
        <v>963</v>
      </c>
      <c r="E315" s="26" t="s">
        <v>45</v>
      </c>
      <c r="F315" s="27" t="s">
        <v>45</v>
      </c>
      <c r="G315" s="28" t="s">
        <v>45</v>
      </c>
      <c r="H315" s="29"/>
      <c r="I315" s="29" t="s">
        <v>46</v>
      </c>
      <c r="J315" s="30">
        <v>1</v>
      </c>
      <c r="K315" s="31">
        <f>1080</f>
        <v>1080</v>
      </c>
      <c r="L315" s="32" t="s">
        <v>996</v>
      </c>
      <c r="M315" s="31">
        <f>1118</f>
        <v>1118</v>
      </c>
      <c r="N315" s="32" t="s">
        <v>788</v>
      </c>
      <c r="O315" s="31">
        <f>1057</f>
        <v>1057</v>
      </c>
      <c r="P315" s="32" t="s">
        <v>255</v>
      </c>
      <c r="Q315" s="31">
        <f>1090</f>
        <v>1090</v>
      </c>
      <c r="R315" s="32" t="s">
        <v>997</v>
      </c>
      <c r="S315" s="33">
        <f>1085.6</f>
        <v>1085.5999999999999</v>
      </c>
      <c r="T315" s="30">
        <f>2801</f>
        <v>2801</v>
      </c>
      <c r="U315" s="30" t="str">
        <f>"－"</f>
        <v>－</v>
      </c>
      <c r="V315" s="30">
        <f>3035747</f>
        <v>3035747</v>
      </c>
      <c r="W315" s="30" t="str">
        <f>"－"</f>
        <v>－</v>
      </c>
      <c r="X315" s="34">
        <f>20</f>
        <v>20</v>
      </c>
    </row>
    <row r="316" spans="1:24" ht="13.5" customHeight="1" x14ac:dyDescent="0.15">
      <c r="A316" s="25" t="s">
        <v>1032</v>
      </c>
      <c r="B316" s="25" t="s">
        <v>964</v>
      </c>
      <c r="C316" s="25" t="s">
        <v>965</v>
      </c>
      <c r="D316" s="25" t="s">
        <v>966</v>
      </c>
      <c r="E316" s="26" t="s">
        <v>45</v>
      </c>
      <c r="F316" s="27" t="s">
        <v>45</v>
      </c>
      <c r="G316" s="28" t="s">
        <v>45</v>
      </c>
      <c r="H316" s="29"/>
      <c r="I316" s="29" t="s">
        <v>46</v>
      </c>
      <c r="J316" s="30">
        <v>1</v>
      </c>
      <c r="K316" s="31">
        <f>990</f>
        <v>990</v>
      </c>
      <c r="L316" s="32" t="s">
        <v>996</v>
      </c>
      <c r="M316" s="31">
        <f>1009</f>
        <v>1009</v>
      </c>
      <c r="N316" s="32" t="s">
        <v>997</v>
      </c>
      <c r="O316" s="31">
        <f>971</f>
        <v>971</v>
      </c>
      <c r="P316" s="32" t="s">
        <v>1003</v>
      </c>
      <c r="Q316" s="31">
        <f>1008</f>
        <v>1008</v>
      </c>
      <c r="R316" s="32" t="s">
        <v>997</v>
      </c>
      <c r="S316" s="33">
        <f>990.9</f>
        <v>990.9</v>
      </c>
      <c r="T316" s="30">
        <f>441266</f>
        <v>441266</v>
      </c>
      <c r="U316" s="30">
        <f>2</f>
        <v>2</v>
      </c>
      <c r="V316" s="30">
        <f>436991965</f>
        <v>436991965</v>
      </c>
      <c r="W316" s="30">
        <f>2000</f>
        <v>2000</v>
      </c>
      <c r="X316" s="34">
        <f>20</f>
        <v>20</v>
      </c>
    </row>
    <row r="317" spans="1:24" ht="13.5" customHeight="1" x14ac:dyDescent="0.15">
      <c r="A317" s="25" t="s">
        <v>1032</v>
      </c>
      <c r="B317" s="25" t="s">
        <v>967</v>
      </c>
      <c r="C317" s="25" t="s">
        <v>968</v>
      </c>
      <c r="D317" s="25" t="s">
        <v>969</v>
      </c>
      <c r="E317" s="26" t="s">
        <v>45</v>
      </c>
      <c r="F317" s="27" t="s">
        <v>45</v>
      </c>
      <c r="G317" s="28" t="s">
        <v>45</v>
      </c>
      <c r="H317" s="29"/>
      <c r="I317" s="29" t="s">
        <v>46</v>
      </c>
      <c r="J317" s="30">
        <v>1</v>
      </c>
      <c r="K317" s="31">
        <f>900</f>
        <v>900</v>
      </c>
      <c r="L317" s="32" t="s">
        <v>996</v>
      </c>
      <c r="M317" s="31">
        <f>913</f>
        <v>913</v>
      </c>
      <c r="N317" s="32" t="s">
        <v>792</v>
      </c>
      <c r="O317" s="31">
        <f>885</f>
        <v>885</v>
      </c>
      <c r="P317" s="32" t="s">
        <v>1003</v>
      </c>
      <c r="Q317" s="31">
        <f>904</f>
        <v>904</v>
      </c>
      <c r="R317" s="32" t="s">
        <v>997</v>
      </c>
      <c r="S317" s="33">
        <f>899.8</f>
        <v>899.8</v>
      </c>
      <c r="T317" s="30">
        <f>1213757</f>
        <v>1213757</v>
      </c>
      <c r="U317" s="30">
        <f>1645</f>
        <v>1645</v>
      </c>
      <c r="V317" s="30">
        <f>1089311791</f>
        <v>1089311791</v>
      </c>
      <c r="W317" s="30">
        <f>1463876</f>
        <v>1463876</v>
      </c>
      <c r="X317" s="34">
        <f>20</f>
        <v>20</v>
      </c>
    </row>
    <row r="318" spans="1:24" ht="13.5" customHeight="1" x14ac:dyDescent="0.15">
      <c r="A318" s="25" t="s">
        <v>1032</v>
      </c>
      <c r="B318" s="25" t="s">
        <v>974</v>
      </c>
      <c r="C318" s="25" t="s">
        <v>975</v>
      </c>
      <c r="D318" s="25" t="s">
        <v>976</v>
      </c>
      <c r="E318" s="26" t="s">
        <v>45</v>
      </c>
      <c r="F318" s="27" t="s">
        <v>45</v>
      </c>
      <c r="G318" s="28" t="s">
        <v>45</v>
      </c>
      <c r="H318" s="29"/>
      <c r="I318" s="29" t="s">
        <v>46</v>
      </c>
      <c r="J318" s="30">
        <v>1</v>
      </c>
      <c r="K318" s="31">
        <f>999</f>
        <v>999</v>
      </c>
      <c r="L318" s="32" t="s">
        <v>996</v>
      </c>
      <c r="M318" s="31">
        <f>1000</f>
        <v>1000</v>
      </c>
      <c r="N318" s="32" t="s">
        <v>996</v>
      </c>
      <c r="O318" s="31">
        <f>925</f>
        <v>925</v>
      </c>
      <c r="P318" s="32" t="s">
        <v>786</v>
      </c>
      <c r="Q318" s="31">
        <f>950</f>
        <v>950</v>
      </c>
      <c r="R318" s="32" t="s">
        <v>997</v>
      </c>
      <c r="S318" s="33">
        <f>963.85</f>
        <v>963.85</v>
      </c>
      <c r="T318" s="30">
        <f>31699</f>
        <v>31699</v>
      </c>
      <c r="U318" s="30" t="str">
        <f>"－"</f>
        <v>－</v>
      </c>
      <c r="V318" s="30">
        <f>30474198</f>
        <v>30474198</v>
      </c>
      <c r="W318" s="30" t="str">
        <f>"－"</f>
        <v>－</v>
      </c>
      <c r="X318" s="34">
        <f>20</f>
        <v>20</v>
      </c>
    </row>
    <row r="319" spans="1:24" ht="13.5" customHeight="1" x14ac:dyDescent="0.15">
      <c r="A319" s="25" t="s">
        <v>1032</v>
      </c>
      <c r="B319" s="25" t="s">
        <v>977</v>
      </c>
      <c r="C319" s="25" t="s">
        <v>978</v>
      </c>
      <c r="D319" s="25" t="s">
        <v>979</v>
      </c>
      <c r="E319" s="26" t="s">
        <v>45</v>
      </c>
      <c r="F319" s="27" t="s">
        <v>45</v>
      </c>
      <c r="G319" s="28" t="s">
        <v>45</v>
      </c>
      <c r="H319" s="29"/>
      <c r="I319" s="29" t="s">
        <v>46</v>
      </c>
      <c r="J319" s="30">
        <v>1</v>
      </c>
      <c r="K319" s="31">
        <f>933</f>
        <v>933</v>
      </c>
      <c r="L319" s="32" t="s">
        <v>996</v>
      </c>
      <c r="M319" s="31">
        <f>941</f>
        <v>941</v>
      </c>
      <c r="N319" s="32" t="s">
        <v>80</v>
      </c>
      <c r="O319" s="31">
        <f>915</f>
        <v>915</v>
      </c>
      <c r="P319" s="32" t="s">
        <v>1003</v>
      </c>
      <c r="Q319" s="31">
        <f>938</f>
        <v>938</v>
      </c>
      <c r="R319" s="32" t="s">
        <v>997</v>
      </c>
      <c r="S319" s="33">
        <f>929.8</f>
        <v>929.8</v>
      </c>
      <c r="T319" s="30">
        <f>330925</f>
        <v>330925</v>
      </c>
      <c r="U319" s="30" t="str">
        <f>"－"</f>
        <v>－</v>
      </c>
      <c r="V319" s="30">
        <f>307189268</f>
        <v>307189268</v>
      </c>
      <c r="W319" s="30" t="str">
        <f>"－"</f>
        <v>－</v>
      </c>
      <c r="X319" s="34">
        <f>20</f>
        <v>20</v>
      </c>
    </row>
    <row r="320" spans="1:24" ht="13.5" customHeight="1" x14ac:dyDescent="0.15">
      <c r="A320" s="25" t="s">
        <v>1032</v>
      </c>
      <c r="B320" s="25" t="s">
        <v>980</v>
      </c>
      <c r="C320" s="25" t="s">
        <v>981</v>
      </c>
      <c r="D320" s="25" t="s">
        <v>1089</v>
      </c>
      <c r="E320" s="26" t="s">
        <v>45</v>
      </c>
      <c r="F320" s="27" t="s">
        <v>45</v>
      </c>
      <c r="G320" s="28" t="s">
        <v>45</v>
      </c>
      <c r="H320" s="29"/>
      <c r="I320" s="29" t="s">
        <v>46</v>
      </c>
      <c r="J320" s="30">
        <v>1</v>
      </c>
      <c r="K320" s="31">
        <f>23470</f>
        <v>23470</v>
      </c>
      <c r="L320" s="32" t="s">
        <v>996</v>
      </c>
      <c r="M320" s="31">
        <f>23525</f>
        <v>23525</v>
      </c>
      <c r="N320" s="32" t="s">
        <v>785</v>
      </c>
      <c r="O320" s="31">
        <f>22360</f>
        <v>22360</v>
      </c>
      <c r="P320" s="32" t="s">
        <v>255</v>
      </c>
      <c r="Q320" s="31">
        <f>23350</f>
        <v>23350</v>
      </c>
      <c r="R320" s="32" t="s">
        <v>997</v>
      </c>
      <c r="S320" s="33">
        <f>23017</f>
        <v>23017</v>
      </c>
      <c r="T320" s="30">
        <f>320233</f>
        <v>320233</v>
      </c>
      <c r="U320" s="30" t="str">
        <f>"－"</f>
        <v>－</v>
      </c>
      <c r="V320" s="30">
        <f>7364841280</f>
        <v>7364841280</v>
      </c>
      <c r="W320" s="30" t="str">
        <f>"－"</f>
        <v>－</v>
      </c>
      <c r="X320" s="34">
        <f>20</f>
        <v>20</v>
      </c>
    </row>
    <row r="321" spans="1:24" ht="13.5" customHeight="1" x14ac:dyDescent="0.15">
      <c r="A321" s="25" t="s">
        <v>1032</v>
      </c>
      <c r="B321" s="25" t="s">
        <v>983</v>
      </c>
      <c r="C321" s="25" t="s">
        <v>984</v>
      </c>
      <c r="D321" s="25" t="s">
        <v>1090</v>
      </c>
      <c r="E321" s="26" t="s">
        <v>45</v>
      </c>
      <c r="F321" s="27" t="s">
        <v>45</v>
      </c>
      <c r="G321" s="28" t="s">
        <v>45</v>
      </c>
      <c r="H321" s="29"/>
      <c r="I321" s="29" t="s">
        <v>46</v>
      </c>
      <c r="J321" s="30">
        <v>1</v>
      </c>
      <c r="K321" s="31">
        <f>45690</f>
        <v>45690</v>
      </c>
      <c r="L321" s="32" t="s">
        <v>996</v>
      </c>
      <c r="M321" s="31">
        <f>47760</f>
        <v>47760</v>
      </c>
      <c r="N321" s="32" t="s">
        <v>56</v>
      </c>
      <c r="O321" s="31">
        <f>45330</f>
        <v>45330</v>
      </c>
      <c r="P321" s="32" t="s">
        <v>997</v>
      </c>
      <c r="Q321" s="31">
        <f>45400</f>
        <v>45400</v>
      </c>
      <c r="R321" s="32" t="s">
        <v>997</v>
      </c>
      <c r="S321" s="33">
        <f>46383.5</f>
        <v>46383.5</v>
      </c>
      <c r="T321" s="30">
        <f>197643</f>
        <v>197643</v>
      </c>
      <c r="U321" s="30">
        <f>4</f>
        <v>4</v>
      </c>
      <c r="V321" s="30">
        <f>9195795430</f>
        <v>9195795430</v>
      </c>
      <c r="W321" s="30">
        <f>188590</f>
        <v>188590</v>
      </c>
      <c r="X321" s="34">
        <f>20</f>
        <v>20</v>
      </c>
    </row>
  </sheetData>
  <mergeCells count="3">
    <mergeCell ref="N1:X3"/>
    <mergeCell ref="A2:M2"/>
    <mergeCell ref="A3:M3"/>
  </mergeCells>
  <phoneticPr fontId="3"/>
  <printOptions horizontalCentered="1"/>
  <pageMargins left="0.39370078740157483" right="0.39370078740157483" top="0.39370078740157483" bottom="0.59055118110236227" header="0.27559055118110237" footer="0.27559055118110237"/>
  <pageSetup paperSize="9" scale="34" fitToHeight="0" orientation="landscape" r:id="rId1"/>
  <headerFooter>
    <oddFooter>&amp;C&amp;P/&amp;N&amp;RCopyright (c) Tokyo Stock Exchange, Inc. All Rights Reserved.</oddFooter>
  </headerFooter>
  <customProperties>
    <customPr name="layoutContexts" r:id="rId2"/>
  </customProperties>
</worksheet>
</file>

<file path=docMetadata/LabelInfo.xml><?xml version="1.0" encoding="utf-8"?>
<clbl:labelList xmlns:clbl="http://schemas.microsoft.com/office/2020/mipLabelMetadata">
  <clbl:label id="{194db3f9-2286-46b9-ba58-9c0f26e25b2c}" enabled="1" method="Standar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12</vt:i4>
      </vt:variant>
    </vt:vector>
  </HeadingPairs>
  <TitlesOfParts>
    <vt:vector size="24" baseType="lpstr">
      <vt:lpstr>2023.12</vt:lpstr>
      <vt:lpstr>2023.11</vt:lpstr>
      <vt:lpstr>2023.10</vt:lpstr>
      <vt:lpstr>2023.09</vt:lpstr>
      <vt:lpstr>2023.08</vt:lpstr>
      <vt:lpstr>2023.07</vt:lpstr>
      <vt:lpstr>2023.06</vt:lpstr>
      <vt:lpstr>2023.05</vt:lpstr>
      <vt:lpstr>2023.04</vt:lpstr>
      <vt:lpstr>2023.03</vt:lpstr>
      <vt:lpstr>2023.02</vt:lpstr>
      <vt:lpstr>2023.01</vt:lpstr>
      <vt:lpstr>'2023.01'!Print_Titles</vt:lpstr>
      <vt:lpstr>'2023.02'!Print_Titles</vt:lpstr>
      <vt:lpstr>'2023.03'!Print_Titles</vt:lpstr>
      <vt:lpstr>'2023.04'!Print_Titles</vt:lpstr>
      <vt:lpstr>'2023.05'!Print_Titles</vt:lpstr>
      <vt:lpstr>'2023.06'!Print_Titles</vt:lpstr>
      <vt:lpstr>'2023.07'!Print_Titles</vt:lpstr>
      <vt:lpstr>'2023.08'!Print_Titles</vt:lpstr>
      <vt:lpstr>'2023.09'!Print_Titles</vt:lpstr>
      <vt:lpstr>'2023.10'!Print_Titles</vt:lpstr>
      <vt:lpstr>'2023.11'!Print_Titles</vt:lpstr>
      <vt:lpstr>'2023.12'!Print_Titles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小林 麻子</dc:creator>
  <cp:lastModifiedBy>Kobayashi, Asako (小林 麻子)</cp:lastModifiedBy>
  <cp:lastPrinted>2023-11-09T04:17:30Z</cp:lastPrinted>
  <dcterms:created xsi:type="dcterms:W3CDTF">2022-02-07T04:54:12Z</dcterms:created>
  <dcterms:modified xsi:type="dcterms:W3CDTF">2024-01-10T00:49:40Z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sum">
    <vt:filetime>2023-04-05T05:55:28Z</vt:filetime>
  </property>
</Properties>
</file>