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<sst xmlns="http://schemas.openxmlformats.org/spreadsheetml/2006/main" count="528" uniqueCount="129">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</sst>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DATE(2026,05,11)</f>
        <v>46153.0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DATE(2026,05,11)</f>
        <v>46153.0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627735.0</f>
        <v>627735.0</v>
      </c>
      <c r="E12" s="18" t="n">
        <f>33945.0</f>
        <v>33945.0</v>
      </c>
      <c r="F12" s="19" t="n">
        <f>1.0</f>
        <v>1.0</v>
      </c>
      <c r="G12" s="17" t="n">
        <f>4303429308650.0</f>
        <v>4.30342930865E12</v>
      </c>
      <c r="H12" s="18" t="n">
        <f>288577688450.0</f>
        <v>2.8857768845E11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396224.0</f>
        <v>396224.0</v>
      </c>
      <c r="E13" s="22" t="n">
        <f>22096.0</f>
        <v>22096.0</v>
      </c>
      <c r="F13" s="23" t="n">
        <f>1.0</f>
        <v>1.0</v>
      </c>
      <c r="G13" s="21" t="n">
        <f>3716291825040.0</f>
        <v>3.71629182504E12</v>
      </c>
      <c r="H13" s="22" t="n">
        <f>248429886740.0</f>
        <v>2.4842988674E11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400751.0</f>
        <v>400751.0</v>
      </c>
      <c r="E14" s="22" t="n">
        <f>38998.0</f>
        <v>38998.0</v>
      </c>
      <c r="F14" s="23" t="n">
        <f>1.0</f>
        <v>1.0</v>
      </c>
      <c r="G14" s="21" t="n">
        <f>5493739438002.0</f>
        <v>5.493739438002E12</v>
      </c>
      <c r="H14" s="22" t="n">
        <f>1253190304577.0</f>
        <v>1.253190304577E12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1424710.0</f>
        <v>1424710.0</v>
      </c>
      <c r="E15" s="26" t="n">
        <f>95039.0</f>
        <v>95039.0</v>
      </c>
      <c r="F15" s="27" t="n">
        <f>1.0</f>
        <v>1.0</v>
      </c>
      <c r="G15" s="25" t="n">
        <f>13513460571692.0</f>
        <v>1.3513460571692E13</v>
      </c>
      <c r="H15" s="26" t="n">
        <f>1790197879767.0</f>
        <v>1.790197879767E12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12556.0</f>
        <v>12556.0</v>
      </c>
      <c r="E16" s="18" t="n">
        <f>178.0</f>
        <v>178.0</v>
      </c>
      <c r="F16" s="19" t="n">
        <f>0.02</f>
        <v>0.02</v>
      </c>
      <c r="G16" s="17" t="n">
        <f>1303009021250.0</f>
        <v>1.30300902125E12</v>
      </c>
      <c r="H16" s="18" t="n">
        <f>23088430000.0</f>
        <v>2.308843E10</v>
      </c>
      <c r="I16" s="19" t="n">
        <f>0.303</f>
        <v>0.303</v>
      </c>
    </row>
    <row r="17" spans="1:9" ht="24.9" customHeight="1">
      <c r="A17" s="41"/>
      <c r="B17" s="39"/>
      <c r="C17" s="20" t="s">
        <v>16</v>
      </c>
      <c r="D17" s="21" t="n">
        <f>11322.0</f>
        <v>11322.0</v>
      </c>
      <c r="E17" s="22" t="n">
        <f>369.0</f>
        <v>369.0</v>
      </c>
      <c r="F17" s="23" t="n">
        <f>0.029</f>
        <v>0.029</v>
      </c>
      <c r="G17" s="21" t="n">
        <f>1202717480000.0</f>
        <v>1.20271748E12</v>
      </c>
      <c r="H17" s="22" t="n">
        <f>47838060000.0</f>
        <v>4.783806E10</v>
      </c>
      <c r="I17" s="23" t="n">
        <f>0.324</f>
        <v>0.324</v>
      </c>
    </row>
    <row r="18" spans="1:9" ht="24.9" customHeight="1">
      <c r="A18" s="41"/>
      <c r="B18" s="39"/>
      <c r="C18" s="20" t="s">
        <v>17</v>
      </c>
      <c r="D18" s="21" t="n">
        <f>18840.0</f>
        <v>18840.0</v>
      </c>
      <c r="E18" s="22" t="n">
        <f>637.0</f>
        <v>637.0</v>
      </c>
      <c r="F18" s="23" t="n">
        <f>0.047</f>
        <v>0.047</v>
      </c>
      <c r="G18" s="21" t="n">
        <f>1783676902125.0</f>
        <v>1.783676902125E12</v>
      </c>
      <c r="H18" s="22" t="n">
        <f>82451190000.0</f>
        <v>8.245119E10</v>
      </c>
      <c r="I18" s="23" t="n">
        <f>0.325</f>
        <v>0.325</v>
      </c>
    </row>
    <row r="19" spans="1:9" ht="24.9" customHeight="1">
      <c r="A19" s="41"/>
      <c r="B19" s="39"/>
      <c r="C19" s="24" t="s">
        <v>18</v>
      </c>
      <c r="D19" s="25" t="n">
        <f>42718.0</f>
        <v>42718.0</v>
      </c>
      <c r="E19" s="26" t="n">
        <f>1184.0</f>
        <v>1184.0</v>
      </c>
      <c r="F19" s="27" t="n">
        <f>0.03</f>
        <v>0.03</v>
      </c>
      <c r="G19" s="25" t="n">
        <f>4289403403375.0</f>
        <v>4.289403403375E12</v>
      </c>
      <c r="H19" s="26" t="n">
        <f>153377680000.0</f>
        <v>1.5337768E11</v>
      </c>
      <c r="I19" s="27" t="n">
        <f>0.317</f>
        <v>0.317</v>
      </c>
    </row>
    <row r="20" spans="1:9" ht="24.9" customHeight="1">
      <c r="A20" s="41"/>
      <c r="B20" s="39" t="s">
        <v>21</v>
      </c>
      <c r="C20" s="16" t="s">
        <v>15</v>
      </c>
      <c r="D20" s="17" t="n">
        <f>603217.0</f>
        <v>603217.0</v>
      </c>
      <c r="E20" s="18" t="n">
        <f>33767.0</f>
        <v>33767.0</v>
      </c>
      <c r="F20" s="19" t="n">
        <f>0.961</f>
        <v>0.961</v>
      </c>
      <c r="G20" s="17" t="n">
        <f>2885978805650.0</f>
        <v>2.88597880565E12</v>
      </c>
      <c r="H20" s="18" t="n">
        <f>265489258450.0</f>
        <v>2.6548925845E11</v>
      </c>
      <c r="I20" s="19" t="n">
        <f>0.671</f>
        <v>0.671</v>
      </c>
    </row>
    <row r="21" spans="1:9" ht="24.9" customHeight="1">
      <c r="A21" s="41"/>
      <c r="B21" s="39"/>
      <c r="C21" s="20" t="s">
        <v>16</v>
      </c>
      <c r="D21" s="21" t="n">
        <f>376662.0</f>
        <v>376662.0</v>
      </c>
      <c r="E21" s="22" t="n">
        <f>21727.0</f>
        <v>21727.0</v>
      </c>
      <c r="F21" s="23" t="n">
        <f>0.951</f>
        <v>0.951</v>
      </c>
      <c r="G21" s="21" t="n">
        <f>2423157427990.0</f>
        <v>2.42315742799E12</v>
      </c>
      <c r="H21" s="22" t="n">
        <f>200591826740.0</f>
        <v>2.0059182674E11</v>
      </c>
      <c r="I21" s="23" t="n">
        <f>0.652</f>
        <v>0.652</v>
      </c>
    </row>
    <row r="22" spans="1:9" ht="24.9" customHeight="1">
      <c r="A22" s="41"/>
      <c r="B22" s="39"/>
      <c r="C22" s="20" t="s">
        <v>17</v>
      </c>
      <c r="D22" s="21" t="n">
        <f>371904.0</f>
        <v>371904.0</v>
      </c>
      <c r="E22" s="22" t="n">
        <f>38361.0</f>
        <v>38361.0</v>
      </c>
      <c r="F22" s="23" t="n">
        <f>0.928</f>
        <v>0.928</v>
      </c>
      <c r="G22" s="21" t="n">
        <f>3631958320677.0</f>
        <v>3.631958320677E12</v>
      </c>
      <c r="H22" s="22" t="n">
        <f>1170739114577.0</f>
        <v>1.170739114577E12</v>
      </c>
      <c r="I22" s="23" t="n">
        <f>0.661</f>
        <v>0.661</v>
      </c>
    </row>
    <row r="23" spans="1:9" ht="24.9" customHeight="1">
      <c r="A23" s="41"/>
      <c r="B23" s="39"/>
      <c r="C23" s="24" t="s">
        <v>18</v>
      </c>
      <c r="D23" s="25" t="n">
        <f>1351783.0</f>
        <v>1351783.0</v>
      </c>
      <c r="E23" s="26" t="n">
        <f>93855.0</f>
        <v>93855.0</v>
      </c>
      <c r="F23" s="27" t="n">
        <f>0.949</f>
        <v>0.949</v>
      </c>
      <c r="G23" s="25" t="n">
        <f>8941094554317.0</f>
        <v>8.941094554317E12</v>
      </c>
      <c r="H23" s="26" t="n">
        <f>1636820199767.0</f>
        <v>1.636820199767E12</v>
      </c>
      <c r="I23" s="27" t="n">
        <f>0.662</f>
        <v>0.662</v>
      </c>
    </row>
    <row r="24" spans="1:9" ht="24.9" customHeight="1">
      <c r="A24" s="41"/>
      <c r="B24" s="39" t="s">
        <v>22</v>
      </c>
      <c r="C24" s="16" t="s">
        <v>15</v>
      </c>
      <c r="D24" s="17" t="n">
        <f>10269.0</f>
        <v>10269.0</v>
      </c>
      <c r="E24" s="18" t="n">
        <f>0.0</f>
        <v>0.0</v>
      </c>
      <c r="F24" s="19" t="n">
        <f>0.016</f>
        <v>0.016</v>
      </c>
      <c r="G24" s="17" t="n">
        <f>107433889250.0</f>
        <v>1.0743388925E11</v>
      </c>
      <c r="H24" s="18" t="n">
        <f>0.0</f>
        <v>0.0</v>
      </c>
      <c r="I24" s="19" t="n">
        <f>0.025</f>
        <v>0.025</v>
      </c>
    </row>
    <row r="25" spans="1:9" ht="24.9" customHeight="1">
      <c r="A25" s="41"/>
      <c r="B25" s="39"/>
      <c r="C25" s="20" t="s">
        <v>16</v>
      </c>
      <c r="D25" s="21" t="n">
        <f>7574.0</f>
        <v>7574.0</v>
      </c>
      <c r="E25" s="22" t="n">
        <f>0.0</f>
        <v>0.0</v>
      </c>
      <c r="F25" s="23" t="n">
        <f>0.019</f>
        <v>0.019</v>
      </c>
      <c r="G25" s="21" t="n">
        <f>87510041550.0</f>
        <v>8.751004155E10</v>
      </c>
      <c r="H25" s="22" t="n">
        <f>0.0</f>
        <v>0.0</v>
      </c>
      <c r="I25" s="23" t="n">
        <f>0.024</f>
        <v>0.024</v>
      </c>
    </row>
    <row r="26" spans="1:9" ht="24.9" customHeight="1">
      <c r="A26" s="41"/>
      <c r="B26" s="39"/>
      <c r="C26" s="20" t="s">
        <v>17</v>
      </c>
      <c r="D26" s="21" t="n">
        <f>7458.0</f>
        <v>7458.0</v>
      </c>
      <c r="E26" s="22" t="n">
        <f>0.0</f>
        <v>0.0</v>
      </c>
      <c r="F26" s="23" t="n">
        <f>0.019</f>
        <v>0.019</v>
      </c>
      <c r="G26" s="21" t="n">
        <f>66944973700.0</f>
        <v>6.69449737E10</v>
      </c>
      <c r="H26" s="22" t="n">
        <f>0.0</f>
        <v>0.0</v>
      </c>
      <c r="I26" s="23" t="n">
        <f>0.012</f>
        <v>0.012</v>
      </c>
    </row>
    <row r="27" spans="1:9" ht="24.9" customHeight="1">
      <c r="A27" s="42"/>
      <c r="B27" s="39"/>
      <c r="C27" s="24" t="s">
        <v>18</v>
      </c>
      <c r="D27" s="25" t="n">
        <f>25301.0</f>
        <v>25301.0</v>
      </c>
      <c r="E27" s="26" t="n">
        <f>0.0</f>
        <v>0.0</v>
      </c>
      <c r="F27" s="27" t="n">
        <f>0.018</f>
        <v>0.018</v>
      </c>
      <c r="G27" s="25" t="n">
        <f>261888904500.0</f>
        <v>2.618889045E11</v>
      </c>
      <c r="H27" s="26" t="n">
        <f>0.0</f>
        <v>0.0</v>
      </c>
      <c r="I27" s="27" t="n">
        <f>0.019</f>
        <v>0.019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1693.0</f>
        <v>1693.0</v>
      </c>
      <c r="E28" s="18" t="n">
        <f>0.0</f>
        <v>0.0</v>
      </c>
      <c r="F28" s="19" t="n">
        <f>0.003</f>
        <v>0.003</v>
      </c>
      <c r="G28" s="17" t="n">
        <f>7007592500.0</f>
        <v>7.0075925E9</v>
      </c>
      <c r="H28" s="18" t="n">
        <f>0.0</f>
        <v>0.0</v>
      </c>
      <c r="I28" s="19" t="n">
        <f>0.002</f>
        <v>0.002</v>
      </c>
    </row>
    <row r="29" spans="1:9" ht="24.9" customHeight="1">
      <c r="A29" s="38"/>
      <c r="B29" s="39"/>
      <c r="C29" s="20" t="s">
        <v>16</v>
      </c>
      <c r="D29" s="21" t="n">
        <f>666.0</f>
        <v>666.0</v>
      </c>
      <c r="E29" s="22" t="n">
        <f>0.0</f>
        <v>0.0</v>
      </c>
      <c r="F29" s="23" t="n">
        <f>0.002</f>
        <v>0.002</v>
      </c>
      <c r="G29" s="21" t="n">
        <f>2906875500.0</f>
        <v>2.9068755E9</v>
      </c>
      <c r="H29" s="22" t="n">
        <f>0.0</f>
        <v>0.0</v>
      </c>
      <c r="I29" s="23" t="n">
        <f>0.001</f>
        <v>0.001</v>
      </c>
    </row>
    <row r="30" spans="1:9" ht="24.9" customHeight="1">
      <c r="A30" s="38"/>
      <c r="B30" s="39"/>
      <c r="C30" s="20" t="s">
        <v>17</v>
      </c>
      <c r="D30" s="21" t="n">
        <f>2549.0</f>
        <v>2549.0</v>
      </c>
      <c r="E30" s="22" t="n">
        <f>0.0</f>
        <v>0.0</v>
      </c>
      <c r="F30" s="23" t="n">
        <f>0.006</f>
        <v>0.006</v>
      </c>
      <c r="G30" s="21" t="n">
        <f>11159241500.0</f>
        <v>1.11592415E10</v>
      </c>
      <c r="H30" s="22" t="n">
        <f>0.0</f>
        <v>0.0</v>
      </c>
      <c r="I30" s="23" t="n">
        <f>0.002</f>
        <v>0.002</v>
      </c>
    </row>
    <row r="31" spans="1:9" ht="24.9" customHeight="1">
      <c r="A31" s="38"/>
      <c r="B31" s="39"/>
      <c r="C31" s="24" t="s">
        <v>18</v>
      </c>
      <c r="D31" s="25" t="n">
        <f>4908.0</f>
        <v>4908.0</v>
      </c>
      <c r="E31" s="26" t="n">
        <f>0.0</f>
        <v>0.0</v>
      </c>
      <c r="F31" s="27" t="n">
        <f>0.003</f>
        <v>0.003</v>
      </c>
      <c r="G31" s="25" t="n">
        <f>21073709500.0</f>
        <v>2.10737095E10</v>
      </c>
      <c r="H31" s="26" t="n">
        <f>0.0</f>
        <v>0.0</v>
      </c>
      <c r="I31" s="27" t="n">
        <f>0.002</f>
        <v>0.002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46153.0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46153.0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57650</f>
        <v>57650.0</v>
      </c>
      <c r="E11" s="18" t="n">
        <f>7777</f>
        <v>7777.0</v>
      </c>
      <c r="F11" s="19" t="n">
        <f>1</f>
        <v>1.0</v>
      </c>
      <c r="G11" s="17" t="n">
        <f>14302635420</f>
        <v>1.430263542E10</v>
      </c>
      <c r="H11" s="18" t="n">
        <f>4098400320</f>
        <v>4.09840032E9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35509</f>
        <v>35509.0</v>
      </c>
      <c r="E12" s="22" t="n">
        <f>6036</f>
        <v>6036.0</v>
      </c>
      <c r="F12" s="23" t="n">
        <f>1</f>
        <v>1.0</v>
      </c>
      <c r="G12" s="21" t="n">
        <f>5598339016</f>
        <v>5.598339016E9</v>
      </c>
      <c r="H12" s="22" t="n">
        <f>2278476178</f>
        <v>2.278476178E9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58024</f>
        <v>58024.0</v>
      </c>
      <c r="E13" s="22" t="n">
        <f>31960</f>
        <v>31960.0</v>
      </c>
      <c r="F13" s="23" t="n">
        <f>1</f>
        <v>1.0</v>
      </c>
      <c r="G13" s="21" t="n">
        <f>31859852773</f>
        <v>3.1859852773E10</v>
      </c>
      <c r="H13" s="22" t="n">
        <f>28572306588</f>
        <v>2.8572306588E10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151183</f>
        <v>151183.0</v>
      </c>
      <c r="E14" s="26" t="n">
        <f>45773</f>
        <v>45773.0</v>
      </c>
      <c r="F14" s="27" t="n">
        <f>1</f>
        <v>1.0</v>
      </c>
      <c r="G14" s="25" t="n">
        <f>51760827209</f>
        <v>5.1760827209E10</v>
      </c>
      <c r="H14" s="26" t="n">
        <f>34949183086</f>
        <v>3.4949183086E10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0</f>
        <v>0.0</v>
      </c>
      <c r="E15" s="18" t="n">
        <f>0</f>
        <v>0.0</v>
      </c>
      <c r="F15" s="19" t="n">
        <f>0</f>
        <v>0.0</v>
      </c>
      <c r="G15" s="17" t="n">
        <f>0</f>
        <v>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18</f>
        <v>18.0</v>
      </c>
      <c r="E16" s="22" t="n">
        <f>0</f>
        <v>0.0</v>
      </c>
      <c r="F16" s="23" t="n">
        <f>0.001</f>
        <v>0.001</v>
      </c>
      <c r="G16" s="21" t="n">
        <f>2040000</f>
        <v>2040000.0</v>
      </c>
      <c r="H16" s="22" t="n">
        <f>0</f>
        <v>0.0</v>
      </c>
      <c r="I16" s="23" t="n">
        <f>0</f>
        <v>0.0</v>
      </c>
    </row>
    <row r="17" spans="1:9" ht="24.9" customHeight="1">
      <c r="A17" s="41"/>
      <c r="B17" s="39"/>
      <c r="C17" s="20" t="s">
        <v>17</v>
      </c>
      <c r="D17" s="21" t="n">
        <f>159</f>
        <v>159.0</v>
      </c>
      <c r="E17" s="22" t="n">
        <f>0</f>
        <v>0.0</v>
      </c>
      <c r="F17" s="23" t="n">
        <f>0.003</f>
        <v>0.003</v>
      </c>
      <c r="G17" s="21" t="n">
        <f>12870000</f>
        <v>1.287E7</v>
      </c>
      <c r="H17" s="22" t="n">
        <f>0</f>
        <v>0.0</v>
      </c>
      <c r="I17" s="23" t="n">
        <f>0</f>
        <v>0.0</v>
      </c>
    </row>
    <row r="18" spans="1:9" ht="24.9" customHeight="1">
      <c r="A18" s="41"/>
      <c r="B18" s="39"/>
      <c r="C18" s="24" t="s">
        <v>18</v>
      </c>
      <c r="D18" s="25" t="n">
        <f>177</f>
        <v>177.0</v>
      </c>
      <c r="E18" s="26" t="n">
        <f>0</f>
        <v>0.0</v>
      </c>
      <c r="F18" s="27" t="n">
        <f>0.001</f>
        <v>0.001</v>
      </c>
      <c r="G18" s="25" t="n">
        <f>14910000</f>
        <v>1.491E7</v>
      </c>
      <c r="H18" s="26" t="n">
        <f>0</f>
        <v>0.0</v>
      </c>
      <c r="I18" s="27" t="n">
        <f>0</f>
        <v>0.0</v>
      </c>
    </row>
    <row r="19" spans="1:9" ht="24.9" customHeight="1">
      <c r="A19" s="41"/>
      <c r="B19" s="39" t="s">
        <v>31</v>
      </c>
      <c r="C19" s="16" t="s">
        <v>15</v>
      </c>
      <c r="D19" s="17" t="n">
        <f>57650</f>
        <v>57650.0</v>
      </c>
      <c r="E19" s="18" t="n">
        <f>7777</f>
        <v>7777.0</v>
      </c>
      <c r="F19" s="19" t="n">
        <f>1</f>
        <v>1.0</v>
      </c>
      <c r="G19" s="17" t="n">
        <f>14302635420</f>
        <v>1.430263542E10</v>
      </c>
      <c r="H19" s="18" t="n">
        <f>4098400320</f>
        <v>4.09840032E9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23496</f>
        <v>23496.0</v>
      </c>
      <c r="E20" s="22" t="n">
        <f>4086</f>
        <v>4086.0</v>
      </c>
      <c r="F20" s="23" t="n">
        <f>0.662</f>
        <v>0.662</v>
      </c>
      <c r="G20" s="21" t="n">
        <f>5529767278</f>
        <v>5.529767278E9</v>
      </c>
      <c r="H20" s="22" t="n">
        <f>2271180178</f>
        <v>2.271180178E9</v>
      </c>
      <c r="I20" s="23" t="n">
        <f>0.988</f>
        <v>0.988</v>
      </c>
    </row>
    <row r="21" spans="1:9" ht="24.9" customHeight="1">
      <c r="A21" s="41"/>
      <c r="B21" s="39"/>
      <c r="C21" s="20" t="s">
        <v>17</v>
      </c>
      <c r="D21" s="21" t="n">
        <f>39705</f>
        <v>39705.0</v>
      </c>
      <c r="E21" s="22" t="n">
        <f>22360</f>
        <v>22360.0</v>
      </c>
      <c r="F21" s="23" t="n">
        <f>0.684</f>
        <v>0.684</v>
      </c>
      <c r="G21" s="21" t="n">
        <f>31443145588</f>
        <v>3.1443145588E10</v>
      </c>
      <c r="H21" s="22" t="n">
        <f>28280291588</f>
        <v>2.8280291588E10</v>
      </c>
      <c r="I21" s="23" t="n">
        <f>0.987</f>
        <v>0.987</v>
      </c>
    </row>
    <row r="22" spans="1:9" ht="24.9" customHeight="1">
      <c r="A22" s="41"/>
      <c r="B22" s="39"/>
      <c r="C22" s="24" t="s">
        <v>18</v>
      </c>
      <c r="D22" s="25" t="n">
        <f>120851</f>
        <v>120851.0</v>
      </c>
      <c r="E22" s="26" t="n">
        <f>34223</f>
        <v>34223.0</v>
      </c>
      <c r="F22" s="27" t="n">
        <f>0.799</f>
        <v>0.799</v>
      </c>
      <c r="G22" s="25" t="n">
        <f>51275548286</f>
        <v>5.1275548286E10</v>
      </c>
      <c r="H22" s="26" t="n">
        <f>34649872086</f>
        <v>3.4649872086E10</v>
      </c>
      <c r="I22" s="27" t="n">
        <f>0.991</f>
        <v>0.991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11995</f>
        <v>11995.0</v>
      </c>
      <c r="E24" s="22" t="n">
        <f>1950</f>
        <v>1950.0</v>
      </c>
      <c r="F24" s="23" t="n">
        <f>0.338</f>
        <v>0.338</v>
      </c>
      <c r="G24" s="21" t="n">
        <f>66531738</f>
        <v>6.6531738E7</v>
      </c>
      <c r="H24" s="22" t="n">
        <f>7296000</f>
        <v>7296000.0</v>
      </c>
      <c r="I24" s="23" t="n">
        <f>0.012</f>
        <v>0.012</v>
      </c>
    </row>
    <row r="25" spans="1:9" ht="24.9" customHeight="1">
      <c r="A25" s="41"/>
      <c r="B25" s="39"/>
      <c r="C25" s="20" t="s">
        <v>17</v>
      </c>
      <c r="D25" s="21" t="n">
        <f>18160</f>
        <v>18160.0</v>
      </c>
      <c r="E25" s="22" t="n">
        <f>9600</f>
        <v>9600.0</v>
      </c>
      <c r="F25" s="23" t="n">
        <f>0.313</f>
        <v>0.313</v>
      </c>
      <c r="G25" s="21" t="n">
        <f>403837185</f>
        <v>4.03837185E8</v>
      </c>
      <c r="H25" s="22" t="n">
        <f>292015000</f>
        <v>2.92015E8</v>
      </c>
      <c r="I25" s="23" t="n">
        <f>0.013</f>
        <v>0.013</v>
      </c>
    </row>
    <row r="26" spans="1:9" ht="24.9" customHeight="1">
      <c r="A26" s="41"/>
      <c r="B26" s="39"/>
      <c r="C26" s="24" t="s">
        <v>18</v>
      </c>
      <c r="D26" s="25" t="n">
        <f>30155</f>
        <v>30155.0</v>
      </c>
      <c r="E26" s="26" t="n">
        <f>11550</f>
        <v>11550.0</v>
      </c>
      <c r="F26" s="27" t="n">
        <f>0.199</f>
        <v>0.199</v>
      </c>
      <c r="G26" s="25" t="n">
        <f>470368923</f>
        <v>4.70368923E8</v>
      </c>
      <c r="H26" s="26" t="n">
        <f>299311000</f>
        <v>2.99311E8</v>
      </c>
      <c r="I26" s="27" t="n">
        <f>0.009</f>
        <v>0.009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46153.0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46153.0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7804.0</v>
      </c>
      <c r="F12" s="18" t="n">
        <f>943</f>
        <v>943.0</v>
      </c>
      <c r="G12" s="17" t="n">
        <v>4.9266666765E11</v>
      </c>
      <c r="H12" s="18" t="n">
        <f>59419049650</f>
        <v>5.941904965E10</v>
      </c>
    </row>
    <row r="13" spans="1:8" ht="24.9" customHeight="1">
      <c r="A13" s="51"/>
      <c r="B13" s="57"/>
      <c r="C13" s="39"/>
      <c r="D13" s="20" t="s">
        <v>16</v>
      </c>
      <c r="E13" s="21" t="n">
        <v>10767.0</v>
      </c>
      <c r="F13" s="22" t="n">
        <f>1081</f>
        <v>1081.0</v>
      </c>
      <c r="G13" s="21" t="n">
        <v>6.799898413E11</v>
      </c>
      <c r="H13" s="22" t="n">
        <f>68179440300</f>
        <v>6.81794403E10</v>
      </c>
    </row>
    <row r="14" spans="1:8" ht="24.9" customHeight="1">
      <c r="A14" s="51"/>
      <c r="B14" s="57"/>
      <c r="C14" s="39"/>
      <c r="D14" s="20" t="s">
        <v>17</v>
      </c>
      <c r="E14" s="21" t="n">
        <v>23301.0</v>
      </c>
      <c r="F14" s="22" t="n">
        <f>10939</f>
        <v>10939.0</v>
      </c>
      <c r="G14" s="21" t="n">
        <v>1.458387818271E12</v>
      </c>
      <c r="H14" s="22" t="n">
        <f>685149075271</f>
        <v>6.85149075271E11</v>
      </c>
    </row>
    <row r="15" spans="1:8" ht="24.9" customHeight="1">
      <c r="A15" s="51"/>
      <c r="B15" s="57"/>
      <c r="C15" s="39"/>
      <c r="D15" s="24" t="s">
        <v>18</v>
      </c>
      <c r="E15" s="25" t="n">
        <v>41872.0</v>
      </c>
      <c r="F15" s="26" t="n">
        <f>12963</f>
        <v>12963.0</v>
      </c>
      <c r="G15" s="25" t="n">
        <v>2.631044327221E12</v>
      </c>
      <c r="H15" s="26" t="n">
        <f>812747565221</f>
        <v>8.12747565221E11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247690.0</v>
      </c>
      <c r="F16" s="18" t="n">
        <f>32275</f>
        <v>32275.0</v>
      </c>
      <c r="G16" s="17" t="n">
        <v>1.56453331126E12</v>
      </c>
      <c r="H16" s="18" t="n">
        <f>203794786760</f>
        <v>2.0379478676E11</v>
      </c>
    </row>
    <row r="17" spans="1:8" ht="24.9" customHeight="1">
      <c r="A17" s="51"/>
      <c r="B17" s="57"/>
      <c r="C17" s="39"/>
      <c r="D17" s="20" t="s">
        <v>16</v>
      </c>
      <c r="E17" s="21" t="n">
        <v>162322.0</v>
      </c>
      <c r="F17" s="22" t="n">
        <f>20324</f>
        <v>20324.0</v>
      </c>
      <c r="G17" s="21" t="n">
        <v>1.02528313939E12</v>
      </c>
      <c r="H17" s="22" t="n">
        <f>128357182390</f>
        <v>1.2835718239E11</v>
      </c>
    </row>
    <row r="18" spans="1:8" ht="24.9" customHeight="1">
      <c r="A18" s="51"/>
      <c r="B18" s="57"/>
      <c r="C18" s="39"/>
      <c r="D18" s="20" t="s">
        <v>17</v>
      </c>
      <c r="E18" s="21" t="n">
        <v>144782.0</v>
      </c>
      <c r="F18" s="22" t="n">
        <f>16478</f>
        <v>16478.0</v>
      </c>
      <c r="G18" s="21" t="n">
        <v>9.0595472929E11</v>
      </c>
      <c r="H18" s="22" t="n">
        <f>103108770290</f>
        <v>1.0310877029E11</v>
      </c>
    </row>
    <row r="19" spans="1:8" ht="24.9" customHeight="1">
      <c r="A19" s="51"/>
      <c r="B19" s="57"/>
      <c r="C19" s="39"/>
      <c r="D19" s="24" t="s">
        <v>18</v>
      </c>
      <c r="E19" s="25" t="n">
        <v>554794.0</v>
      </c>
      <c r="F19" s="26" t="n">
        <f>69077</f>
        <v>69077.0</v>
      </c>
      <c r="G19" s="25" t="n">
        <v>3.49577117994E12</v>
      </c>
      <c r="H19" s="26" t="n">
        <f>435260739440</f>
        <v>4.3526073944E11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326457.0</v>
      </c>
      <c r="F20" s="18" t="str">
        <f>"－"</f>
        <v>－</v>
      </c>
      <c r="G20" s="17" t="n">
        <v>2.062203476E11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178583.0</v>
      </c>
      <c r="F21" s="22" t="str">
        <f>"－"</f>
        <v>－</v>
      </c>
      <c r="G21" s="21" t="n">
        <v>1.12726235E11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164142.0</v>
      </c>
      <c r="F22" s="22" t="str">
        <f>"－"</f>
        <v>－</v>
      </c>
      <c r="G22" s="21" t="n">
        <v>1.027332268E11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669182.0</v>
      </c>
      <c r="F23" s="26" t="str">
        <f>"－"</f>
        <v>－</v>
      </c>
      <c r="G23" s="25" t="n">
        <v>4.216798094E11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15731.0</v>
      </c>
      <c r="F24" s="18" t="n">
        <f>14</f>
        <v>14.0</v>
      </c>
      <c r="G24" s="17" t="n">
        <v>6.04618486E11</v>
      </c>
      <c r="H24" s="18" t="n">
        <f>538086000</f>
        <v>5.38086E8</v>
      </c>
    </row>
    <row r="25" spans="1:8" ht="24.9" customHeight="1">
      <c r="A25" s="51"/>
      <c r="B25" s="57"/>
      <c r="C25" s="39"/>
      <c r="D25" s="20" t="s">
        <v>16</v>
      </c>
      <c r="E25" s="21" t="n">
        <v>14868.0</v>
      </c>
      <c r="F25" s="22" t="n">
        <f>84</f>
        <v>84.0</v>
      </c>
      <c r="G25" s="21" t="n">
        <v>5.7258508E11</v>
      </c>
      <c r="H25" s="22" t="n">
        <f>3239195000</f>
        <v>3.239195E9</v>
      </c>
    </row>
    <row r="26" spans="1:8" ht="24.9" customHeight="1">
      <c r="A26" s="51"/>
      <c r="B26" s="57"/>
      <c r="C26" s="39"/>
      <c r="D26" s="20" t="s">
        <v>17</v>
      </c>
      <c r="E26" s="21" t="n">
        <v>29578.0</v>
      </c>
      <c r="F26" s="22" t="n">
        <f>9888</f>
        <v>9888.0</v>
      </c>
      <c r="G26" s="21" t="n">
        <v>1.136034329346E12</v>
      </c>
      <c r="H26" s="22" t="n">
        <f>379969414346</f>
        <v>3.79969414346E11</v>
      </c>
    </row>
    <row r="27" spans="1:8" ht="24.9" customHeight="1">
      <c r="A27" s="51"/>
      <c r="B27" s="57"/>
      <c r="C27" s="39"/>
      <c r="D27" s="24" t="s">
        <v>18</v>
      </c>
      <c r="E27" s="25" t="n">
        <v>60177.0</v>
      </c>
      <c r="F27" s="26" t="n">
        <f>9986</f>
        <v>9986.0</v>
      </c>
      <c r="G27" s="25" t="n">
        <v>2.313237895346E12</v>
      </c>
      <c r="H27" s="26" t="n">
        <f>383746695346</f>
        <v>3.83746695346E11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3871.0</v>
      </c>
      <c r="F28" s="18" t="n">
        <f>386</f>
        <v>386.0</v>
      </c>
      <c r="G28" s="17" t="n">
        <v>1.487934525E10</v>
      </c>
      <c r="H28" s="18" t="n">
        <f>1483417250</f>
        <v>1.48341725E9</v>
      </c>
    </row>
    <row r="29" spans="1:8" ht="24.9" customHeight="1">
      <c r="A29" s="51"/>
      <c r="B29" s="57"/>
      <c r="C29" s="39"/>
      <c r="D29" s="20" t="s">
        <v>16</v>
      </c>
      <c r="E29" s="21" t="n">
        <v>6622.0</v>
      </c>
      <c r="F29" s="22" t="n">
        <f>201</f>
        <v>201.0</v>
      </c>
      <c r="G29" s="21" t="n">
        <v>2.54984028E10</v>
      </c>
      <c r="H29" s="22" t="n">
        <f>774441550</f>
        <v>7.7444155E8</v>
      </c>
    </row>
    <row r="30" spans="1:8" ht="24.9" customHeight="1">
      <c r="A30" s="51"/>
      <c r="B30" s="57"/>
      <c r="C30" s="39"/>
      <c r="D30" s="20" t="s">
        <v>17</v>
      </c>
      <c r="E30" s="21" t="n">
        <v>5116.0</v>
      </c>
      <c r="F30" s="22" t="n">
        <f>312</f>
        <v>312.0</v>
      </c>
      <c r="G30" s="21" t="n">
        <v>1.96443438E10</v>
      </c>
      <c r="H30" s="22" t="n">
        <f>1198645800</f>
        <v>1.1986458E9</v>
      </c>
    </row>
    <row r="31" spans="1:8" ht="24.9" customHeight="1">
      <c r="A31" s="51"/>
      <c r="B31" s="57"/>
      <c r="C31" s="39"/>
      <c r="D31" s="24" t="s">
        <v>18</v>
      </c>
      <c r="E31" s="25" t="n">
        <v>15609.0</v>
      </c>
      <c r="F31" s="26" t="n">
        <f>899</f>
        <v>899.0</v>
      </c>
      <c r="G31" s="25" t="n">
        <v>6.002209185E10</v>
      </c>
      <c r="H31" s="26" t="n">
        <f>3456504600</f>
        <v>3.4565046E9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300.0</v>
      </c>
      <c r="F36" s="18" t="n">
        <f>1</f>
        <v>1.0</v>
      </c>
      <c r="G36" s="17" t="n">
        <v>1.05284049E9</v>
      </c>
      <c r="H36" s="18" t="n">
        <f>3521490</f>
        <v>3521490.0</v>
      </c>
    </row>
    <row r="37" spans="1:8" ht="24.9" customHeight="1">
      <c r="A37" s="51"/>
      <c r="B37" s="57"/>
      <c r="C37" s="39"/>
      <c r="D37" s="20" t="s">
        <v>16</v>
      </c>
      <c r="E37" s="21" t="n">
        <v>1454.0</v>
      </c>
      <c r="F37" s="22" t="n">
        <f>1</f>
        <v>1.0</v>
      </c>
      <c r="G37" s="21" t="n">
        <v>5.114396E9</v>
      </c>
      <c r="H37" s="22" t="n">
        <f>3528000</f>
        <v>3528000.0</v>
      </c>
    </row>
    <row r="38" spans="1:8" ht="24.9" customHeight="1">
      <c r="A38" s="51"/>
      <c r="B38" s="57"/>
      <c r="C38" s="39"/>
      <c r="D38" s="20" t="s">
        <v>17</v>
      </c>
      <c r="E38" s="21" t="n">
        <v>1630.0</v>
      </c>
      <c r="F38" s="22" t="n">
        <f>11</f>
        <v>11.0</v>
      </c>
      <c r="G38" s="21" t="n">
        <v>5.71400897E9</v>
      </c>
      <c r="H38" s="22" t="n">
        <f>38492970</f>
        <v>3.849297E7</v>
      </c>
    </row>
    <row r="39" spans="1:8" ht="24.9" customHeight="1">
      <c r="A39" s="51"/>
      <c r="B39" s="57"/>
      <c r="C39" s="39"/>
      <c r="D39" s="24" t="s">
        <v>18</v>
      </c>
      <c r="E39" s="25" t="n">
        <v>3384.0</v>
      </c>
      <c r="F39" s="26" t="n">
        <f>13</f>
        <v>13.0</v>
      </c>
      <c r="G39" s="25" t="n">
        <v>1.188124546E10</v>
      </c>
      <c r="H39" s="26" t="n">
        <f>45542460</f>
        <v>4.554246E7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0.0</v>
      </c>
      <c r="F46" s="22" t="n">
        <f>0</f>
        <v>0.0</v>
      </c>
      <c r="G46" s="21" t="n">
        <v>0.0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0.0</v>
      </c>
      <c r="F47" s="26" t="n">
        <f>0</f>
        <v>0.0</v>
      </c>
      <c r="G47" s="25" t="n">
        <v>0.0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115.0</v>
      </c>
      <c r="F48" s="18" t="n">
        <f>115</f>
        <v>115.0</v>
      </c>
      <c r="G48" s="17" t="n">
        <v>2.15E8</v>
      </c>
      <c r="H48" s="18" t="n">
        <f>215000000</f>
        <v>2.15E8</v>
      </c>
    </row>
    <row r="49" spans="1:8" ht="24.9" customHeight="1">
      <c r="A49" s="51"/>
      <c r="B49" s="57"/>
      <c r="C49" s="39"/>
      <c r="D49" s="20" t="s">
        <v>16</v>
      </c>
      <c r="E49" s="21" t="n">
        <v>68.0</v>
      </c>
      <c r="F49" s="22" t="n">
        <f>0</f>
        <v>0.0</v>
      </c>
      <c r="G49" s="21" t="n">
        <v>1.266065E8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693.0</v>
      </c>
      <c r="F50" s="22" t="n">
        <f>647</f>
        <v>647.0</v>
      </c>
      <c r="G50" s="21" t="n">
        <v>1.28425472E9</v>
      </c>
      <c r="H50" s="22" t="n">
        <f>1198886220</f>
        <v>1.19888622E9</v>
      </c>
    </row>
    <row r="51" spans="1:8" ht="24.9" customHeight="1">
      <c r="A51" s="51"/>
      <c r="B51" s="57"/>
      <c r="C51" s="39"/>
      <c r="D51" s="24" t="s">
        <v>18</v>
      </c>
      <c r="E51" s="25" t="n">
        <v>876.0</v>
      </c>
      <c r="F51" s="26" t="n">
        <f>762</f>
        <v>762.0</v>
      </c>
      <c r="G51" s="25" t="n">
        <v>1.62586122E9</v>
      </c>
      <c r="H51" s="26" t="n">
        <f>1413886220</f>
        <v>1.41388622E9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830.0</v>
      </c>
      <c r="F56" s="18" t="n">
        <f>31</f>
        <v>31.0</v>
      </c>
      <c r="G56" s="17" t="n">
        <v>6.802991E8</v>
      </c>
      <c r="H56" s="18" t="n">
        <f>25433100</f>
        <v>2.54331E7</v>
      </c>
    </row>
    <row r="57" spans="1:8" ht="24.9" customHeight="1">
      <c r="A57" s="51"/>
      <c r="B57" s="57"/>
      <c r="C57" s="39"/>
      <c r="D57" s="20" t="s">
        <v>16</v>
      </c>
      <c r="E57" s="21" t="n">
        <v>1901.0</v>
      </c>
      <c r="F57" s="22" t="n">
        <f>34</f>
        <v>34.0</v>
      </c>
      <c r="G57" s="21" t="n">
        <v>1.5723271E9</v>
      </c>
      <c r="H57" s="22" t="n">
        <f>28130100</f>
        <v>2.81301E7</v>
      </c>
    </row>
    <row r="58" spans="1:8" ht="24.9" customHeight="1">
      <c r="A58" s="51"/>
      <c r="B58" s="57"/>
      <c r="C58" s="39"/>
      <c r="D58" s="20" t="s">
        <v>17</v>
      </c>
      <c r="E58" s="21" t="n">
        <v>2597.0</v>
      </c>
      <c r="F58" s="22" t="n">
        <f>85</f>
        <v>85.0</v>
      </c>
      <c r="G58" s="21" t="n">
        <v>2.15360698E9</v>
      </c>
      <c r="H58" s="22" t="n">
        <f>70867980</f>
        <v>7.086798E7</v>
      </c>
    </row>
    <row r="59" spans="1:8" ht="24.9" customHeight="1">
      <c r="A59" s="51"/>
      <c r="B59" s="57"/>
      <c r="C59" s="39"/>
      <c r="D59" s="24" t="s">
        <v>18</v>
      </c>
      <c r="E59" s="25" t="n">
        <v>5328.0</v>
      </c>
      <c r="F59" s="26" t="n">
        <f>150</f>
        <v>150.0</v>
      </c>
      <c r="G59" s="25" t="n">
        <v>4.40623318E9</v>
      </c>
      <c r="H59" s="26" t="n">
        <f>124431180</f>
        <v>1.2443118E8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74.0</v>
      </c>
      <c r="F60" s="18" t="n">
        <f>2</f>
        <v>2.0</v>
      </c>
      <c r="G60" s="17" t="n">
        <v>3.685784E8</v>
      </c>
      <c r="H60" s="18" t="n">
        <f>9964200</f>
        <v>9964200.0</v>
      </c>
    </row>
    <row r="61" spans="1:8" ht="24.9" customHeight="1">
      <c r="A61" s="51"/>
      <c r="B61" s="57"/>
      <c r="C61" s="39"/>
      <c r="D61" s="20" t="s">
        <v>16</v>
      </c>
      <c r="E61" s="21" t="n">
        <v>48.0</v>
      </c>
      <c r="F61" s="22" t="n">
        <f>2</f>
        <v>2.0</v>
      </c>
      <c r="G61" s="21" t="n">
        <v>2.378603E8</v>
      </c>
      <c r="H61" s="22" t="n">
        <f>9909400</f>
        <v>9909400.0</v>
      </c>
    </row>
    <row r="62" spans="1:8" ht="24.9" customHeight="1">
      <c r="A62" s="51"/>
      <c r="B62" s="57"/>
      <c r="C62" s="39"/>
      <c r="D62" s="20" t="s">
        <v>17</v>
      </c>
      <c r="E62" s="21" t="n">
        <v>5.0</v>
      </c>
      <c r="F62" s="22" t="n">
        <f>1</f>
        <v>1.0</v>
      </c>
      <c r="G62" s="21" t="n">
        <v>2.47955E7</v>
      </c>
      <c r="H62" s="22" t="n">
        <f>4961700</f>
        <v>4961700.0</v>
      </c>
    </row>
    <row r="63" spans="1:8" ht="24.9" customHeight="1">
      <c r="A63" s="51"/>
      <c r="B63" s="57"/>
      <c r="C63" s="39"/>
      <c r="D63" s="24" t="s">
        <v>18</v>
      </c>
      <c r="E63" s="25" t="n">
        <v>127.0</v>
      </c>
      <c r="F63" s="26" t="n">
        <f>5</f>
        <v>5.0</v>
      </c>
      <c r="G63" s="25" t="n">
        <v>6.312342E8</v>
      </c>
      <c r="H63" s="26" t="n">
        <f>24835300</f>
        <v>2.48353E7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18.0</v>
      </c>
      <c r="F77" s="22" t="n">
        <f>0</f>
        <v>0.0</v>
      </c>
      <c r="G77" s="21" t="n">
        <v>5576000.0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54.0</v>
      </c>
      <c r="F78" s="22" t="n">
        <f>0</f>
        <v>0.0</v>
      </c>
      <c r="G78" s="21" t="n">
        <v>1.7808E7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72.0</v>
      </c>
      <c r="F79" s="26" t="n">
        <f>0</f>
        <v>0.0</v>
      </c>
      <c r="G79" s="25" t="n">
        <v>2.3384E7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6.0</v>
      </c>
      <c r="F92" s="18" t="n">
        <f>0</f>
        <v>0.0</v>
      </c>
      <c r="G92" s="17" t="n">
        <v>9368200.0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10.0</v>
      </c>
      <c r="F93" s="22" t="n">
        <f>0</f>
        <v>0.0</v>
      </c>
      <c r="G93" s="21" t="n">
        <v>1.56546E7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6.0</v>
      </c>
      <c r="F94" s="22" t="n">
        <f>0</f>
        <v>0.0</v>
      </c>
      <c r="G94" s="21" t="n">
        <v>9399000.0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22.0</v>
      </c>
      <c r="F95" s="26" t="n">
        <f>0</f>
        <v>0.0</v>
      </c>
      <c r="G95" s="25" t="n">
        <v>3.44218E7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239.0</v>
      </c>
      <c r="F96" s="18" t="n">
        <f>0</f>
        <v>0.0</v>
      </c>
      <c r="G96" s="17" t="n">
        <v>5.504467E8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1.0</v>
      </c>
      <c r="F97" s="22" t="n">
        <f>0</f>
        <v>0.0</v>
      </c>
      <c r="G97" s="21" t="n">
        <v>2309000.0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0.0</v>
      </c>
      <c r="F98" s="22" t="n">
        <f>0</f>
        <v>0.0</v>
      </c>
      <c r="G98" s="21" t="n">
        <v>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240.0</v>
      </c>
      <c r="F99" s="26" t="n">
        <f>0</f>
        <v>0.0</v>
      </c>
      <c r="G99" s="25" t="n">
        <v>5.527557E8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100.0</v>
      </c>
      <c r="F100" s="18" t="n">
        <f>0</f>
        <v>0.0</v>
      </c>
      <c r="G100" s="17" t="n">
        <v>1.84115E8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0.0</v>
      </c>
      <c r="F102" s="22" t="n">
        <f>0</f>
        <v>0.0</v>
      </c>
      <c r="G102" s="21" t="n">
        <v>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100.0</v>
      </c>
      <c r="F103" s="26" t="n">
        <f>0</f>
        <v>0.0</v>
      </c>
      <c r="G103" s="25" t="n">
        <v>1.84115E8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9448.0</v>
      </c>
      <c r="F108" s="18" t="n">
        <f>178</f>
        <v>178.0</v>
      </c>
      <c r="G108" s="17" t="n">
        <v>1.22598882E12</v>
      </c>
      <c r="H108" s="18" t="n">
        <f>23088430000</f>
        <v>2.308843E10</v>
      </c>
    </row>
    <row r="109" spans="1:8" ht="24.9" customHeight="1">
      <c r="A109" s="51"/>
      <c r="B109" s="57"/>
      <c r="C109" s="39"/>
      <c r="D109" s="20" t="s">
        <v>16</v>
      </c>
      <c r="E109" s="21" t="n">
        <v>8842.0</v>
      </c>
      <c r="F109" s="22" t="n">
        <f>369</f>
        <v>369.0</v>
      </c>
      <c r="G109" s="21" t="n">
        <v>1.14616922E12</v>
      </c>
      <c r="H109" s="22" t="n">
        <f>47838060000</f>
        <v>4.783806E10</v>
      </c>
    </row>
    <row r="110" spans="1:8" ht="24.9" customHeight="1">
      <c r="A110" s="51"/>
      <c r="B110" s="57"/>
      <c r="C110" s="39"/>
      <c r="D110" s="20" t="s">
        <v>17</v>
      </c>
      <c r="E110" s="21" t="n">
        <v>12595.0</v>
      </c>
      <c r="F110" s="22" t="n">
        <f>637</f>
        <v>637.0</v>
      </c>
      <c r="G110" s="21" t="n">
        <v>1.63058141E12</v>
      </c>
      <c r="H110" s="22" t="n">
        <f>82451190000</f>
        <v>8.245119E10</v>
      </c>
    </row>
    <row r="111" spans="1:8" ht="24.9" customHeight="1">
      <c r="A111" s="51"/>
      <c r="B111" s="57"/>
      <c r="C111" s="39"/>
      <c r="D111" s="24" t="s">
        <v>18</v>
      </c>
      <c r="E111" s="25" t="n">
        <v>30885.0</v>
      </c>
      <c r="F111" s="26" t="n">
        <f>1184</f>
        <v>1184.0</v>
      </c>
      <c r="G111" s="25" t="n">
        <v>4.00273945E12</v>
      </c>
      <c r="H111" s="26" t="n">
        <f>153377680000</f>
        <v>1.5337768E11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330.0</v>
      </c>
      <c r="F113" s="22" t="n">
        <f>0</f>
        <v>0.0</v>
      </c>
      <c r="G113" s="21" t="n">
        <v>4.27746E9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92.0</v>
      </c>
      <c r="F114" s="22" t="n">
        <f>0</f>
        <v>0.0</v>
      </c>
      <c r="G114" s="21" t="n">
        <v>1.191619E9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422.0</v>
      </c>
      <c r="F115" s="26" t="n">
        <f>0</f>
        <v>0.0</v>
      </c>
      <c r="G115" s="25" t="n">
        <v>5.469079E9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50.0</v>
      </c>
      <c r="F117" s="22" t="n">
        <f>0</f>
        <v>0.0</v>
      </c>
      <c r="G117" s="21" t="n">
        <v>4.728E8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50.0</v>
      </c>
      <c r="F118" s="22" t="n">
        <f>0</f>
        <v>0.0</v>
      </c>
      <c r="G118" s="21" t="n">
        <v>4.7185E8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100.0</v>
      </c>
      <c r="F119" s="26" t="n">
        <f>0</f>
        <v>0.0</v>
      </c>
      <c r="G119" s="25" t="n">
        <v>9.4465E8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3108.0</v>
      </c>
      <c r="F120" s="18" t="n">
        <f>0</f>
        <v>0.0</v>
      </c>
      <c r="G120" s="17" t="n">
        <v>7.702020125E10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2100.0</v>
      </c>
      <c r="F121" s="22" t="n">
        <f>0</f>
        <v>0.0</v>
      </c>
      <c r="G121" s="21" t="n">
        <v>5.1798E10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6103.0</v>
      </c>
      <c r="F122" s="22" t="n">
        <f>0</f>
        <v>0.0</v>
      </c>
      <c r="G122" s="21" t="n">
        <v>1.51432023125E11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11311.0</v>
      </c>
      <c r="F123" s="26" t="n">
        <f>0</f>
        <v>0.0</v>
      </c>
      <c r="G123" s="25" t="n">
        <v>2.80250224375E11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3610.0</v>
      </c>
      <c r="F124" s="18" t="n">
        <f>0</f>
        <v>0.0</v>
      </c>
      <c r="G124" s="17" t="n">
        <v>8.8704969E10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3131.0</v>
      </c>
      <c r="F125" s="22" t="n">
        <f>0</f>
        <v>0.0</v>
      </c>
      <c r="G125" s="21" t="n">
        <v>7.6506881E10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2201.0</v>
      </c>
      <c r="F126" s="22" t="n">
        <f>0</f>
        <v>0.0</v>
      </c>
      <c r="G126" s="21" t="n">
        <v>5.3599779E10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8942.0</v>
      </c>
      <c r="F127" s="26" t="n">
        <f>0</f>
        <v>0.0</v>
      </c>
      <c r="G127" s="25" t="n">
        <v>2.18811629E11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14.0</v>
      </c>
      <c r="F128" s="18" t="n">
        <f>0</f>
        <v>0.0</v>
      </c>
      <c r="G128" s="17" t="n">
        <v>3.43007E7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45.0</v>
      </c>
      <c r="F129" s="22" t="n">
        <f>0</f>
        <v>0.0</v>
      </c>
      <c r="G129" s="21" t="n">
        <v>1.097462E8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134.0</v>
      </c>
      <c r="F130" s="22" t="n">
        <f>0</f>
        <v>0.0</v>
      </c>
      <c r="G130" s="21" t="n">
        <v>3.271924E8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193.0</v>
      </c>
      <c r="F131" s="26" t="n">
        <f>0</f>
        <v>0.0</v>
      </c>
      <c r="G131" s="25" t="n">
        <v>4.712393E8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4986.0</v>
      </c>
      <c r="F132" s="18" t="n">
        <f>0</f>
        <v>0.0</v>
      </c>
      <c r="G132" s="17" t="n">
        <v>1.228354885E10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1983.0</v>
      </c>
      <c r="F133" s="22" t="n">
        <f>0</f>
        <v>0.0</v>
      </c>
      <c r="G133" s="21" t="n">
        <v>4.85872775E9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2007.0</v>
      </c>
      <c r="F134" s="22" t="n">
        <f>0</f>
        <v>0.0</v>
      </c>
      <c r="G134" s="21" t="n">
        <v>4.9019233E9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8976.0</v>
      </c>
      <c r="F135" s="26" t="n">
        <f>0</f>
        <v>0.0</v>
      </c>
      <c r="G135" s="25" t="n">
        <v>2.20441999E10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58.0</v>
      </c>
      <c r="F136" s="18" t="n">
        <f>0</f>
        <v>0.0</v>
      </c>
      <c r="G136" s="17" t="n">
        <v>1.414682E8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84.0</v>
      </c>
      <c r="F137" s="22" t="n">
        <f>0</f>
        <v>0.0</v>
      </c>
      <c r="G137" s="21" t="n">
        <v>2.036952E8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46.0</v>
      </c>
      <c r="F138" s="22" t="n">
        <f>0</f>
        <v>0.0</v>
      </c>
      <c r="G138" s="21" t="n">
        <v>1.111804E8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188.0</v>
      </c>
      <c r="F139" s="26" t="n">
        <f>0</f>
        <v>0.0</v>
      </c>
      <c r="G139" s="25" t="n">
        <v>4.563438E8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1.0</v>
      </c>
      <c r="F140" s="18" t="n">
        <f>0</f>
        <v>0.0</v>
      </c>
      <c r="G140" s="17" t="n">
        <v>1.1586E7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1.0</v>
      </c>
      <c r="F141" s="22" t="n">
        <f>0</f>
        <v>0.0</v>
      </c>
      <c r="G141" s="21" t="n">
        <v>1.2E7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2.0</v>
      </c>
      <c r="F143" s="26" t="n">
        <f>0</f>
        <v>0.0</v>
      </c>
      <c r="G143" s="25" t="n">
        <v>2.3586E7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1109.0</v>
      </c>
      <c r="F144" s="18" t="n">
        <f>0</f>
        <v>0.0</v>
      </c>
      <c r="G144" s="17" t="n">
        <v>5.640124E9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755.0</v>
      </c>
      <c r="F145" s="22" t="n">
        <f>0</f>
        <v>0.0</v>
      </c>
      <c r="G145" s="21" t="n">
        <v>3.845718E9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1039.0</v>
      </c>
      <c r="F146" s="22" t="n">
        <f>0</f>
        <v>0.0</v>
      </c>
      <c r="G146" s="21" t="n">
        <v>5.3098415E9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2903.0</v>
      </c>
      <c r="F147" s="26" t="n">
        <f>0</f>
        <v>0.0</v>
      </c>
      <c r="G147" s="25" t="n">
        <v>1.47956835E10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75.0</v>
      </c>
      <c r="F148" s="18" t="n">
        <f>0</f>
        <v>0.0</v>
      </c>
      <c r="G148" s="17" t="n">
        <v>7.7892E7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522.0</v>
      </c>
      <c r="F149" s="22" t="n">
        <f>0</f>
        <v>0.0</v>
      </c>
      <c r="G149" s="21" t="n">
        <v>5.423002E8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409.0</v>
      </c>
      <c r="F150" s="22" t="n">
        <f>0</f>
        <v>0.0</v>
      </c>
      <c r="G150" s="21" t="n">
        <v>4.259956E8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1006.0</v>
      </c>
      <c r="F151" s="26" t="n">
        <f>0</f>
        <v>0.0</v>
      </c>
      <c r="G151" s="25" t="n">
        <v>1.0461878E9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201.0</v>
      </c>
      <c r="F152" s="18" t="n">
        <f>0</f>
        <v>0.0</v>
      </c>
      <c r="G152" s="17" t="n">
        <v>2.046145E8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254.0</v>
      </c>
      <c r="F153" s="22" t="n">
        <f>0</f>
        <v>0.0</v>
      </c>
      <c r="G153" s="21" t="n">
        <v>2.589782E8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170.0</v>
      </c>
      <c r="F154" s="22" t="n">
        <f>0</f>
        <v>0.0</v>
      </c>
      <c r="G154" s="21" t="n">
        <v>1.741395E8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625.0</v>
      </c>
      <c r="F155" s="26" t="n">
        <f>0</f>
        <v>0.0</v>
      </c>
      <c r="G155" s="25" t="n">
        <v>6.377322E8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105.0</v>
      </c>
      <c r="F156" s="18" t="n">
        <f>0</f>
        <v>0.0</v>
      </c>
      <c r="G156" s="17" t="n">
        <v>1.086975E8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461.0</v>
      </c>
      <c r="F157" s="22" t="n">
        <f>0</f>
        <v>0.0</v>
      </c>
      <c r="G157" s="21" t="n">
        <v>4.77879E8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870.0</v>
      </c>
      <c r="F158" s="22" t="n">
        <f>0</f>
        <v>0.0</v>
      </c>
      <c r="G158" s="21" t="n">
        <v>9.021675E8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1436.0</v>
      </c>
      <c r="F159" s="26" t="n">
        <f>0</f>
        <v>0.0</v>
      </c>
      <c r="G159" s="25" t="n">
        <v>1.488744E9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110.0</v>
      </c>
      <c r="F168" s="18" t="n">
        <f>0</f>
        <v>0.0</v>
      </c>
      <c r="G168" s="17" t="n">
        <v>2.266885E8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334.0</v>
      </c>
      <c r="F169" s="22" t="n">
        <f>0</f>
        <v>0.0</v>
      </c>
      <c r="G169" s="21" t="n">
        <v>6.87008E8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582.0</v>
      </c>
      <c r="F170" s="22" t="n">
        <f>0</f>
        <v>0.0</v>
      </c>
      <c r="G170" s="21" t="n">
        <v>1.1927545E9</v>
      </c>
      <c r="H170" s="22" t="n">
        <f>0</f>
        <v>0.0</v>
      </c>
    </row>
    <row r="171" spans="1:8" ht="24.9" customHeight="1">
      <c r="A171" s="51"/>
      <c r="B171" s="57"/>
      <c r="C171" s="39"/>
      <c r="D171" s="24" t="s">
        <v>18</v>
      </c>
      <c r="E171" s="25" t="n">
        <v>1026.0</v>
      </c>
      <c r="F171" s="26" t="n">
        <f>0</f>
        <v>0.0</v>
      </c>
      <c r="G171" s="25" t="n">
        <v>2.106451E9</v>
      </c>
      <c r="H171" s="26" t="n">
        <f>0</f>
        <v>0.0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4.0</v>
      </c>
      <c r="F177" s="22" t="n">
        <f>0</f>
        <v>0.0</v>
      </c>
      <c r="G177" s="21" t="n">
        <v>7108000.0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0.0</v>
      </c>
      <c r="F178" s="22" t="n">
        <f>0</f>
        <v>0.0</v>
      </c>
      <c r="G178" s="21" t="n">
        <v>0.0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4.0</v>
      </c>
      <c r="F179" s="26" t="n">
        <f>0</f>
        <v>0.0</v>
      </c>
      <c r="G179" s="25" t="n">
        <v>7108000.0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1693.0</v>
      </c>
      <c r="F204" s="18" t="n">
        <f>0</f>
        <v>0.0</v>
      </c>
      <c r="G204" s="17" t="n">
        <v>7.0075925E9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666.0</v>
      </c>
      <c r="F205" s="22" t="n">
        <f>0</f>
        <v>0.0</v>
      </c>
      <c r="G205" s="21" t="n">
        <v>2.9068755E9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2549.0</v>
      </c>
      <c r="F206" s="22" t="n">
        <f>0</f>
        <v>0.0</v>
      </c>
      <c r="G206" s="21" t="n">
        <v>1.11592415E10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4908.0</v>
      </c>
      <c r="F207" s="26" t="n">
        <f>0</f>
        <v>0.0</v>
      </c>
      <c r="G207" s="25" t="n">
        <v>2.10737095E10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46153.0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46153.0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5640</f>
        <v>5640.0</v>
      </c>
      <c r="E12" s="35" t="n">
        <f>2650</f>
        <v>2650.0</v>
      </c>
      <c r="F12" s="17" t="n">
        <f>3230</f>
        <v>3230.0</v>
      </c>
      <c r="G12" s="35" t="n">
        <f>1107</f>
        <v>1107.0</v>
      </c>
      <c r="H12" s="17" t="n">
        <f>8870</f>
        <v>8870.0</v>
      </c>
      <c r="I12" s="35" t="n">
        <f>3757</f>
        <v>3757.0</v>
      </c>
      <c r="J12" s="17" t="n">
        <f>3774177060</f>
        <v>3.77417706E9</v>
      </c>
      <c r="K12" s="35" t="n">
        <f>2765717060</f>
        <v>2.76571706E9</v>
      </c>
      <c r="L12" s="17" t="n">
        <f>2090187890</f>
        <v>2.09018789E9</v>
      </c>
      <c r="M12" s="35" t="n">
        <f>997614890</f>
        <v>9.9761489E8</v>
      </c>
      <c r="N12" s="17" t="n">
        <f>5864364950</f>
        <v>5.86436495E9</v>
      </c>
      <c r="O12" s="35" t="n">
        <f>3763331950</f>
        <v>3.76333195E9</v>
      </c>
    </row>
    <row r="13" spans="1:15" ht="24.9" customHeight="1">
      <c r="A13" s="38"/>
      <c r="B13" s="62"/>
      <c r="C13" s="20" t="s">
        <v>16</v>
      </c>
      <c r="D13" s="21" t="n">
        <f>3693</f>
        <v>3693.0</v>
      </c>
      <c r="E13" s="36" t="n">
        <f>1210</f>
        <v>1210.0</v>
      </c>
      <c r="F13" s="21" t="n">
        <f>4057</f>
        <v>4057.0</v>
      </c>
      <c r="G13" s="36" t="n">
        <f>1912</f>
        <v>1912.0</v>
      </c>
      <c r="H13" s="21" t="n">
        <f>7750</f>
        <v>7750.0</v>
      </c>
      <c r="I13" s="36" t="n">
        <f>3122</f>
        <v>3122.0</v>
      </c>
      <c r="J13" s="21" t="n">
        <f>2057829390</f>
        <v>2.05782939E9</v>
      </c>
      <c r="K13" s="36" t="n">
        <f>894122390</f>
        <v>8.9412239E8</v>
      </c>
      <c r="L13" s="21" t="n">
        <f>2704386260</f>
        <v>2.70438626E9</v>
      </c>
      <c r="M13" s="36" t="n">
        <f>1171434260</f>
        <v>1.17143426E9</v>
      </c>
      <c r="N13" s="21" t="n">
        <f>4762215650</f>
        <v>4.76221565E9</v>
      </c>
      <c r="O13" s="36" t="n">
        <f>2065556650</f>
        <v>2.06555665E9</v>
      </c>
    </row>
    <row r="14" spans="1:15" ht="24.9" customHeight="1">
      <c r="A14" s="38"/>
      <c r="B14" s="62"/>
      <c r="C14" s="20" t="s">
        <v>17</v>
      </c>
      <c r="D14" s="21" t="n">
        <f>16239</f>
        <v>16239.0</v>
      </c>
      <c r="E14" s="36" t="n">
        <f>13430</f>
        <v>13430.0</v>
      </c>
      <c r="F14" s="21" t="n">
        <f>8945</f>
        <v>8945.0</v>
      </c>
      <c r="G14" s="36" t="n">
        <f>7660</f>
        <v>7660.0</v>
      </c>
      <c r="H14" s="21" t="n">
        <f>25184</f>
        <v>25184.0</v>
      </c>
      <c r="I14" s="36" t="n">
        <f>21090</f>
        <v>21090.0</v>
      </c>
      <c r="J14" s="21" t="n">
        <f>10910062302</f>
        <v>1.0910062302E10</v>
      </c>
      <c r="K14" s="36" t="n">
        <f>9211820302</f>
        <v>9.211820302E9</v>
      </c>
      <c r="L14" s="21" t="n">
        <f>19560445166</f>
        <v>1.9560445166E10</v>
      </c>
      <c r="M14" s="36" t="n">
        <f>18770579166</f>
        <v>1.8770579166E10</v>
      </c>
      <c r="N14" s="21" t="n">
        <f>30470507468</f>
        <v>3.0470507468E10</v>
      </c>
      <c r="O14" s="36" t="n">
        <f>27982399468</f>
        <v>2.7982399468E10</v>
      </c>
    </row>
    <row r="15" spans="1:15" ht="24.9" customHeight="1">
      <c r="A15" s="38"/>
      <c r="B15" s="62"/>
      <c r="C15" s="24" t="s">
        <v>18</v>
      </c>
      <c r="D15" s="25" t="n">
        <f>25572</f>
        <v>25572.0</v>
      </c>
      <c r="E15" s="37" t="n">
        <f>17290</f>
        <v>17290.0</v>
      </c>
      <c r="F15" s="25" t="n">
        <f>16232</f>
        <v>16232.0</v>
      </c>
      <c r="G15" s="37" t="n">
        <f>10679</f>
        <v>10679.0</v>
      </c>
      <c r="H15" s="25" t="n">
        <f>41804</f>
        <v>41804.0</v>
      </c>
      <c r="I15" s="37" t="n">
        <f>27969</f>
        <v>27969.0</v>
      </c>
      <c r="J15" s="25" t="n">
        <f>16742068752</f>
        <v>1.6742068752E10</v>
      </c>
      <c r="K15" s="37" t="n">
        <f>12871659752</f>
        <v>1.2871659752E10</v>
      </c>
      <c r="L15" s="25" t="n">
        <f>24355019316</f>
        <v>2.4355019316E10</v>
      </c>
      <c r="M15" s="37" t="n">
        <f>20939628316</f>
        <v>2.0939628316E10</v>
      </c>
      <c r="N15" s="25" t="n">
        <f>41097088068</f>
        <v>4.1097088068E10</v>
      </c>
      <c r="O15" s="37" t="n">
        <f>33811288068</f>
        <v>3.3811288068E10</v>
      </c>
    </row>
    <row r="16" spans="1:15" ht="24.9" customHeight="1">
      <c r="A16" s="38"/>
      <c r="B16" s="61" t="s">
        <v>105</v>
      </c>
      <c r="C16" s="16" t="s">
        <v>15</v>
      </c>
      <c r="D16" s="17" t="n">
        <f>28745</f>
        <v>28745.0</v>
      </c>
      <c r="E16" s="35" t="n">
        <f>3370</f>
        <v>3370.0</v>
      </c>
      <c r="F16" s="17" t="n">
        <f>20035</f>
        <v>20035.0</v>
      </c>
      <c r="G16" s="35" t="n">
        <f>650</f>
        <v>650.0</v>
      </c>
      <c r="H16" s="17" t="n">
        <f>48780</f>
        <v>48780.0</v>
      </c>
      <c r="I16" s="35" t="n">
        <f>4020</f>
        <v>4020.0</v>
      </c>
      <c r="J16" s="17" t="n">
        <f>3465228990</f>
        <v>3.46522899E9</v>
      </c>
      <c r="K16" s="35" t="n">
        <f>233408690</f>
        <v>2.3340869E8</v>
      </c>
      <c r="L16" s="17" t="n">
        <f>4973041480</f>
        <v>4.97304148E9</v>
      </c>
      <c r="M16" s="35" t="n">
        <f>101659680</f>
        <v>1.0165968E8</v>
      </c>
      <c r="N16" s="17" t="n">
        <f>8438270470</f>
        <v>8.43827047E9</v>
      </c>
      <c r="O16" s="35" t="n">
        <f>335068370</f>
        <v>3.3506837E8</v>
      </c>
    </row>
    <row r="17" spans="1:15" ht="24.9" customHeight="1">
      <c r="A17" s="38"/>
      <c r="B17" s="62"/>
      <c r="C17" s="20" t="s">
        <v>16</v>
      </c>
      <c r="D17" s="21" t="n">
        <f>10744</f>
        <v>10744.0</v>
      </c>
      <c r="E17" s="36" t="n">
        <f>540</f>
        <v>540.0</v>
      </c>
      <c r="F17" s="21" t="n">
        <f>4748</f>
        <v>4748.0</v>
      </c>
      <c r="G17" s="36" t="n">
        <f>170</f>
        <v>170.0</v>
      </c>
      <c r="H17" s="21" t="n">
        <f>15492</f>
        <v>15492.0</v>
      </c>
      <c r="I17" s="36" t="n">
        <f>710</f>
        <v>710.0</v>
      </c>
      <c r="J17" s="21" t="n">
        <f>285654100</f>
        <v>2.856541E8</v>
      </c>
      <c r="K17" s="36" t="n">
        <f>5763800</f>
        <v>5763800.0</v>
      </c>
      <c r="L17" s="21" t="n">
        <f>285356280</f>
        <v>2.8535628E8</v>
      </c>
      <c r="M17" s="36" t="n">
        <f>3318480</f>
        <v>3318480.0</v>
      </c>
      <c r="N17" s="21" t="n">
        <f>571010380</f>
        <v>5.7101038E8</v>
      </c>
      <c r="O17" s="36" t="n">
        <f>9082280</f>
        <v>9082280.0</v>
      </c>
    </row>
    <row r="18" spans="1:15" ht="24.9" customHeight="1">
      <c r="A18" s="38"/>
      <c r="B18" s="62"/>
      <c r="C18" s="20" t="s">
        <v>17</v>
      </c>
      <c r="D18" s="21" t="n">
        <f>9874</f>
        <v>9874.0</v>
      </c>
      <c r="E18" s="36" t="n">
        <f>630</f>
        <v>630.0</v>
      </c>
      <c r="F18" s="21" t="n">
        <f>4097</f>
        <v>4097.0</v>
      </c>
      <c r="G18" s="36" t="n">
        <f>90</f>
        <v>90.0</v>
      </c>
      <c r="H18" s="21" t="n">
        <f>13971</f>
        <v>13971.0</v>
      </c>
      <c r="I18" s="36" t="n">
        <f>720</f>
        <v>720.0</v>
      </c>
      <c r="J18" s="21" t="n">
        <f>335903320</f>
        <v>3.3590332E8</v>
      </c>
      <c r="K18" s="36" t="n">
        <f>4133120</f>
        <v>4133120.0</v>
      </c>
      <c r="L18" s="21" t="n">
        <f>343647300</f>
        <v>3.436473E8</v>
      </c>
      <c r="M18" s="36" t="n">
        <f>671500</f>
        <v>671500.0</v>
      </c>
      <c r="N18" s="21" t="n">
        <f>679550620</f>
        <v>6.7955062E8</v>
      </c>
      <c r="O18" s="36" t="n">
        <f>4804620</f>
        <v>4804620.0</v>
      </c>
    </row>
    <row r="19" spans="1:15" ht="24.9" customHeight="1">
      <c r="A19" s="38"/>
      <c r="B19" s="62"/>
      <c r="C19" s="24" t="s">
        <v>18</v>
      </c>
      <c r="D19" s="25" t="n">
        <f>49363</f>
        <v>49363.0</v>
      </c>
      <c r="E19" s="37" t="n">
        <f>4540</f>
        <v>4540.0</v>
      </c>
      <c r="F19" s="25" t="n">
        <f>28880</f>
        <v>28880.0</v>
      </c>
      <c r="G19" s="37" t="n">
        <f>910</f>
        <v>910.0</v>
      </c>
      <c r="H19" s="25" t="n">
        <f>78243</f>
        <v>78243.0</v>
      </c>
      <c r="I19" s="37" t="n">
        <f>5450</f>
        <v>5450.0</v>
      </c>
      <c r="J19" s="25" t="n">
        <f>4086786410</f>
        <v>4.08678641E9</v>
      </c>
      <c r="K19" s="37" t="n">
        <f>243305610</f>
        <v>2.4330561E8</v>
      </c>
      <c r="L19" s="25" t="n">
        <f>5602045060</f>
        <v>5.60204506E9</v>
      </c>
      <c r="M19" s="37" t="n">
        <f>105649660</f>
        <v>1.0564966E8</v>
      </c>
      <c r="N19" s="25" t="n">
        <f>9688831470</f>
        <v>9.68883147E9</v>
      </c>
      <c r="O19" s="37" t="n">
        <f>348955270</f>
        <v>3.4895527E8</v>
      </c>
    </row>
    <row r="20" spans="1:15" ht="24.9" customHeight="1">
      <c r="A20" s="38"/>
      <c r="B20" s="61" t="s">
        <v>106</v>
      </c>
      <c r="C20" s="16" t="s">
        <v>15</v>
      </c>
      <c r="D20" s="17" t="n">
        <f>0</f>
        <v>0.0</v>
      </c>
      <c r="E20" s="35" t="n">
        <f>0</f>
        <v>0.0</v>
      </c>
      <c r="F20" s="17" t="n">
        <f>0</f>
        <v>0.0</v>
      </c>
      <c r="G20" s="35" t="n">
        <f>0</f>
        <v>0.0</v>
      </c>
      <c r="H20" s="17" t="n">
        <f>0</f>
        <v>0.0</v>
      </c>
      <c r="I20" s="35" t="n">
        <f>0</f>
        <v>0.0</v>
      </c>
      <c r="J20" s="17" t="n">
        <f>0</f>
        <v>0.0</v>
      </c>
      <c r="K20" s="35" t="n">
        <f>0</f>
        <v>0.0</v>
      </c>
      <c r="L20" s="17" t="n">
        <f>0</f>
        <v>0.0</v>
      </c>
      <c r="M20" s="35" t="n">
        <f>0</f>
        <v>0.0</v>
      </c>
      <c r="N20" s="17" t="n">
        <f>0</f>
        <v>0.0</v>
      </c>
      <c r="O20" s="35" t="n">
        <f>0</f>
        <v>0.0</v>
      </c>
    </row>
    <row r="21" spans="1:15" ht="24.9" customHeight="1">
      <c r="A21" s="38"/>
      <c r="B21" s="62"/>
      <c r="C21" s="20" t="s">
        <v>16</v>
      </c>
      <c r="D21" s="21" t="n">
        <f>254</f>
        <v>254.0</v>
      </c>
      <c r="E21" s="36" t="n">
        <f>254</f>
        <v>254.0</v>
      </c>
      <c r="F21" s="21" t="n">
        <f>0</f>
        <v>0.0</v>
      </c>
      <c r="G21" s="36" t="n">
        <f>0</f>
        <v>0.0</v>
      </c>
      <c r="H21" s="21" t="n">
        <f>254</f>
        <v>254.0</v>
      </c>
      <c r="I21" s="36" t="n">
        <f>254</f>
        <v>254.0</v>
      </c>
      <c r="J21" s="21" t="n">
        <f>196541248</f>
        <v>1.96541248E8</v>
      </c>
      <c r="K21" s="36" t="n">
        <f>196541248</f>
        <v>1.96541248E8</v>
      </c>
      <c r="L21" s="21" t="n">
        <f>0</f>
        <v>0.0</v>
      </c>
      <c r="M21" s="36" t="n">
        <f>0</f>
        <v>0.0</v>
      </c>
      <c r="N21" s="21" t="n">
        <f>196541248</f>
        <v>1.96541248E8</v>
      </c>
      <c r="O21" s="36" t="n">
        <f>196541248</f>
        <v>1.96541248E8</v>
      </c>
    </row>
    <row r="22" spans="1:15" ht="24.9" customHeight="1">
      <c r="A22" s="38"/>
      <c r="B22" s="62"/>
      <c r="C22" s="20" t="s">
        <v>17</v>
      </c>
      <c r="D22" s="21" t="n">
        <f>550</f>
        <v>550.0</v>
      </c>
      <c r="E22" s="36" t="n">
        <f>550</f>
        <v>550.0</v>
      </c>
      <c r="F22" s="21" t="n">
        <f>0</f>
        <v>0.0</v>
      </c>
      <c r="G22" s="36" t="n">
        <f>0</f>
        <v>0.0</v>
      </c>
      <c r="H22" s="21" t="n">
        <f>550</f>
        <v>550.0</v>
      </c>
      <c r="I22" s="36" t="n">
        <f>550</f>
        <v>550.0</v>
      </c>
      <c r="J22" s="21" t="n">
        <f>293087500</f>
        <v>2.930875E8</v>
      </c>
      <c r="K22" s="36" t="n">
        <f>293087500</f>
        <v>2.930875E8</v>
      </c>
      <c r="L22" s="21" t="n">
        <f>0</f>
        <v>0.0</v>
      </c>
      <c r="M22" s="36" t="n">
        <f>0</f>
        <v>0.0</v>
      </c>
      <c r="N22" s="21" t="n">
        <f>293087500</f>
        <v>2.930875E8</v>
      </c>
      <c r="O22" s="36" t="n">
        <f>293087500</f>
        <v>2.930875E8</v>
      </c>
    </row>
    <row r="23" spans="1:15" ht="24.9" customHeight="1">
      <c r="A23" s="38"/>
      <c r="B23" s="62"/>
      <c r="C23" s="24" t="s">
        <v>18</v>
      </c>
      <c r="D23" s="25" t="n">
        <f>804</f>
        <v>804.0</v>
      </c>
      <c r="E23" s="37" t="n">
        <f>804</f>
        <v>804.0</v>
      </c>
      <c r="F23" s="25" t="n">
        <f>0</f>
        <v>0.0</v>
      </c>
      <c r="G23" s="37" t="n">
        <f>0</f>
        <v>0.0</v>
      </c>
      <c r="H23" s="25" t="n">
        <f>804</f>
        <v>804.0</v>
      </c>
      <c r="I23" s="37" t="n">
        <f>804</f>
        <v>804.0</v>
      </c>
      <c r="J23" s="25" t="n">
        <f>489628748</f>
        <v>4.89628748E8</v>
      </c>
      <c r="K23" s="37" t="n">
        <f>489628748</f>
        <v>4.89628748E8</v>
      </c>
      <c r="L23" s="25" t="n">
        <f>0</f>
        <v>0.0</v>
      </c>
      <c r="M23" s="37" t="n">
        <f>0</f>
        <v>0.0</v>
      </c>
      <c r="N23" s="25" t="n">
        <f>489628748</f>
        <v>4.89628748E8</v>
      </c>
      <c r="O23" s="37" t="n">
        <f>489628748</f>
        <v>4.89628748E8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0</f>
        <v>0.0</v>
      </c>
      <c r="G36" s="18" t="n">
        <f>0</f>
        <v>0.0</v>
      </c>
      <c r="H36" s="17" t="n">
        <f>0</f>
        <v>0.0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0</f>
        <v>0.0</v>
      </c>
      <c r="M36" s="18" t="n">
        <f>0</f>
        <v>0.0</v>
      </c>
      <c r="N36" s="17" t="n">
        <f>0</f>
        <v>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0</f>
        <v>0.0</v>
      </c>
      <c r="E37" s="22" t="n">
        <f>0</f>
        <v>0.0</v>
      </c>
      <c r="F37" s="21" t="n">
        <f>18</f>
        <v>18.0</v>
      </c>
      <c r="G37" s="22" t="n">
        <f>0</f>
        <v>0.0</v>
      </c>
      <c r="H37" s="21" t="n">
        <f>18</f>
        <v>18.0</v>
      </c>
      <c r="I37" s="22" t="n">
        <f>0</f>
        <v>0.0</v>
      </c>
      <c r="J37" s="21" t="n">
        <f>0</f>
        <v>0.0</v>
      </c>
      <c r="K37" s="22" t="n">
        <f>0</f>
        <v>0.0</v>
      </c>
      <c r="L37" s="21" t="n">
        <f>2040000</f>
        <v>2040000.0</v>
      </c>
      <c r="M37" s="22" t="n">
        <f>0</f>
        <v>0.0</v>
      </c>
      <c r="N37" s="21" t="n">
        <f>2040000</f>
        <v>2040000.0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114</f>
        <v>114.0</v>
      </c>
      <c r="E38" s="36" t="n">
        <f>0</f>
        <v>0.0</v>
      </c>
      <c r="F38" s="21" t="n">
        <f>45</f>
        <v>45.0</v>
      </c>
      <c r="G38" s="36" t="n">
        <f>0</f>
        <v>0.0</v>
      </c>
      <c r="H38" s="21" t="n">
        <f>159</f>
        <v>159.0</v>
      </c>
      <c r="I38" s="36" t="n">
        <f>0</f>
        <v>0.0</v>
      </c>
      <c r="J38" s="21" t="n">
        <f>7180000</f>
        <v>7180000.0</v>
      </c>
      <c r="K38" s="36" t="n">
        <f>0</f>
        <v>0.0</v>
      </c>
      <c r="L38" s="21" t="n">
        <f>5690000</f>
        <v>5690000.0</v>
      </c>
      <c r="M38" s="36" t="n">
        <f>0</f>
        <v>0.0</v>
      </c>
      <c r="N38" s="21" t="n">
        <f>12870000</f>
        <v>1.287E7</v>
      </c>
      <c r="O38" s="36" t="n">
        <f>0</f>
        <v>0.0</v>
      </c>
    </row>
    <row r="39" spans="1:15" ht="24.9" customHeight="1">
      <c r="A39" s="38"/>
      <c r="B39" s="62"/>
      <c r="C39" s="24" t="s">
        <v>18</v>
      </c>
      <c r="D39" s="25" t="n">
        <f>114</f>
        <v>114.0</v>
      </c>
      <c r="E39" s="37" t="n">
        <f>0</f>
        <v>0.0</v>
      </c>
      <c r="F39" s="25" t="n">
        <f>63</f>
        <v>63.0</v>
      </c>
      <c r="G39" s="37" t="n">
        <f>0</f>
        <v>0.0</v>
      </c>
      <c r="H39" s="25" t="n">
        <f>177</f>
        <v>177.0</v>
      </c>
      <c r="I39" s="37" t="n">
        <f>0</f>
        <v>0.0</v>
      </c>
      <c r="J39" s="25" t="n">
        <f>7180000</f>
        <v>7180000.0</v>
      </c>
      <c r="K39" s="37" t="n">
        <f>0</f>
        <v>0.0</v>
      </c>
      <c r="L39" s="25" t="n">
        <f>7730000</f>
        <v>7730000.0</v>
      </c>
      <c r="M39" s="37" t="n">
        <f>0</f>
        <v>0.0</v>
      </c>
      <c r="N39" s="25" t="n">
        <f>14910000</f>
        <v>1.491E7</v>
      </c>
      <c r="O39" s="37" t="n">
        <f>0</f>
        <v>0.0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7605</f>
        <v>7605.0</v>
      </c>
      <c r="E41" s="36" t="n">
        <f>1500</f>
        <v>1500.0</v>
      </c>
      <c r="F41" s="21" t="n">
        <f>4390</f>
        <v>4390.0</v>
      </c>
      <c r="G41" s="36" t="n">
        <f>450</f>
        <v>450.0</v>
      </c>
      <c r="H41" s="21" t="n">
        <f>11995</f>
        <v>11995.0</v>
      </c>
      <c r="I41" s="36" t="n">
        <f>1950</f>
        <v>1950.0</v>
      </c>
      <c r="J41" s="21" t="n">
        <f>34128009</f>
        <v>3.4128009E7</v>
      </c>
      <c r="K41" s="36" t="n">
        <f>5775000</f>
        <v>5775000.0</v>
      </c>
      <c r="L41" s="21" t="n">
        <f>32403729</f>
        <v>3.2403729E7</v>
      </c>
      <c r="M41" s="36" t="n">
        <f>1521000</f>
        <v>1521000.0</v>
      </c>
      <c r="N41" s="21" t="n">
        <f>66531738</f>
        <v>6.6531738E7</v>
      </c>
      <c r="O41" s="36" t="n">
        <f>7296000</f>
        <v>7296000.0</v>
      </c>
    </row>
    <row r="42" spans="1:15" ht="24.9" customHeight="1">
      <c r="A42" s="38"/>
      <c r="B42" s="62"/>
      <c r="C42" s="20" t="s">
        <v>17</v>
      </c>
      <c r="D42" s="21" t="n">
        <f>16024</f>
        <v>16024.0</v>
      </c>
      <c r="E42" s="36" t="n">
        <f>8950</f>
        <v>8950.0</v>
      </c>
      <c r="F42" s="21" t="n">
        <f>2136</f>
        <v>2136.0</v>
      </c>
      <c r="G42" s="36" t="n">
        <f>650</f>
        <v>650.0</v>
      </c>
      <c r="H42" s="21" t="n">
        <f>18160</f>
        <v>18160.0</v>
      </c>
      <c r="I42" s="36" t="n">
        <f>9600</f>
        <v>9600.0</v>
      </c>
      <c r="J42" s="21" t="n">
        <f>288671790</f>
        <v>2.8867179E8</v>
      </c>
      <c r="K42" s="36" t="n">
        <f>230265000</f>
        <v>2.30265E8</v>
      </c>
      <c r="L42" s="21" t="n">
        <f>115165395</f>
        <v>1.15165395E8</v>
      </c>
      <c r="M42" s="36" t="n">
        <f>61750000</f>
        <v>6.175E7</v>
      </c>
      <c r="N42" s="21" t="n">
        <f>403837185</f>
        <v>4.03837185E8</v>
      </c>
      <c r="O42" s="36" t="n">
        <f>292015000</f>
        <v>2.92015E8</v>
      </c>
    </row>
    <row r="43" spans="1:15" ht="24.9" customHeight="1">
      <c r="A43" s="38"/>
      <c r="B43" s="62"/>
      <c r="C43" s="24" t="s">
        <v>18</v>
      </c>
      <c r="D43" s="25" t="n">
        <f>23629</f>
        <v>23629.0</v>
      </c>
      <c r="E43" s="37" t="n">
        <f>10450</f>
        <v>10450.0</v>
      </c>
      <c r="F43" s="25" t="n">
        <f>6526</f>
        <v>6526.0</v>
      </c>
      <c r="G43" s="37" t="n">
        <f>1100</f>
        <v>1100.0</v>
      </c>
      <c r="H43" s="25" t="n">
        <f>30155</f>
        <v>30155.0</v>
      </c>
      <c r="I43" s="37" t="n">
        <f>11550</f>
        <v>11550.0</v>
      </c>
      <c r="J43" s="25" t="n">
        <f>322799799</f>
        <v>3.22799799E8</v>
      </c>
      <c r="K43" s="37" t="n">
        <f>236040000</f>
        <v>2.3604E8</v>
      </c>
      <c r="L43" s="25" t="n">
        <f>147569124</f>
        <v>1.47569124E8</v>
      </c>
      <c r="M43" s="37" t="n">
        <f>63271000</f>
        <v>6.3271E7</v>
      </c>
      <c r="N43" s="25" t="n">
        <f>470368923</f>
        <v>4.70368923E8</v>
      </c>
      <c r="O43" s="37" t="n">
        <f>299311000</f>
        <v>2.99311E8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