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20_セルフチェックエビデンス\BO_DD0033_JPX市況作成（日通し）\新規作成\"/>
    </mc:Choice>
  </mc:AlternateContent>
  <bookViews>
    <workbookView xWindow="28680" yWindow="-120" windowWidth="29040" windowHeight="15720" tabRatio="790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" l="1"/>
  <c r="A3" i="42"/>
  <c r="A4" i="44" l="1"/>
  <c r="A3" i="44"/>
  <c r="A4" i="43"/>
  <c r="A3" i="43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<sst xmlns="http://schemas.openxmlformats.org/spreadsheetml/2006/main" count="528" uniqueCount="129">
  <si>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</si>
  <si>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</si>
  <si>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</si>
  <si>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</si>
  <si>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</si>
  <si>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</si>
  <si>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</si>
  <si>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</si>
  <si>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</si>
  <si>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</si>
  <si>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</si>
  <si>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</si>
  <si>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</si>
  <si>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</si>
  <si>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</si>
  <si>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</si>
  <si>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</si>
  <si>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</si>
  <si>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</si>
  <si>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</si>
  <si>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</si>
  <si>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</si>
  <si>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</si>
  <si>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</si>
  <si>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</si>
  <si>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</si>
  <si>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</si>
  <si>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</si>
  <si>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</si>
  <si>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</si>
  <si>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</si>
  <si>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</si>
  <si>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</si>
  <si>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</si>
  <si>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</si>
  <si>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</si>
  <si>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</si>
  <si>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</si>
  <si>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</si>
  <si>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</si>
  <si>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</si>
  <si>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</si>
  <si>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</si>
  <si>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</si>
  <si>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</si>
  <si>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</si>
  <si>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</si>
  <si>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</si>
  <si>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</si>
  <si>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</si>
  <si>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</si>
  <si>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</si>
  <si>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</si>
  <si>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</si>
  <si>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</si>
  <si>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</si>
  <si>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</si>
  <si>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</si>
  <si>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</si>
  <si>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</si>
  <si>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</si>
  <si>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</si>
  <si>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</si>
  <si>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</si>
  <si>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</si>
  <si>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</si>
  <si>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</si>
  <si>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</si>
  <si>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</si>
  <si>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</si>
  <si>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</si>
  <si>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</si>
  <si>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</si>
  <si>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</si>
  <si>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</si>
  <si>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</si>
  <si>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</si>
  <si>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</si>
  <si>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</si>
  <si>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</si>
  <si>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</si>
  <si>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</si>
  <si>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</si>
  <si>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</si>
  <si>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</si>
  <si>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</si>
  <si>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</si>
  <si>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</si>
  <si>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</si>
  <si>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</si>
  <si>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</si>
  <si>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</si>
  <si>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</si>
  <si>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</si>
  <si>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</si>
  <si>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</si>
  <si>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</si>
  <si>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</si>
  <si>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</si>
  <si>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</si>
  <si>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</si>
  <si>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</si>
  <si>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</si>
  <si>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</si>
  <si>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</si>
  <si>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</si>
  <si>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</si>
  <si>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</si>
  <si>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</si>
  <si>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</si>
  <si>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</si>
  <si>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</si>
  <si>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</si>
  <si>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</si>
  <si>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</si>
  <si>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</si>
  <si>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</si>
  <si>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</si>
  <si>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</si>
  <si>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</si>
  <si>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</si>
  <si>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</si>
  <si>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</si>
  <si>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</si>
  <si>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</si>
  <si>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</si>
  <si>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</si>
  <si>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</si>
  <si>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9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</si>
</sst>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日通し)&quot;"/>
    <numFmt numFmtId="195" formatCode="&quot;As of [&quot;mmm&quot;. &quot;dd&quot;, &quot;yyyy&quot;]（Whole Day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7">
    <xf numFmtId="0" fontId="0" fillId="0" borderId="0" xfId="0"/>
    <xf numFmtId="193" fontId="0" fillId="0" borderId="41" xfId="3069" applyNumberFormat="1" applyFont="1" applyFill="1" applyBorder="1" applyAlignment="1">
      <alignment horizontal="right" vertical="center"/>
    </xf>
    <xf numFmtId="190" fontId="0" fillId="0" borderId="42" xfId="3069" applyNumberFormat="1" applyFont="1" applyFill="1" applyBorder="1" applyAlignment="1">
      <alignment horizontal="right" vertical="center"/>
    </xf>
    <xf numFmtId="191" fontId="0" fillId="0" borderId="32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0" fontId="9" fillId="0" borderId="28" xfId="3069" applyNumberFormat="1" applyFont="1" applyFill="1" applyBorder="1" applyAlignment="1">
      <alignment horizontal="right" vertical="center"/>
    </xf>
    <xf numFmtId="190" fontId="9" fillId="0" borderId="30" xfId="3069" applyNumberFormat="1" applyFont="1" applyFill="1" applyBorder="1" applyAlignment="1">
      <alignment horizontal="right" vertical="center"/>
    </xf>
    <xf numFmtId="190" fontId="9" fillId="0" borderId="27" xfId="3069" applyNumberFormat="1" applyFont="1" applyFill="1" applyBorder="1" applyAlignment="1">
      <alignment horizontal="right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4" width="4.6640625" collapsed="true"/>
    <col min="2" max="2" bestFit="true" customWidth="true" style="4" width="28.0" collapsed="true"/>
    <col min="3" max="3" customWidth="true" style="4" width="18.0" collapsed="true"/>
    <col min="4" max="5" customWidth="true" style="4" width="22.6640625" collapsed="true"/>
    <col min="6" max="6" customWidth="true" style="4" width="16.6640625" collapsed="true"/>
    <col min="7" max="8" customWidth="true" style="4" width="22.6640625" collapsed="true"/>
    <col min="9" max="9" customWidth="true" style="4" width="16.6640625" collapsed="true"/>
    <col min="10" max="16384" style="4" width="9.0" collapsed="true"/>
  </cols>
  <sheetData>
    <row r="1" spans="1:9" ht="28.5" customHeight="1">
      <c r="A1" s="43" t="s">
        <v>1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DATE(2026,05,13)</f>
        <v>46155.0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DATE(2026,05,13)</f>
        <v>46155.0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3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4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5</v>
      </c>
      <c r="B8" s="10"/>
      <c r="C8" s="11"/>
      <c r="D8" s="11"/>
      <c r="E8" s="11"/>
      <c r="F8" s="11"/>
      <c r="G8" s="11"/>
      <c r="H8" s="11"/>
      <c r="I8" s="11"/>
    </row>
    <row r="9" spans="1:9" ht="14.25" customHeight="1">
      <c r="A9" s="10" t="s">
        <v>6</v>
      </c>
      <c r="B9" s="10"/>
      <c r="C9" s="11"/>
      <c r="D9" s="11"/>
      <c r="E9" s="11"/>
      <c r="F9" s="11"/>
      <c r="G9" s="11"/>
      <c r="H9" s="11"/>
      <c r="I9" s="11"/>
    </row>
    <row r="10" spans="1:9" ht="24.9" customHeight="1">
      <c r="A10" s="12"/>
      <c r="B10" s="12" t="s">
        <v>7</v>
      </c>
      <c r="C10" s="12" t="s">
        <v>0</v>
      </c>
      <c r="D10" s="46" t="s">
        <v>8</v>
      </c>
      <c r="E10" s="47"/>
      <c r="F10" s="48" t="s">
        <v>9</v>
      </c>
      <c r="G10" s="50" t="s">
        <v>10</v>
      </c>
      <c r="H10" s="47"/>
      <c r="I10" s="48" t="s">
        <v>113</v>
      </c>
    </row>
    <row r="11" spans="1:9" ht="24.9" customHeight="1">
      <c r="A11" s="13"/>
      <c r="B11" s="13" t="s">
        <v>11</v>
      </c>
      <c r="C11" s="13" t="s">
        <v>12</v>
      </c>
      <c r="D11" s="14" t="s">
        <v>102</v>
      </c>
      <c r="E11" s="15" t="s">
        <v>101</v>
      </c>
      <c r="F11" s="49"/>
      <c r="G11" s="14" t="s">
        <v>114</v>
      </c>
      <c r="H11" s="15" t="s">
        <v>101</v>
      </c>
      <c r="I11" s="49"/>
    </row>
    <row r="12" spans="1:9" ht="24.9" customHeight="1">
      <c r="A12" s="40" t="s">
        <v>13</v>
      </c>
      <c r="B12" s="39" t="s">
        <v>14</v>
      </c>
      <c r="C12" s="16" t="s">
        <v>15</v>
      </c>
      <c r="D12" s="17" t="n">
        <f>626802.0</f>
        <v>626802.0</v>
      </c>
      <c r="E12" s="18" t="n">
        <f>34887.0</f>
        <v>34887.0</v>
      </c>
      <c r="F12" s="19" t="n">
        <f>1.0</f>
        <v>1.0</v>
      </c>
      <c r="G12" s="17" t="n">
        <f>4272441071900.0</f>
        <v>4.2724410719E12</v>
      </c>
      <c r="H12" s="18" t="n">
        <f>281205510300.0</f>
        <v>2.812055103E11</v>
      </c>
      <c r="I12" s="19" t="n">
        <f>1.0</f>
        <v>1.0</v>
      </c>
    </row>
    <row r="13" spans="1:9" ht="24.9" customHeight="1">
      <c r="A13" s="41"/>
      <c r="B13" s="39"/>
      <c r="C13" s="20" t="s">
        <v>16</v>
      </c>
      <c r="D13" s="21" t="n">
        <f>348895.0</f>
        <v>348895.0</v>
      </c>
      <c r="E13" s="22" t="n">
        <f>20186.0</f>
        <v>20186.0</v>
      </c>
      <c r="F13" s="23" t="n">
        <f>1.0</f>
        <v>1.0</v>
      </c>
      <c r="G13" s="21" t="n">
        <f>3967113967595.0</f>
        <v>3.967113967595E12</v>
      </c>
      <c r="H13" s="22" t="n">
        <f>378330521120.0</f>
        <v>3.7833052112E11</v>
      </c>
      <c r="I13" s="23" t="n">
        <f>1.0</f>
        <v>1.0</v>
      </c>
    </row>
    <row r="14" spans="1:9" ht="24.9" customHeight="1">
      <c r="A14" s="41"/>
      <c r="B14" s="39"/>
      <c r="C14" s="20" t="s">
        <v>17</v>
      </c>
      <c r="D14" s="21" t="n">
        <f>390574.0</f>
        <v>390574.0</v>
      </c>
      <c r="E14" s="22" t="n">
        <f>30690.0</f>
        <v>30690.0</v>
      </c>
      <c r="F14" s="23" t="n">
        <f>1.0</f>
        <v>1.0</v>
      </c>
      <c r="G14" s="21" t="n">
        <f>5392617749569.0</f>
        <v>5.392617749569E12</v>
      </c>
      <c r="H14" s="22" t="n">
        <f>862523097444.0</f>
        <v>8.62523097444E11</v>
      </c>
      <c r="I14" s="23" t="n">
        <f>1.0</f>
        <v>1.0</v>
      </c>
    </row>
    <row r="15" spans="1:9" ht="24.9" customHeight="1">
      <c r="A15" s="42"/>
      <c r="B15" s="39"/>
      <c r="C15" s="24" t="s">
        <v>18</v>
      </c>
      <c r="D15" s="25" t="n">
        <f>1366271.0</f>
        <v>1366271.0</v>
      </c>
      <c r="E15" s="26" t="n">
        <f>85763.0</f>
        <v>85763.0</v>
      </c>
      <c r="F15" s="27" t="n">
        <f>1.0</f>
        <v>1.0</v>
      </c>
      <c r="G15" s="25" t="n">
        <f>13632172789064.0</f>
        <v>1.3632172789064E13</v>
      </c>
      <c r="H15" s="26" t="n">
        <f>1522059128864.0</f>
        <v>1.522059128864E12</v>
      </c>
      <c r="I15" s="27" t="n">
        <f>1.0</f>
        <v>1.0</v>
      </c>
    </row>
    <row r="16" spans="1:9" ht="24.9" customHeight="1">
      <c r="A16" s="40" t="s">
        <v>19</v>
      </c>
      <c r="B16" s="39" t="s">
        <v>20</v>
      </c>
      <c r="C16" s="16" t="s">
        <v>15</v>
      </c>
      <c r="D16" s="17" t="n">
        <f>8565.0</f>
        <v>8565.0</v>
      </c>
      <c r="E16" s="18" t="n">
        <f>88.0</f>
        <v>88.0</v>
      </c>
      <c r="F16" s="19" t="n">
        <f>0.014</f>
        <v>0.014</v>
      </c>
      <c r="G16" s="17" t="n">
        <f>1084633528750.0</f>
        <v>1.08463352875E12</v>
      </c>
      <c r="H16" s="18" t="n">
        <f>11363440000.0</f>
        <v>1.136344E10</v>
      </c>
      <c r="I16" s="19" t="n">
        <f>0.254</f>
        <v>0.254</v>
      </c>
    </row>
    <row r="17" spans="1:9" ht="24.9" customHeight="1">
      <c r="A17" s="41"/>
      <c r="B17" s="39"/>
      <c r="C17" s="20" t="s">
        <v>16</v>
      </c>
      <c r="D17" s="21" t="n">
        <f>15305.0</f>
        <v>15305.0</v>
      </c>
      <c r="E17" s="22" t="n">
        <f>1642.0</f>
        <v>1642.0</v>
      </c>
      <c r="F17" s="23" t="n">
        <f>0.044</f>
        <v>0.044</v>
      </c>
      <c r="G17" s="21" t="n">
        <f>1850636991875.0</f>
        <v>1.850636991875E12</v>
      </c>
      <c r="H17" s="22" t="n">
        <f>211556570000.0</f>
        <v>2.1155657E11</v>
      </c>
      <c r="I17" s="23" t="n">
        <f>0.466</f>
        <v>0.466</v>
      </c>
    </row>
    <row r="18" spans="1:9" ht="24.9" customHeight="1">
      <c r="A18" s="41"/>
      <c r="B18" s="39"/>
      <c r="C18" s="20" t="s">
        <v>17</v>
      </c>
      <c r="D18" s="21" t="n">
        <f>22163.0</f>
        <v>22163.0</v>
      </c>
      <c r="E18" s="22" t="n">
        <f>1722.0</f>
        <v>1722.0</v>
      </c>
      <c r="F18" s="23" t="n">
        <f>0.057</f>
        <v>0.057</v>
      </c>
      <c r="G18" s="21" t="n">
        <f>2228928541875.0</f>
        <v>2.228928541875E12</v>
      </c>
      <c r="H18" s="22" t="n">
        <f>221995150000.0</f>
        <v>2.2199515E11</v>
      </c>
      <c r="I18" s="23" t="n">
        <f>0.413</f>
        <v>0.413</v>
      </c>
    </row>
    <row r="19" spans="1:9" ht="24.9" customHeight="1">
      <c r="A19" s="41"/>
      <c r="B19" s="39"/>
      <c r="C19" s="24" t="s">
        <v>18</v>
      </c>
      <c r="D19" s="25" t="n">
        <f>46033.0</f>
        <v>46033.0</v>
      </c>
      <c r="E19" s="26" t="n">
        <f>3452.0</f>
        <v>3452.0</v>
      </c>
      <c r="F19" s="27" t="n">
        <f>0.034</f>
        <v>0.034</v>
      </c>
      <c r="G19" s="25" t="n">
        <f>5164199062500.0</f>
        <v>5.1641990625E12</v>
      </c>
      <c r="H19" s="26" t="n">
        <f>444915160000.0</f>
        <v>4.4491516E11</v>
      </c>
      <c r="I19" s="27" t="n">
        <f>0.379</f>
        <v>0.379</v>
      </c>
    </row>
    <row r="20" spans="1:9" ht="24.9" customHeight="1">
      <c r="A20" s="41"/>
      <c r="B20" s="39" t="s">
        <v>21</v>
      </c>
      <c r="C20" s="16" t="s">
        <v>15</v>
      </c>
      <c r="D20" s="17" t="n">
        <f>601920.0</f>
        <v>601920.0</v>
      </c>
      <c r="E20" s="18" t="n">
        <f>34749.0</f>
        <v>34749.0</v>
      </c>
      <c r="F20" s="19" t="n">
        <f>0.96</f>
        <v>0.96</v>
      </c>
      <c r="G20" s="17" t="n">
        <f>3013831001250.0</f>
        <v>3.01383100125E12</v>
      </c>
      <c r="H20" s="18" t="n">
        <f>269805506300.0</f>
        <v>2.698055063E11</v>
      </c>
      <c r="I20" s="19" t="n">
        <f>0.705</f>
        <v>0.705</v>
      </c>
    </row>
    <row r="21" spans="1:9" ht="24.9" customHeight="1">
      <c r="A21" s="41"/>
      <c r="B21" s="39"/>
      <c r="C21" s="20" t="s">
        <v>16</v>
      </c>
      <c r="D21" s="21" t="n">
        <f>326464.0</f>
        <v>326464.0</v>
      </c>
      <c r="E21" s="22" t="n">
        <f>18543.0</f>
        <v>18543.0</v>
      </c>
      <c r="F21" s="23" t="n">
        <f>0.936</f>
        <v>0.936</v>
      </c>
      <c r="G21" s="21" t="n">
        <f>2050346821770.0</f>
        <v>2.05034682177E12</v>
      </c>
      <c r="H21" s="22" t="n">
        <f>166771494720.0</f>
        <v>1.6677149472E11</v>
      </c>
      <c r="I21" s="23" t="n">
        <f>0.517</f>
        <v>0.517</v>
      </c>
    </row>
    <row r="22" spans="1:9" ht="24.9" customHeight="1">
      <c r="A22" s="41"/>
      <c r="B22" s="39"/>
      <c r="C22" s="20" t="s">
        <v>17</v>
      </c>
      <c r="D22" s="21" t="n">
        <f>354125.0</f>
        <v>354125.0</v>
      </c>
      <c r="E22" s="22" t="n">
        <f>28968.0</f>
        <v>28968.0</v>
      </c>
      <c r="F22" s="23" t="n">
        <f>0.907</f>
        <v>0.907</v>
      </c>
      <c r="G22" s="21" t="n">
        <f>3027682137394.0</f>
        <v>3.027682137394E12</v>
      </c>
      <c r="H22" s="22" t="n">
        <f>640527947444.0</f>
        <v>6.40527947444E11</v>
      </c>
      <c r="I22" s="23" t="n">
        <f>0.561</f>
        <v>0.561</v>
      </c>
    </row>
    <row r="23" spans="1:9" ht="24.9" customHeight="1">
      <c r="A23" s="41"/>
      <c r="B23" s="39"/>
      <c r="C23" s="24" t="s">
        <v>18</v>
      </c>
      <c r="D23" s="25" t="n">
        <f>1282509.0</f>
        <v>1282509.0</v>
      </c>
      <c r="E23" s="26" t="n">
        <f>82260.0</f>
        <v>82260.0</v>
      </c>
      <c r="F23" s="27" t="n">
        <f>0.939</f>
        <v>0.939</v>
      </c>
      <c r="G23" s="25" t="n">
        <f>8091859960414.0</f>
        <v>8.091859960414E12</v>
      </c>
      <c r="H23" s="26" t="n">
        <f>1077104948464.0</f>
        <v>1.077104948464E12</v>
      </c>
      <c r="I23" s="27" t="n">
        <f>0.594</f>
        <v>0.594</v>
      </c>
    </row>
    <row r="24" spans="1:9" ht="24.9" customHeight="1">
      <c r="A24" s="41"/>
      <c r="B24" s="39" t="s">
        <v>22</v>
      </c>
      <c r="C24" s="16" t="s">
        <v>15</v>
      </c>
      <c r="D24" s="17" t="n">
        <f>14832.0</f>
        <v>14832.0</v>
      </c>
      <c r="E24" s="18" t="n">
        <f>0.0</f>
        <v>0.0</v>
      </c>
      <c r="F24" s="19" t="n">
        <f>0.024</f>
        <v>0.024</v>
      </c>
      <c r="G24" s="17" t="n">
        <f>167547858400.0</f>
        <v>1.675478584E11</v>
      </c>
      <c r="H24" s="18" t="n">
        <f>0.0</f>
        <v>0.0</v>
      </c>
      <c r="I24" s="19" t="n">
        <f>0.039</f>
        <v>0.039</v>
      </c>
    </row>
    <row r="25" spans="1:9" ht="24.9" customHeight="1">
      <c r="A25" s="41"/>
      <c r="B25" s="39"/>
      <c r="C25" s="20" t="s">
        <v>16</v>
      </c>
      <c r="D25" s="21" t="n">
        <f>6754.0</f>
        <v>6754.0</v>
      </c>
      <c r="E25" s="22" t="n">
        <f>1.0</f>
        <v>1.0</v>
      </c>
      <c r="F25" s="23" t="n">
        <f>0.019</f>
        <v>0.019</v>
      </c>
      <c r="G25" s="21" t="n">
        <f>64464468450.0</f>
        <v>6.446446845E10</v>
      </c>
      <c r="H25" s="22" t="n">
        <f>2456400.0</f>
        <v>2456400.0</v>
      </c>
      <c r="I25" s="23" t="n">
        <f>0.016</f>
        <v>0.016</v>
      </c>
    </row>
    <row r="26" spans="1:9" ht="24.9" customHeight="1">
      <c r="A26" s="41"/>
      <c r="B26" s="39"/>
      <c r="C26" s="20" t="s">
        <v>17</v>
      </c>
      <c r="D26" s="21" t="n">
        <f>9767.0</f>
        <v>9767.0</v>
      </c>
      <c r="E26" s="22" t="n">
        <f>0.0</f>
        <v>0.0</v>
      </c>
      <c r="F26" s="23" t="n">
        <f>0.025</f>
        <v>0.025</v>
      </c>
      <c r="G26" s="21" t="n">
        <f>115914037300.0</f>
        <v>1.159140373E11</v>
      </c>
      <c r="H26" s="22" t="n">
        <f>0.0</f>
        <v>0.0</v>
      </c>
      <c r="I26" s="23" t="n">
        <f>0.021</f>
        <v>0.021</v>
      </c>
    </row>
    <row r="27" spans="1:9" ht="24.9" customHeight="1">
      <c r="A27" s="42"/>
      <c r="B27" s="39"/>
      <c r="C27" s="24" t="s">
        <v>18</v>
      </c>
      <c r="D27" s="25" t="n">
        <f>31353.0</f>
        <v>31353.0</v>
      </c>
      <c r="E27" s="26" t="n">
        <f>1.0</f>
        <v>1.0</v>
      </c>
      <c r="F27" s="27" t="n">
        <f>0.023</f>
        <v>0.023</v>
      </c>
      <c r="G27" s="25" t="n">
        <f>347926364150.0</f>
        <v>3.4792636415E11</v>
      </c>
      <c r="H27" s="26" t="n">
        <f>2456400.0</f>
        <v>2456400.0</v>
      </c>
      <c r="I27" s="27" t="n">
        <f>0.026</f>
        <v>0.026</v>
      </c>
    </row>
    <row r="28" spans="1:9" ht="24.9" customHeight="1">
      <c r="A28" s="38" t="s">
        <v>23</v>
      </c>
      <c r="B28" s="39" t="s">
        <v>24</v>
      </c>
      <c r="C28" s="16" t="s">
        <v>15</v>
      </c>
      <c r="D28" s="17" t="n">
        <f>1485.0</f>
        <v>1485.0</v>
      </c>
      <c r="E28" s="18" t="n">
        <f>50.0</f>
        <v>50.0</v>
      </c>
      <c r="F28" s="19" t="n">
        <f>0.002</f>
        <v>0.002</v>
      </c>
      <c r="G28" s="17" t="n">
        <f>6428683500.0</f>
        <v>6.4286835E9</v>
      </c>
      <c r="H28" s="18" t="n">
        <f>36564000.0</f>
        <v>3.6564E7</v>
      </c>
      <c r="I28" s="19" t="n">
        <f>0.002</f>
        <v>0.002</v>
      </c>
    </row>
    <row r="29" spans="1:9" ht="24.9" customHeight="1">
      <c r="A29" s="38"/>
      <c r="B29" s="39"/>
      <c r="C29" s="20" t="s">
        <v>16</v>
      </c>
      <c r="D29" s="21" t="n">
        <f>372.0</f>
        <v>372.0</v>
      </c>
      <c r="E29" s="22" t="n">
        <f>0.0</f>
        <v>0.0</v>
      </c>
      <c r="F29" s="23" t="n">
        <f>0.001</f>
        <v>0.001</v>
      </c>
      <c r="G29" s="21" t="n">
        <f>1665685500.0</f>
        <v>1.6656855E9</v>
      </c>
      <c r="H29" s="22" t="n">
        <f>0.0</f>
        <v>0.0</v>
      </c>
      <c r="I29" s="23" t="n">
        <f>0.0</f>
        <v>0.0</v>
      </c>
    </row>
    <row r="30" spans="1:9" ht="24.9" customHeight="1">
      <c r="A30" s="38"/>
      <c r="B30" s="39"/>
      <c r="C30" s="20" t="s">
        <v>17</v>
      </c>
      <c r="D30" s="21" t="n">
        <f>4519.0</f>
        <v>4519.0</v>
      </c>
      <c r="E30" s="22" t="n">
        <f>0.0</f>
        <v>0.0</v>
      </c>
      <c r="F30" s="23" t="n">
        <f>0.012</f>
        <v>0.012</v>
      </c>
      <c r="G30" s="21" t="n">
        <f>20093033000.0</f>
        <v>2.0093033E10</v>
      </c>
      <c r="H30" s="22" t="n">
        <f>0.0</f>
        <v>0.0</v>
      </c>
      <c r="I30" s="23" t="n">
        <f>0.004</f>
        <v>0.004</v>
      </c>
    </row>
    <row r="31" spans="1:9" ht="24.9" customHeight="1">
      <c r="A31" s="38"/>
      <c r="B31" s="39"/>
      <c r="C31" s="24" t="s">
        <v>18</v>
      </c>
      <c r="D31" s="25" t="n">
        <f>6376.0</f>
        <v>6376.0</v>
      </c>
      <c r="E31" s="26" t="n">
        <f>50.0</f>
        <v>50.0</v>
      </c>
      <c r="F31" s="27" t="n">
        <f>0.005</f>
        <v>0.005</v>
      </c>
      <c r="G31" s="25" t="n">
        <f>28187402000.0</f>
        <v>2.8187402E10</v>
      </c>
      <c r="H31" s="26" t="n">
        <f>36564000.0</f>
        <v>3.6564E7</v>
      </c>
      <c r="I31" s="27" t="n">
        <f>0.002</f>
        <v>0.002</v>
      </c>
    </row>
  </sheetData>
  <mergeCells count="16">
    <mergeCell ref="A1:I1"/>
    <mergeCell ref="A2:I2"/>
    <mergeCell ref="A3:I3"/>
    <mergeCell ref="A4:I4"/>
    <mergeCell ref="D10:E10"/>
    <mergeCell ref="F10:F11"/>
    <mergeCell ref="G10:H10"/>
    <mergeCell ref="I10:I11"/>
    <mergeCell ref="A28:A31"/>
    <mergeCell ref="B28:B31"/>
    <mergeCell ref="A12:A15"/>
    <mergeCell ref="B12:B15"/>
    <mergeCell ref="A16:A27"/>
    <mergeCell ref="B16:B19"/>
    <mergeCell ref="B20:B23"/>
    <mergeCell ref="B24:B27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28" width="4.6640625" collapsed="true"/>
    <col min="2" max="2" bestFit="true" customWidth="true" style="28" width="28.0" collapsed="true"/>
    <col min="3" max="3" customWidth="true" style="28" width="18.0" collapsed="true"/>
    <col min="4" max="5" customWidth="true" style="28" width="22.6640625" collapsed="true"/>
    <col min="6" max="6" customWidth="true" style="28" width="16.6640625" collapsed="true"/>
    <col min="7" max="8" customWidth="true" style="28" width="22.6640625" collapsed="true"/>
    <col min="9" max="9" customWidth="true" style="28" width="16.6640625" collapsed="true"/>
    <col min="10" max="16384" style="28" width="9.0" collapsed="true"/>
  </cols>
  <sheetData>
    <row r="1" spans="1:9" ht="28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summary_data_Futures!A3:I3</f>
        <v>46155.0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summary_data_Futures!A4:I4</f>
        <v>46155.0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26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27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</row>
    <row r="9" spans="1:9" ht="24.9" customHeight="1">
      <c r="A9" s="12"/>
      <c r="B9" s="12" t="s">
        <v>7</v>
      </c>
      <c r="C9" s="12" t="s">
        <v>0</v>
      </c>
      <c r="D9" s="46" t="s">
        <v>8</v>
      </c>
      <c r="E9" s="47"/>
      <c r="F9" s="48" t="s">
        <v>9</v>
      </c>
      <c r="G9" s="50" t="s">
        <v>10</v>
      </c>
      <c r="H9" s="47"/>
      <c r="I9" s="48" t="s">
        <v>113</v>
      </c>
    </row>
    <row r="10" spans="1:9" ht="24.9" customHeight="1">
      <c r="A10" s="13"/>
      <c r="B10" s="13" t="s">
        <v>11</v>
      </c>
      <c r="C10" s="13" t="s">
        <v>12</v>
      </c>
      <c r="D10" s="14" t="s">
        <v>102</v>
      </c>
      <c r="E10" s="15" t="s">
        <v>101</v>
      </c>
      <c r="F10" s="49"/>
      <c r="G10" s="14" t="s">
        <v>114</v>
      </c>
      <c r="H10" s="15" t="s">
        <v>101</v>
      </c>
      <c r="I10" s="49"/>
    </row>
    <row r="11" spans="1:9" ht="24.9" customHeight="1">
      <c r="A11" s="40" t="s">
        <v>13</v>
      </c>
      <c r="B11" s="39" t="s">
        <v>29</v>
      </c>
      <c r="C11" s="16" t="s">
        <v>15</v>
      </c>
      <c r="D11" s="17" t="n">
        <f>16857</f>
        <v>16857.0</v>
      </c>
      <c r="E11" s="18" t="n">
        <f>3406</f>
        <v>3406.0</v>
      </c>
      <c r="F11" s="19" t="n">
        <f>1</f>
        <v>1.0</v>
      </c>
      <c r="G11" s="17" t="n">
        <f>3449513649</f>
        <v>3.449513649E9</v>
      </c>
      <c r="H11" s="18" t="n">
        <f>2539726549</f>
        <v>2.539726549E9</v>
      </c>
      <c r="I11" s="19" t="n">
        <f>1</f>
        <v>1.0</v>
      </c>
    </row>
    <row r="12" spans="1:9" ht="24.9" customHeight="1">
      <c r="A12" s="41"/>
      <c r="B12" s="39"/>
      <c r="C12" s="20" t="s">
        <v>16</v>
      </c>
      <c r="D12" s="21" t="n">
        <f>26261</f>
        <v>26261.0</v>
      </c>
      <c r="E12" s="22" t="n">
        <f>4170</f>
        <v>4170.0</v>
      </c>
      <c r="F12" s="23" t="n">
        <f>1</f>
        <v>1.0</v>
      </c>
      <c r="G12" s="21" t="n">
        <f>5200105409</f>
        <v>5.200105409E9</v>
      </c>
      <c r="H12" s="22" t="n">
        <f>3915641678</f>
        <v>3.915641678E9</v>
      </c>
      <c r="I12" s="23" t="n">
        <f>1</f>
        <v>1.0</v>
      </c>
    </row>
    <row r="13" spans="1:9" ht="24.9" customHeight="1">
      <c r="A13" s="41"/>
      <c r="B13" s="39"/>
      <c r="C13" s="20" t="s">
        <v>17</v>
      </c>
      <c r="D13" s="21" t="n">
        <f>42157</f>
        <v>42157.0</v>
      </c>
      <c r="E13" s="22" t="n">
        <f>23982</f>
        <v>23982.0</v>
      </c>
      <c r="F13" s="23" t="n">
        <f>1</f>
        <v>1.0</v>
      </c>
      <c r="G13" s="21" t="n">
        <f>16650932826</f>
        <v>1.6650932826E10</v>
      </c>
      <c r="H13" s="22" t="n">
        <f>14631754080</f>
        <v>1.463175408E10</v>
      </c>
      <c r="I13" s="23" t="n">
        <f>1</f>
        <v>1.0</v>
      </c>
    </row>
    <row r="14" spans="1:9" ht="24.9" customHeight="1">
      <c r="A14" s="42"/>
      <c r="B14" s="39"/>
      <c r="C14" s="24" t="s">
        <v>18</v>
      </c>
      <c r="D14" s="25" t="n">
        <f>85275</f>
        <v>85275.0</v>
      </c>
      <c r="E14" s="26" t="n">
        <f>31558</f>
        <v>31558.0</v>
      </c>
      <c r="F14" s="27" t="n">
        <f>1</f>
        <v>1.0</v>
      </c>
      <c r="G14" s="25" t="n">
        <f>25300551884</f>
        <v>2.5300551884E10</v>
      </c>
      <c r="H14" s="26" t="n">
        <f>21087122307</f>
        <v>2.1087122307E10</v>
      </c>
      <c r="I14" s="27" t="n">
        <f>1</f>
        <v>1.0</v>
      </c>
    </row>
    <row r="15" spans="1:9" ht="24.9" customHeight="1">
      <c r="A15" s="40" t="s">
        <v>19</v>
      </c>
      <c r="B15" s="39" t="s">
        <v>30</v>
      </c>
      <c r="C15" s="16" t="s">
        <v>15</v>
      </c>
      <c r="D15" s="17" t="n">
        <f>25</f>
        <v>25.0</v>
      </c>
      <c r="E15" s="18" t="n">
        <f>0</f>
        <v>0.0</v>
      </c>
      <c r="F15" s="19" t="n">
        <f>0.001</f>
        <v>0.001</v>
      </c>
      <c r="G15" s="17" t="n">
        <f>9000000</f>
        <v>9000000.0</v>
      </c>
      <c r="H15" s="18" t="n">
        <f>0</f>
        <v>0.0</v>
      </c>
      <c r="I15" s="19" t="n">
        <f>0.003</f>
        <v>0.003</v>
      </c>
    </row>
    <row r="16" spans="1:9" ht="24.9" customHeight="1">
      <c r="A16" s="41"/>
      <c r="B16" s="39"/>
      <c r="C16" s="20" t="s">
        <v>16</v>
      </c>
      <c r="D16" s="21" t="n">
        <f>211</f>
        <v>211.0</v>
      </c>
      <c r="E16" s="22" t="n">
        <f>200</f>
        <v>200.0</v>
      </c>
      <c r="F16" s="23" t="n">
        <f>0.008</f>
        <v>0.008</v>
      </c>
      <c r="G16" s="21" t="n">
        <f>26940000</f>
        <v>2.694E7</v>
      </c>
      <c r="H16" s="22" t="n">
        <f>24500000</f>
        <v>2.45E7</v>
      </c>
      <c r="I16" s="23" t="n">
        <f>0.005</f>
        <v>0.005</v>
      </c>
    </row>
    <row r="17" spans="1:9" ht="24.9" customHeight="1">
      <c r="A17" s="41"/>
      <c r="B17" s="39"/>
      <c r="C17" s="20" t="s">
        <v>17</v>
      </c>
      <c r="D17" s="21" t="n">
        <f>101</f>
        <v>101.0</v>
      </c>
      <c r="E17" s="22" t="n">
        <f>0</f>
        <v>0.0</v>
      </c>
      <c r="F17" s="23" t="n">
        <f>0.002</f>
        <v>0.002</v>
      </c>
      <c r="G17" s="21" t="n">
        <f>13480000</f>
        <v>1.348E7</v>
      </c>
      <c r="H17" s="22" t="n">
        <f>0</f>
        <v>0.0</v>
      </c>
      <c r="I17" s="23" t="n">
        <f>0.001</f>
        <v>0.001</v>
      </c>
    </row>
    <row r="18" spans="1:9" ht="24.9" customHeight="1">
      <c r="A18" s="41"/>
      <c r="B18" s="39"/>
      <c r="C18" s="24" t="s">
        <v>18</v>
      </c>
      <c r="D18" s="25" t="n">
        <f>337</f>
        <v>337.0</v>
      </c>
      <c r="E18" s="26" t="n">
        <f>200</f>
        <v>200.0</v>
      </c>
      <c r="F18" s="27" t="n">
        <f>0.004</f>
        <v>0.004</v>
      </c>
      <c r="G18" s="25" t="n">
        <f>49420000</f>
        <v>4.942E7</v>
      </c>
      <c r="H18" s="26" t="n">
        <f>24500000</f>
        <v>2.45E7</v>
      </c>
      <c r="I18" s="27" t="n">
        <f>0.002</f>
        <v>0.002</v>
      </c>
    </row>
    <row r="19" spans="1:9" ht="24.9" customHeight="1">
      <c r="A19" s="41"/>
      <c r="B19" s="39" t="s">
        <v>31</v>
      </c>
      <c r="C19" s="16" t="s">
        <v>15</v>
      </c>
      <c r="D19" s="17" t="n">
        <f>16832</f>
        <v>16832.0</v>
      </c>
      <c r="E19" s="18" t="n">
        <f>3406</f>
        <v>3406.0</v>
      </c>
      <c r="F19" s="19" t="n">
        <f>0.999</f>
        <v>0.999</v>
      </c>
      <c r="G19" s="17" t="n">
        <f>3440513649</f>
        <v>3.440513649E9</v>
      </c>
      <c r="H19" s="18" t="n">
        <f>2539726549</f>
        <v>2.539726549E9</v>
      </c>
      <c r="I19" s="19" t="n">
        <f>0.997</f>
        <v>0.997</v>
      </c>
    </row>
    <row r="20" spans="1:9" ht="24.9" customHeight="1">
      <c r="A20" s="41"/>
      <c r="B20" s="39"/>
      <c r="C20" s="20" t="s">
        <v>16</v>
      </c>
      <c r="D20" s="21" t="n">
        <f>17404</f>
        <v>17404.0</v>
      </c>
      <c r="E20" s="22" t="n">
        <f>3340</f>
        <v>3340.0</v>
      </c>
      <c r="F20" s="23" t="n">
        <f>0.663</f>
        <v>0.663</v>
      </c>
      <c r="G20" s="21" t="n">
        <f>5082548878</f>
        <v>5.082548878E9</v>
      </c>
      <c r="H20" s="22" t="n">
        <f>3853026678</f>
        <v>3.853026678E9</v>
      </c>
      <c r="I20" s="23" t="n">
        <f>0.977</f>
        <v>0.977</v>
      </c>
    </row>
    <row r="21" spans="1:9" ht="24.9" customHeight="1">
      <c r="A21" s="41"/>
      <c r="B21" s="39"/>
      <c r="C21" s="20" t="s">
        <v>17</v>
      </c>
      <c r="D21" s="21" t="n">
        <f>35742</f>
        <v>35742.0</v>
      </c>
      <c r="E21" s="22" t="n">
        <f>19782</f>
        <v>19782.0</v>
      </c>
      <c r="F21" s="23" t="n">
        <f>0.848</f>
        <v>0.848</v>
      </c>
      <c r="G21" s="21" t="n">
        <f>16418360280</f>
        <v>1.641836028E10</v>
      </c>
      <c r="H21" s="22" t="n">
        <f>14446254080</f>
        <v>1.444625408E10</v>
      </c>
      <c r="I21" s="23" t="n">
        <f>0.986</f>
        <v>0.986</v>
      </c>
    </row>
    <row r="22" spans="1:9" ht="24.9" customHeight="1">
      <c r="A22" s="41"/>
      <c r="B22" s="39"/>
      <c r="C22" s="24" t="s">
        <v>18</v>
      </c>
      <c r="D22" s="25" t="n">
        <f>69978</f>
        <v>69978.0</v>
      </c>
      <c r="E22" s="26" t="n">
        <f>26528</f>
        <v>26528.0</v>
      </c>
      <c r="F22" s="27" t="n">
        <f>0.821</f>
        <v>0.821</v>
      </c>
      <c r="G22" s="25" t="n">
        <f>24941422807</f>
        <v>2.4941422807E10</v>
      </c>
      <c r="H22" s="26" t="n">
        <f>20839007307</f>
        <v>2.0839007307E10</v>
      </c>
      <c r="I22" s="27" t="n">
        <f>0.986</f>
        <v>0.986</v>
      </c>
    </row>
    <row r="23" spans="1:9" ht="24.9" customHeight="1">
      <c r="A23" s="41"/>
      <c r="B23" s="39" t="s">
        <v>32</v>
      </c>
      <c r="C23" s="16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41"/>
      <c r="B24" s="39"/>
      <c r="C24" s="20" t="s">
        <v>16</v>
      </c>
      <c r="D24" s="21" t="n">
        <f>8646</f>
        <v>8646.0</v>
      </c>
      <c r="E24" s="22" t="n">
        <f>630</f>
        <v>630.0</v>
      </c>
      <c r="F24" s="23" t="n">
        <f>0.329</f>
        <v>0.329</v>
      </c>
      <c r="G24" s="21" t="n">
        <f>90616531</f>
        <v>9.0616531E7</v>
      </c>
      <c r="H24" s="22" t="n">
        <f>38115000</f>
        <v>3.8115E7</v>
      </c>
      <c r="I24" s="23" t="n">
        <f>0.017</f>
        <v>0.017</v>
      </c>
    </row>
    <row r="25" spans="1:9" ht="24.9" customHeight="1">
      <c r="A25" s="41"/>
      <c r="B25" s="39"/>
      <c r="C25" s="20" t="s">
        <v>17</v>
      </c>
      <c r="D25" s="21" t="n">
        <f>6314</f>
        <v>6314.0</v>
      </c>
      <c r="E25" s="22" t="n">
        <f>4200</f>
        <v>4200.0</v>
      </c>
      <c r="F25" s="23" t="n">
        <f>0.15</f>
        <v>0.15</v>
      </c>
      <c r="G25" s="21" t="n">
        <f>219092546</f>
        <v>2.19092546E8</v>
      </c>
      <c r="H25" s="22" t="n">
        <f>185500000</f>
        <v>1.855E8</v>
      </c>
      <c r="I25" s="23" t="n">
        <f>0.013</f>
        <v>0.013</v>
      </c>
    </row>
    <row r="26" spans="1:9" ht="24.9" customHeight="1">
      <c r="A26" s="41"/>
      <c r="B26" s="39"/>
      <c r="C26" s="24" t="s">
        <v>18</v>
      </c>
      <c r="D26" s="25" t="n">
        <f>14960</f>
        <v>14960.0</v>
      </c>
      <c r="E26" s="26" t="n">
        <f>4830</f>
        <v>4830.0</v>
      </c>
      <c r="F26" s="27" t="n">
        <f>0.175</f>
        <v>0.175</v>
      </c>
      <c r="G26" s="25" t="n">
        <f>309709077</f>
        <v>3.09709077E8</v>
      </c>
      <c r="H26" s="26" t="n">
        <f>223615000</f>
        <v>2.23615E8</v>
      </c>
      <c r="I26" s="27" t="n">
        <f>0.012</f>
        <v>0.012</v>
      </c>
    </row>
    <row r="27" spans="1:9" ht="24.9" customHeight="1">
      <c r="A27" s="41"/>
      <c r="B27" s="39" t="s">
        <v>33</v>
      </c>
      <c r="C27" s="16" t="s">
        <v>15</v>
      </c>
      <c r="D27" s="17" t="n">
        <f>0</f>
        <v>0.0</v>
      </c>
      <c r="E27" s="18" t="n">
        <f>0</f>
        <v>0.0</v>
      </c>
      <c r="F27" s="19" t="n">
        <f>0</f>
        <v>0.0</v>
      </c>
      <c r="G27" s="17" t="n">
        <f>0</f>
        <v>0.0</v>
      </c>
      <c r="H27" s="18" t="n">
        <f>0</f>
        <v>0.0</v>
      </c>
      <c r="I27" s="19" t="n">
        <f>0</f>
        <v>0.0</v>
      </c>
    </row>
    <row r="28" spans="1:9" ht="24.9" customHeight="1">
      <c r="A28" s="41"/>
      <c r="B28" s="39"/>
      <c r="C28" s="20" t="s">
        <v>16</v>
      </c>
      <c r="D28" s="21" t="n">
        <f>0</f>
        <v>0.0</v>
      </c>
      <c r="E28" s="22" t="n">
        <f>0</f>
        <v>0.0</v>
      </c>
      <c r="F28" s="23" t="n">
        <f>0</f>
        <v>0.0</v>
      </c>
      <c r="G28" s="21" t="n">
        <f>0</f>
        <v>0.0</v>
      </c>
      <c r="H28" s="22" t="n">
        <f>0</f>
        <v>0.0</v>
      </c>
      <c r="I28" s="23" t="n">
        <f>0</f>
        <v>0.0</v>
      </c>
    </row>
    <row r="29" spans="1:9" ht="24.9" customHeight="1">
      <c r="A29" s="41"/>
      <c r="B29" s="39"/>
      <c r="C29" s="20" t="s">
        <v>17</v>
      </c>
      <c r="D29" s="21" t="n">
        <f>0</f>
        <v>0.0</v>
      </c>
      <c r="E29" s="22" t="n">
        <f>0</f>
        <v>0.0</v>
      </c>
      <c r="F29" s="23" t="n">
        <f>0</f>
        <v>0.0</v>
      </c>
      <c r="G29" s="21" t="n">
        <f>0</f>
        <v>0.0</v>
      </c>
      <c r="H29" s="22" t="n">
        <f>0</f>
        <v>0.0</v>
      </c>
      <c r="I29" s="23" t="n">
        <f>0</f>
        <v>0.0</v>
      </c>
    </row>
    <row r="30" spans="1:9" ht="24.9" customHeight="1">
      <c r="A30" s="42"/>
      <c r="B30" s="39"/>
      <c r="C30" s="24" t="s">
        <v>18</v>
      </c>
      <c r="D30" s="25" t="n">
        <f>0</f>
        <v>0.0</v>
      </c>
      <c r="E30" s="26" t="n">
        <f>0</f>
        <v>0.0</v>
      </c>
      <c r="F30" s="27" t="n">
        <f>0</f>
        <v>0.0</v>
      </c>
      <c r="G30" s="25" t="n">
        <f>0</f>
        <v>0.0</v>
      </c>
      <c r="H30" s="26" t="n">
        <f>0</f>
        <v>0.0</v>
      </c>
      <c r="I30" s="27" t="n">
        <f>0</f>
        <v>0.0</v>
      </c>
    </row>
  </sheetData>
  <mergeCells count="15">
    <mergeCell ref="A1:I1"/>
    <mergeCell ref="A2:I2"/>
    <mergeCell ref="A3:I3"/>
    <mergeCell ref="A4:I4"/>
    <mergeCell ref="D9:E9"/>
    <mergeCell ref="F9:F10"/>
    <mergeCell ref="G9:H9"/>
    <mergeCell ref="I9:I10"/>
    <mergeCell ref="A11:A14"/>
    <mergeCell ref="B11:B14"/>
    <mergeCell ref="A15:A30"/>
    <mergeCell ref="B15:B18"/>
    <mergeCell ref="B19:B22"/>
    <mergeCell ref="B23:B26"/>
    <mergeCell ref="B27:B3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4" width="4.6640625" collapsed="true"/>
    <col min="2" max="2" customWidth="true" style="4" width="7.88671875" collapsed="true"/>
    <col min="3" max="3" customWidth="true" style="4" width="29.77734375" collapsed="true"/>
    <col min="4" max="4" bestFit="true" customWidth="true" style="4" width="14.6640625" collapsed="true"/>
    <col min="5" max="8" customWidth="true" style="4" width="21.109375" collapsed="true"/>
    <col min="9" max="16384" style="4" width="9.0" collapsed="true"/>
  </cols>
  <sheetData>
    <row r="1" spans="1:8" ht="28.5" customHeight="1">
      <c r="A1" s="43" t="s">
        <v>34</v>
      </c>
      <c r="B1" s="43"/>
      <c r="C1" s="43"/>
      <c r="D1" s="43"/>
      <c r="E1" s="43"/>
      <c r="F1" s="43"/>
      <c r="G1" s="43"/>
      <c r="H1" s="43"/>
    </row>
    <row r="2" spans="1:8" ht="23.1" customHeight="1">
      <c r="A2" s="43" t="s">
        <v>2</v>
      </c>
      <c r="B2" s="43"/>
      <c r="C2" s="43"/>
      <c r="D2" s="43"/>
      <c r="E2" s="43"/>
      <c r="F2" s="43"/>
      <c r="G2" s="43"/>
      <c r="H2" s="43"/>
    </row>
    <row r="3" spans="1:8" ht="16.5" customHeight="1">
      <c r="A3" s="60" t="n">
        <f>summary_data_Futures!A3:I3</f>
        <v>46155.0</v>
      </c>
      <c r="B3" s="44"/>
      <c r="C3" s="44"/>
      <c r="D3" s="44"/>
      <c r="E3" s="44"/>
      <c r="F3" s="44"/>
      <c r="G3" s="44"/>
      <c r="H3" s="44"/>
    </row>
    <row r="4" spans="1:8" ht="16.5" customHeight="1">
      <c r="A4" s="45" t="n">
        <f>summary_data_Futures!A4:I4</f>
        <v>46155.0</v>
      </c>
      <c r="B4" s="45"/>
      <c r="C4" s="45"/>
      <c r="D4" s="45"/>
      <c r="E4" s="45"/>
      <c r="F4" s="45"/>
      <c r="G4" s="45"/>
      <c r="H4" s="45"/>
    </row>
    <row r="5" spans="1:8" ht="9.75" customHeight="1">
      <c r="A5" s="29"/>
      <c r="B5" s="5"/>
      <c r="C5" s="5"/>
      <c r="D5" s="5"/>
      <c r="E5" s="5"/>
      <c r="F5" s="5"/>
      <c r="G5" s="5"/>
      <c r="H5" s="5"/>
    </row>
    <row r="6" spans="1:8" ht="14.25" customHeight="1">
      <c r="A6" s="7" t="s">
        <v>35</v>
      </c>
      <c r="B6" s="8"/>
      <c r="C6" s="9"/>
      <c r="D6" s="9"/>
      <c r="E6" s="9"/>
      <c r="F6" s="6"/>
      <c r="G6" s="9"/>
      <c r="H6" s="6"/>
    </row>
    <row r="7" spans="1:8" ht="14.25" customHeight="1">
      <c r="A7" s="10" t="s">
        <v>4</v>
      </c>
      <c r="B7" s="10"/>
      <c r="C7" s="11"/>
      <c r="D7" s="11"/>
      <c r="E7" s="11"/>
      <c r="F7" s="11"/>
      <c r="G7" s="11"/>
      <c r="H7" s="11"/>
    </row>
    <row r="8" spans="1:8" ht="14.25" customHeight="1">
      <c r="A8" s="10" t="s">
        <v>5</v>
      </c>
      <c r="B8" s="10"/>
      <c r="C8" s="11"/>
      <c r="D8" s="11"/>
      <c r="E8" s="11"/>
      <c r="F8" s="11"/>
      <c r="G8" s="11"/>
      <c r="H8" s="11"/>
    </row>
    <row r="9" spans="1:8" ht="14.25" customHeight="1">
      <c r="A9" s="10" t="s">
        <v>6</v>
      </c>
      <c r="B9" s="10"/>
      <c r="C9" s="11"/>
      <c r="D9" s="11"/>
      <c r="E9" s="11"/>
      <c r="F9" s="11"/>
      <c r="G9" s="11"/>
      <c r="H9" s="11"/>
    </row>
    <row r="10" spans="1:8" ht="24.9" customHeight="1">
      <c r="A10" s="30"/>
      <c r="B10" s="31"/>
      <c r="C10" s="12" t="s">
        <v>7</v>
      </c>
      <c r="D10" s="12" t="s">
        <v>0</v>
      </c>
      <c r="E10" s="46" t="s">
        <v>8</v>
      </c>
      <c r="F10" s="47"/>
      <c r="G10" s="50" t="s">
        <v>10</v>
      </c>
      <c r="H10" s="47"/>
    </row>
    <row r="11" spans="1:8" ht="24.9" customHeight="1">
      <c r="A11" s="32"/>
      <c r="B11" s="33"/>
      <c r="C11" s="13" t="s">
        <v>11</v>
      </c>
      <c r="D11" s="13" t="s">
        <v>12</v>
      </c>
      <c r="E11" s="14" t="s">
        <v>102</v>
      </c>
      <c r="F11" s="15" t="s">
        <v>101</v>
      </c>
      <c r="G11" s="14" t="s">
        <v>114</v>
      </c>
      <c r="H11" s="15" t="s">
        <v>101</v>
      </c>
    </row>
    <row r="12" spans="1:8" ht="24.9" customHeight="1">
      <c r="A12" s="51" t="s">
        <v>19</v>
      </c>
      <c r="B12" s="56" t="s">
        <v>36</v>
      </c>
      <c r="C12" s="39" t="s">
        <v>37</v>
      </c>
      <c r="D12" s="16" t="s">
        <v>15</v>
      </c>
      <c r="E12" s="17" t="n">
        <v>8990.0</v>
      </c>
      <c r="F12" s="18" t="n">
        <f>939</f>
        <v>939.0</v>
      </c>
      <c r="G12" s="17" t="n">
        <v>5.604694176E11</v>
      </c>
      <c r="H12" s="18" t="n">
        <f>58687327600</f>
        <v>5.86873276E10</v>
      </c>
    </row>
    <row r="13" spans="1:8" ht="24.9" customHeight="1">
      <c r="A13" s="51"/>
      <c r="B13" s="57"/>
      <c r="C13" s="39"/>
      <c r="D13" s="20" t="s">
        <v>16</v>
      </c>
      <c r="E13" s="21" t="n">
        <v>8239.0</v>
      </c>
      <c r="F13" s="22" t="n">
        <f>886</f>
        <v>886.0</v>
      </c>
      <c r="G13" s="21" t="n">
        <v>5.162286591E11</v>
      </c>
      <c r="H13" s="22" t="n">
        <f>55425909100</f>
        <v>5.54259091E10</v>
      </c>
    </row>
    <row r="14" spans="1:8" ht="24.9" customHeight="1">
      <c r="A14" s="51"/>
      <c r="B14" s="57"/>
      <c r="C14" s="39"/>
      <c r="D14" s="20" t="s">
        <v>17</v>
      </c>
      <c r="E14" s="21" t="n">
        <v>15935.0</v>
      </c>
      <c r="F14" s="22" t="n">
        <f>4963</f>
        <v>4963.0</v>
      </c>
      <c r="G14" s="21" t="n">
        <v>1.00777199381E12</v>
      </c>
      <c r="H14" s="22" t="n">
        <f>313974054810</f>
        <v>3.1397405481E11</v>
      </c>
    </row>
    <row r="15" spans="1:8" ht="24.9" customHeight="1">
      <c r="A15" s="51"/>
      <c r="B15" s="57"/>
      <c r="C15" s="39"/>
      <c r="D15" s="24" t="s">
        <v>18</v>
      </c>
      <c r="E15" s="25" t="n">
        <v>33164.0</v>
      </c>
      <c r="F15" s="26" t="n">
        <f>6788</f>
        <v>6788.0</v>
      </c>
      <c r="G15" s="25" t="n">
        <v>2.08447007051E12</v>
      </c>
      <c r="H15" s="26" t="n">
        <f>428087291510</f>
        <v>4.2808729151E11</v>
      </c>
    </row>
    <row r="16" spans="1:8" ht="24.9" customHeight="1">
      <c r="A16" s="51"/>
      <c r="B16" s="57"/>
      <c r="C16" s="39" t="s">
        <v>38</v>
      </c>
      <c r="D16" s="16" t="s">
        <v>15</v>
      </c>
      <c r="E16" s="17" t="n">
        <v>244901.0</v>
      </c>
      <c r="F16" s="18" t="n">
        <f>33349</f>
        <v>33349.0</v>
      </c>
      <c r="G16" s="17" t="n">
        <v>1.52681740889E12</v>
      </c>
      <c r="H16" s="18" t="n">
        <f>207893858890</f>
        <v>2.0789385889E11</v>
      </c>
    </row>
    <row r="17" spans="1:8" ht="24.9" customHeight="1">
      <c r="A17" s="51"/>
      <c r="B17" s="57"/>
      <c r="C17" s="39"/>
      <c r="D17" s="20" t="s">
        <v>16</v>
      </c>
      <c r="E17" s="21" t="n">
        <v>137362.0</v>
      </c>
      <c r="F17" s="22" t="n">
        <f>17240</f>
        <v>17240.0</v>
      </c>
      <c r="G17" s="21" t="n">
        <v>8.6043062982E11</v>
      </c>
      <c r="H17" s="22" t="n">
        <f>107995339320</f>
        <v>1.0799533932E11</v>
      </c>
    </row>
    <row r="18" spans="1:8" ht="24.9" customHeight="1">
      <c r="A18" s="51"/>
      <c r="B18" s="57"/>
      <c r="C18" s="39"/>
      <c r="D18" s="20" t="s">
        <v>17</v>
      </c>
      <c r="E18" s="21" t="n">
        <v>141631.0</v>
      </c>
      <c r="F18" s="22" t="n">
        <f>18141</f>
        <v>18141.0</v>
      </c>
      <c r="G18" s="21" t="n">
        <v>8.94959041566E11</v>
      </c>
      <c r="H18" s="22" t="n">
        <f>114590010566</f>
        <v>1.14590010566E11</v>
      </c>
    </row>
    <row r="19" spans="1:8" ht="24.9" customHeight="1">
      <c r="A19" s="51"/>
      <c r="B19" s="57"/>
      <c r="C19" s="39"/>
      <c r="D19" s="24" t="s">
        <v>18</v>
      </c>
      <c r="E19" s="25" t="n">
        <v>523894.0</v>
      </c>
      <c r="F19" s="26" t="n">
        <f>68730</f>
        <v>68730.0</v>
      </c>
      <c r="G19" s="25" t="n">
        <v>3.282207080276E12</v>
      </c>
      <c r="H19" s="26" t="n">
        <f>430479208776</f>
        <v>4.30479208776E11</v>
      </c>
    </row>
    <row r="20" spans="1:8" ht="24.9" customHeight="1">
      <c r="A20" s="51"/>
      <c r="B20" s="57"/>
      <c r="C20" s="39" t="s">
        <v>39</v>
      </c>
      <c r="D20" s="16" t="s">
        <v>15</v>
      </c>
      <c r="E20" s="17" t="n">
        <v>323317.0</v>
      </c>
      <c r="F20" s="18" t="str">
        <f>"－"</f>
        <v>－</v>
      </c>
      <c r="G20" s="17" t="n">
        <v>2.0160416155E11</v>
      </c>
      <c r="H20" s="18" t="str">
        <f>"－"</f>
        <v>－</v>
      </c>
    </row>
    <row r="21" spans="1:8" ht="24.9" customHeight="1">
      <c r="A21" s="51"/>
      <c r="B21" s="57"/>
      <c r="C21" s="39"/>
      <c r="D21" s="20" t="s">
        <v>16</v>
      </c>
      <c r="E21" s="21" t="n">
        <v>158292.0</v>
      </c>
      <c r="F21" s="22" t="str">
        <f>"－"</f>
        <v>－</v>
      </c>
      <c r="G21" s="21" t="n">
        <v>9.91963752E10</v>
      </c>
      <c r="H21" s="22" t="str">
        <f>"－"</f>
        <v>－</v>
      </c>
    </row>
    <row r="22" spans="1:8" ht="24.9" customHeight="1">
      <c r="A22" s="51"/>
      <c r="B22" s="57"/>
      <c r="C22" s="39"/>
      <c r="D22" s="20" t="s">
        <v>17</v>
      </c>
      <c r="E22" s="21" t="n">
        <v>163337.0</v>
      </c>
      <c r="F22" s="22" t="str">
        <f>"－"</f>
        <v>－</v>
      </c>
      <c r="G22" s="21" t="n">
        <v>1.0321147415E11</v>
      </c>
      <c r="H22" s="22" t="str">
        <f>"－"</f>
        <v>－</v>
      </c>
    </row>
    <row r="23" spans="1:8" ht="24.9" customHeight="1">
      <c r="A23" s="51"/>
      <c r="B23" s="57"/>
      <c r="C23" s="39"/>
      <c r="D23" s="24" t="s">
        <v>18</v>
      </c>
      <c r="E23" s="25" t="n">
        <v>644946.0</v>
      </c>
      <c r="F23" s="26" t="str">
        <f>"－"</f>
        <v>－</v>
      </c>
      <c r="G23" s="25" t="n">
        <v>4.040120109E11</v>
      </c>
      <c r="H23" s="26" t="str">
        <f>"－"</f>
        <v>－</v>
      </c>
    </row>
    <row r="24" spans="1:8" ht="24.9" customHeight="1">
      <c r="A24" s="51"/>
      <c r="B24" s="57"/>
      <c r="C24" s="39" t="s">
        <v>40</v>
      </c>
      <c r="D24" s="16" t="s">
        <v>15</v>
      </c>
      <c r="E24" s="17" t="n">
        <v>18131.0</v>
      </c>
      <c r="F24" s="18" t="n">
        <f>48</f>
        <v>48.0</v>
      </c>
      <c r="G24" s="17" t="n">
        <v>7.02131304E11</v>
      </c>
      <c r="H24" s="18" t="n">
        <f>1858384000</f>
        <v>1.858384E9</v>
      </c>
    </row>
    <row r="25" spans="1:8" ht="24.9" customHeight="1">
      <c r="A25" s="51"/>
      <c r="B25" s="57"/>
      <c r="C25" s="39"/>
      <c r="D25" s="20" t="s">
        <v>16</v>
      </c>
      <c r="E25" s="21" t="n">
        <v>14064.0</v>
      </c>
      <c r="F25" s="22" t="n">
        <f>54</f>
        <v>54.0</v>
      </c>
      <c r="G25" s="21" t="n">
        <v>5.476459455E11</v>
      </c>
      <c r="H25" s="22" t="n">
        <f>2100400500</f>
        <v>2.1004005E9</v>
      </c>
    </row>
    <row r="26" spans="1:8" ht="24.9" customHeight="1">
      <c r="A26" s="51"/>
      <c r="B26" s="57"/>
      <c r="C26" s="39"/>
      <c r="D26" s="20" t="s">
        <v>17</v>
      </c>
      <c r="E26" s="21" t="n">
        <v>25419.0</v>
      </c>
      <c r="F26" s="22" t="n">
        <f>5363</f>
        <v>5363.0</v>
      </c>
      <c r="G26" s="21" t="n">
        <v>9.9662585434E11</v>
      </c>
      <c r="H26" s="22" t="n">
        <f>210262891340</f>
        <v>2.1026289134E11</v>
      </c>
    </row>
    <row r="27" spans="1:8" ht="24.9" customHeight="1">
      <c r="A27" s="51"/>
      <c r="B27" s="57"/>
      <c r="C27" s="39"/>
      <c r="D27" s="24" t="s">
        <v>18</v>
      </c>
      <c r="E27" s="25" t="n">
        <v>57614.0</v>
      </c>
      <c r="F27" s="26" t="n">
        <f>5465</f>
        <v>5465.0</v>
      </c>
      <c r="G27" s="25" t="n">
        <v>2.24640310384E12</v>
      </c>
      <c r="H27" s="26" t="n">
        <f>214221675840</f>
        <v>2.1422167584E11</v>
      </c>
    </row>
    <row r="28" spans="1:8" ht="24.9" customHeight="1">
      <c r="A28" s="51"/>
      <c r="B28" s="57"/>
      <c r="C28" s="39" t="s">
        <v>41</v>
      </c>
      <c r="D28" s="16" t="s">
        <v>15</v>
      </c>
      <c r="E28" s="17" t="n">
        <v>4633.0</v>
      </c>
      <c r="F28" s="18" t="n">
        <f>303</f>
        <v>303.0</v>
      </c>
      <c r="G28" s="17" t="n">
        <v>1.79408336E10</v>
      </c>
      <c r="H28" s="18" t="n">
        <f>1173104100</f>
        <v>1.1731041E9</v>
      </c>
    </row>
    <row r="29" spans="1:8" ht="24.9" customHeight="1">
      <c r="A29" s="51"/>
      <c r="B29" s="57"/>
      <c r="C29" s="39"/>
      <c r="D29" s="20" t="s">
        <v>16</v>
      </c>
      <c r="E29" s="21" t="n">
        <v>5562.0</v>
      </c>
      <c r="F29" s="22" t="n">
        <f>310</f>
        <v>310.0</v>
      </c>
      <c r="G29" s="21" t="n">
        <v>2.165476565E10</v>
      </c>
      <c r="H29" s="22" t="n">
        <f>1207408900</f>
        <v>1.2074089E9</v>
      </c>
    </row>
    <row r="30" spans="1:8" ht="24.9" customHeight="1">
      <c r="A30" s="51"/>
      <c r="B30" s="57"/>
      <c r="C30" s="39"/>
      <c r="D30" s="20" t="s">
        <v>17</v>
      </c>
      <c r="E30" s="21" t="n">
        <v>5171.0</v>
      </c>
      <c r="F30" s="22" t="n">
        <f>259</f>
        <v>259.0</v>
      </c>
      <c r="G30" s="21" t="n">
        <v>2.027555515E10</v>
      </c>
      <c r="H30" s="22" t="n">
        <f>1015281150</f>
        <v>1.01528115E9</v>
      </c>
    </row>
    <row r="31" spans="1:8" ht="24.9" customHeight="1">
      <c r="A31" s="51"/>
      <c r="B31" s="57"/>
      <c r="C31" s="39"/>
      <c r="D31" s="24" t="s">
        <v>18</v>
      </c>
      <c r="E31" s="25" t="n">
        <v>15366.0</v>
      </c>
      <c r="F31" s="26" t="n">
        <f>872</f>
        <v>872.0</v>
      </c>
      <c r="G31" s="25" t="n">
        <v>5.98711544E10</v>
      </c>
      <c r="H31" s="26" t="n">
        <f>3395794150</f>
        <v>3.39579415E9</v>
      </c>
    </row>
    <row r="32" spans="1:8" ht="24.9" customHeight="1">
      <c r="A32" s="51"/>
      <c r="B32" s="57"/>
      <c r="C32" s="39" t="s">
        <v>42</v>
      </c>
      <c r="D32" s="16" t="s">
        <v>15</v>
      </c>
      <c r="E32" s="17" t="n">
        <v>0.0</v>
      </c>
      <c r="F32" s="18" t="n">
        <f>0</f>
        <v>0.0</v>
      </c>
      <c r="G32" s="17" t="n">
        <v>0.0</v>
      </c>
      <c r="H32" s="18" t="n">
        <f>0</f>
        <v>0.0</v>
      </c>
    </row>
    <row r="33" spans="1:8" ht="24.9" customHeight="1">
      <c r="A33" s="51"/>
      <c r="B33" s="57"/>
      <c r="C33" s="39"/>
      <c r="D33" s="20" t="s">
        <v>16</v>
      </c>
      <c r="E33" s="21" t="n">
        <v>0.0</v>
      </c>
      <c r="F33" s="22" t="n">
        <f>0</f>
        <v>0.0</v>
      </c>
      <c r="G33" s="21" t="n">
        <v>0.0</v>
      </c>
      <c r="H33" s="22" t="n">
        <f>0</f>
        <v>0.0</v>
      </c>
    </row>
    <row r="34" spans="1:8" ht="24.9" customHeight="1">
      <c r="A34" s="51"/>
      <c r="B34" s="57"/>
      <c r="C34" s="39"/>
      <c r="D34" s="20" t="s">
        <v>17</v>
      </c>
      <c r="E34" s="21" t="n">
        <v>0.0</v>
      </c>
      <c r="F34" s="22" t="n">
        <f>0</f>
        <v>0.0</v>
      </c>
      <c r="G34" s="21" t="n">
        <v>0.0</v>
      </c>
      <c r="H34" s="22" t="n">
        <f>0</f>
        <v>0.0</v>
      </c>
    </row>
    <row r="35" spans="1:8" ht="24.9" customHeight="1">
      <c r="A35" s="51"/>
      <c r="B35" s="57"/>
      <c r="C35" s="39"/>
      <c r="D35" s="24" t="s">
        <v>18</v>
      </c>
      <c r="E35" s="25" t="n">
        <v>0.0</v>
      </c>
      <c r="F35" s="26" t="n">
        <f>0</f>
        <v>0.0</v>
      </c>
      <c r="G35" s="25" t="n">
        <v>0.0</v>
      </c>
      <c r="H35" s="26" t="n">
        <f>0</f>
        <v>0.0</v>
      </c>
    </row>
    <row r="36" spans="1:8" ht="24.9" customHeight="1">
      <c r="A36" s="51"/>
      <c r="B36" s="57"/>
      <c r="C36" s="39" t="s">
        <v>43</v>
      </c>
      <c r="D36" s="16" t="s">
        <v>15</v>
      </c>
      <c r="E36" s="17" t="n">
        <v>716.0</v>
      </c>
      <c r="F36" s="18" t="n">
        <f>2</f>
        <v>2.0</v>
      </c>
      <c r="G36" s="17" t="n">
        <v>2.53206849E9</v>
      </c>
      <c r="H36" s="18" t="n">
        <f>7077490</f>
        <v>7077490.0</v>
      </c>
    </row>
    <row r="37" spans="1:8" ht="24.9" customHeight="1">
      <c r="A37" s="51"/>
      <c r="B37" s="57"/>
      <c r="C37" s="39"/>
      <c r="D37" s="20" t="s">
        <v>16</v>
      </c>
      <c r="E37" s="21" t="n">
        <v>964.0</v>
      </c>
      <c r="F37" s="22" t="n">
        <f>0</f>
        <v>0.0</v>
      </c>
      <c r="G37" s="21" t="n">
        <v>3.427401E9</v>
      </c>
      <c r="H37" s="22" t="n">
        <f>0</f>
        <v>0.0</v>
      </c>
    </row>
    <row r="38" spans="1:8" ht="24.9" customHeight="1">
      <c r="A38" s="51"/>
      <c r="B38" s="57"/>
      <c r="C38" s="39"/>
      <c r="D38" s="20" t="s">
        <v>17</v>
      </c>
      <c r="E38" s="21" t="n">
        <v>900.0</v>
      </c>
      <c r="F38" s="22" t="n">
        <f>163</f>
        <v>163.0</v>
      </c>
      <c r="G38" s="21" t="n">
        <v>3.221274398E9</v>
      </c>
      <c r="H38" s="22" t="n">
        <f>583463898</f>
        <v>5.83463898E8</v>
      </c>
    </row>
    <row r="39" spans="1:8" ht="24.9" customHeight="1">
      <c r="A39" s="51"/>
      <c r="B39" s="57"/>
      <c r="C39" s="39"/>
      <c r="D39" s="24" t="s">
        <v>18</v>
      </c>
      <c r="E39" s="25" t="n">
        <v>2580.0</v>
      </c>
      <c r="F39" s="26" t="n">
        <f>165</f>
        <v>165.0</v>
      </c>
      <c r="G39" s="25" t="n">
        <v>9.180743888E9</v>
      </c>
      <c r="H39" s="26" t="n">
        <f>590541388</f>
        <v>5.90541388E8</v>
      </c>
    </row>
    <row r="40" spans="1:8" ht="24.9" customHeight="1">
      <c r="A40" s="51"/>
      <c r="B40" s="57"/>
      <c r="C40" s="39" t="s">
        <v>44</v>
      </c>
      <c r="D40" s="16" t="s">
        <v>15</v>
      </c>
      <c r="E40" s="17" t="n">
        <v>0.0</v>
      </c>
      <c r="F40" s="18" t="n">
        <f>0</f>
        <v>0.0</v>
      </c>
      <c r="G40" s="17" t="n">
        <v>0.0</v>
      </c>
      <c r="H40" s="18" t="n">
        <f>0</f>
        <v>0.0</v>
      </c>
    </row>
    <row r="41" spans="1:8" ht="24.9" customHeight="1">
      <c r="A41" s="51"/>
      <c r="B41" s="57"/>
      <c r="C41" s="39"/>
      <c r="D41" s="20" t="s">
        <v>16</v>
      </c>
      <c r="E41" s="21" t="n">
        <v>0.0</v>
      </c>
      <c r="F41" s="22" t="n">
        <f>0</f>
        <v>0.0</v>
      </c>
      <c r="G41" s="21" t="n">
        <v>0.0</v>
      </c>
      <c r="H41" s="22" t="n">
        <f>0</f>
        <v>0.0</v>
      </c>
    </row>
    <row r="42" spans="1:8" ht="24.9" customHeight="1">
      <c r="A42" s="51"/>
      <c r="B42" s="57"/>
      <c r="C42" s="39"/>
      <c r="D42" s="20" t="s">
        <v>17</v>
      </c>
      <c r="E42" s="21" t="n">
        <v>0.0</v>
      </c>
      <c r="F42" s="22" t="n">
        <f>0</f>
        <v>0.0</v>
      </c>
      <c r="G42" s="21" t="n">
        <v>0.0</v>
      </c>
      <c r="H42" s="22" t="n">
        <f>0</f>
        <v>0.0</v>
      </c>
    </row>
    <row r="43" spans="1:8" ht="24.9" customHeight="1">
      <c r="A43" s="51"/>
      <c r="B43" s="57"/>
      <c r="C43" s="39"/>
      <c r="D43" s="24" t="s">
        <v>18</v>
      </c>
      <c r="E43" s="25" t="n">
        <v>0.0</v>
      </c>
      <c r="F43" s="26" t="n">
        <f>0</f>
        <v>0.0</v>
      </c>
      <c r="G43" s="25" t="n">
        <v>0.0</v>
      </c>
      <c r="H43" s="26" t="n">
        <f>0</f>
        <v>0.0</v>
      </c>
    </row>
    <row r="44" spans="1:8" ht="24.9" customHeight="1">
      <c r="A44" s="51"/>
      <c r="B44" s="57"/>
      <c r="C44" s="39" t="s">
        <v>45</v>
      </c>
      <c r="D44" s="16" t="s">
        <v>15</v>
      </c>
      <c r="E44" s="17" t="n">
        <v>0.0</v>
      </c>
      <c r="F44" s="18" t="n">
        <f>0</f>
        <v>0.0</v>
      </c>
      <c r="G44" s="17" t="n">
        <v>0.0</v>
      </c>
      <c r="H44" s="18" t="n">
        <f>0</f>
        <v>0.0</v>
      </c>
    </row>
    <row r="45" spans="1:8" ht="24.9" customHeight="1">
      <c r="A45" s="51"/>
      <c r="B45" s="57"/>
      <c r="C45" s="39"/>
      <c r="D45" s="20" t="s">
        <v>16</v>
      </c>
      <c r="E45" s="21" t="n">
        <v>0.0</v>
      </c>
      <c r="F45" s="22" t="n">
        <f>0</f>
        <v>0.0</v>
      </c>
      <c r="G45" s="21" t="n">
        <v>0.0</v>
      </c>
      <c r="H45" s="22" t="n">
        <f>0</f>
        <v>0.0</v>
      </c>
    </row>
    <row r="46" spans="1:8" ht="24.9" customHeight="1">
      <c r="A46" s="51"/>
      <c r="B46" s="57"/>
      <c r="C46" s="39"/>
      <c r="D46" s="20" t="s">
        <v>17</v>
      </c>
      <c r="E46" s="21" t="n">
        <v>0.0</v>
      </c>
      <c r="F46" s="22" t="n">
        <f>0</f>
        <v>0.0</v>
      </c>
      <c r="G46" s="21" t="n">
        <v>0.0</v>
      </c>
      <c r="H46" s="22" t="n">
        <f>0</f>
        <v>0.0</v>
      </c>
    </row>
    <row r="47" spans="1:8" ht="24.9" customHeight="1">
      <c r="A47" s="51"/>
      <c r="B47" s="57"/>
      <c r="C47" s="39"/>
      <c r="D47" s="24" t="s">
        <v>18</v>
      </c>
      <c r="E47" s="25" t="n">
        <v>0.0</v>
      </c>
      <c r="F47" s="26" t="n">
        <f>0</f>
        <v>0.0</v>
      </c>
      <c r="G47" s="25" t="n">
        <v>0.0</v>
      </c>
      <c r="H47" s="26" t="n">
        <f>0</f>
        <v>0.0</v>
      </c>
    </row>
    <row r="48" spans="1:8" ht="24.9" customHeight="1">
      <c r="A48" s="51"/>
      <c r="B48" s="57"/>
      <c r="C48" s="39" t="s">
        <v>46</v>
      </c>
      <c r="D48" s="16" t="s">
        <v>15</v>
      </c>
      <c r="E48" s="17" t="n">
        <v>75.0</v>
      </c>
      <c r="F48" s="18" t="n">
        <f>75</f>
        <v>75.0</v>
      </c>
      <c r="G48" s="17" t="n">
        <v>1.3849512E8</v>
      </c>
      <c r="H48" s="18" t="n">
        <f>138495120</f>
        <v>1.3849512E8</v>
      </c>
    </row>
    <row r="49" spans="1:8" ht="24.9" customHeight="1">
      <c r="A49" s="51"/>
      <c r="B49" s="57"/>
      <c r="C49" s="39"/>
      <c r="D49" s="20" t="s">
        <v>16</v>
      </c>
      <c r="E49" s="21" t="n">
        <v>34.0</v>
      </c>
      <c r="F49" s="22" t="n">
        <f>0</f>
        <v>0.0</v>
      </c>
      <c r="G49" s="21" t="n">
        <v>6.2163E7</v>
      </c>
      <c r="H49" s="22" t="n">
        <f>0</f>
        <v>0.0</v>
      </c>
    </row>
    <row r="50" spans="1:8" ht="24.9" customHeight="1">
      <c r="A50" s="51"/>
      <c r="B50" s="57"/>
      <c r="C50" s="39"/>
      <c r="D50" s="20" t="s">
        <v>17</v>
      </c>
      <c r="E50" s="21" t="n">
        <v>118.0</v>
      </c>
      <c r="F50" s="22" t="n">
        <f>29</f>
        <v>29.0</v>
      </c>
      <c r="G50" s="21" t="n">
        <v>2.1574924E8</v>
      </c>
      <c r="H50" s="22" t="n">
        <f>53031740</f>
        <v>5.303174E7</v>
      </c>
    </row>
    <row r="51" spans="1:8" ht="24.9" customHeight="1">
      <c r="A51" s="51"/>
      <c r="B51" s="57"/>
      <c r="C51" s="39"/>
      <c r="D51" s="24" t="s">
        <v>18</v>
      </c>
      <c r="E51" s="25" t="n">
        <v>227.0</v>
      </c>
      <c r="F51" s="26" t="n">
        <f>104</f>
        <v>104.0</v>
      </c>
      <c r="G51" s="25" t="n">
        <v>4.1640736E8</v>
      </c>
      <c r="H51" s="26" t="n">
        <f>191526860</f>
        <v>1.9152686E8</v>
      </c>
    </row>
    <row r="52" spans="1:8" ht="24.9" customHeight="1">
      <c r="A52" s="51"/>
      <c r="B52" s="57"/>
      <c r="C52" s="39" t="s">
        <v>47</v>
      </c>
      <c r="D52" s="16" t="s">
        <v>15</v>
      </c>
      <c r="E52" s="17" t="n">
        <v>0.0</v>
      </c>
      <c r="F52" s="18" t="n">
        <f>0</f>
        <v>0.0</v>
      </c>
      <c r="G52" s="17" t="n">
        <v>0.0</v>
      </c>
      <c r="H52" s="18" t="n">
        <f>0</f>
        <v>0.0</v>
      </c>
    </row>
    <row r="53" spans="1:8" ht="24.9" customHeight="1">
      <c r="A53" s="51"/>
      <c r="B53" s="57"/>
      <c r="C53" s="39"/>
      <c r="D53" s="20" t="s">
        <v>16</v>
      </c>
      <c r="E53" s="21" t="n">
        <v>0.0</v>
      </c>
      <c r="F53" s="22" t="n">
        <f>0</f>
        <v>0.0</v>
      </c>
      <c r="G53" s="21" t="n">
        <v>0.0</v>
      </c>
      <c r="H53" s="22" t="n">
        <f>0</f>
        <v>0.0</v>
      </c>
    </row>
    <row r="54" spans="1:8" ht="24.9" customHeight="1">
      <c r="A54" s="51"/>
      <c r="B54" s="57"/>
      <c r="C54" s="39"/>
      <c r="D54" s="20" t="s">
        <v>17</v>
      </c>
      <c r="E54" s="21" t="n">
        <v>0.0</v>
      </c>
      <c r="F54" s="22" t="n">
        <f>0</f>
        <v>0.0</v>
      </c>
      <c r="G54" s="21" t="n">
        <v>0.0</v>
      </c>
      <c r="H54" s="22" t="n">
        <f>0</f>
        <v>0.0</v>
      </c>
    </row>
    <row r="55" spans="1:8" ht="24.9" customHeight="1">
      <c r="A55" s="51"/>
      <c r="B55" s="57"/>
      <c r="C55" s="39"/>
      <c r="D55" s="24" t="s">
        <v>18</v>
      </c>
      <c r="E55" s="25" t="n">
        <v>0.0</v>
      </c>
      <c r="F55" s="26" t="n">
        <f>0</f>
        <v>0.0</v>
      </c>
      <c r="G55" s="25" t="n">
        <v>0.0</v>
      </c>
      <c r="H55" s="26" t="n">
        <f>0</f>
        <v>0.0</v>
      </c>
    </row>
    <row r="56" spans="1:8" ht="24.9" customHeight="1">
      <c r="A56" s="51"/>
      <c r="B56" s="57"/>
      <c r="C56" s="39" t="s">
        <v>48</v>
      </c>
      <c r="D56" s="16" t="s">
        <v>15</v>
      </c>
      <c r="E56" s="17" t="n">
        <v>688.0</v>
      </c>
      <c r="F56" s="18" t="n">
        <f>28</f>
        <v>28.0</v>
      </c>
      <c r="G56" s="17" t="n">
        <v>5.515428E8</v>
      </c>
      <c r="H56" s="18" t="n">
        <f>22460800</f>
        <v>2.24608E7</v>
      </c>
    </row>
    <row r="57" spans="1:8" ht="24.9" customHeight="1">
      <c r="A57" s="51"/>
      <c r="B57" s="57"/>
      <c r="C57" s="39"/>
      <c r="D57" s="20" t="s">
        <v>16</v>
      </c>
      <c r="E57" s="21" t="n">
        <v>1791.0</v>
      </c>
      <c r="F57" s="22" t="n">
        <f>53</f>
        <v>53.0</v>
      </c>
      <c r="G57" s="21" t="n">
        <v>1.4368129E9</v>
      </c>
      <c r="H57" s="22" t="n">
        <f>42436900</f>
        <v>4.24369E7</v>
      </c>
    </row>
    <row r="58" spans="1:8" ht="24.9" customHeight="1">
      <c r="A58" s="51"/>
      <c r="B58" s="57"/>
      <c r="C58" s="39"/>
      <c r="D58" s="20" t="s">
        <v>17</v>
      </c>
      <c r="E58" s="21" t="n">
        <v>1568.0</v>
      </c>
      <c r="F58" s="22" t="n">
        <f>48</f>
        <v>48.0</v>
      </c>
      <c r="G58" s="21" t="n">
        <v>1.27556294E9</v>
      </c>
      <c r="H58" s="22" t="n">
        <f>39238940</f>
        <v>3.923894E7</v>
      </c>
    </row>
    <row r="59" spans="1:8" ht="24.9" customHeight="1">
      <c r="A59" s="51"/>
      <c r="B59" s="57"/>
      <c r="C59" s="39"/>
      <c r="D59" s="24" t="s">
        <v>18</v>
      </c>
      <c r="E59" s="25" t="n">
        <v>4047.0</v>
      </c>
      <c r="F59" s="26" t="n">
        <f>129</f>
        <v>129.0</v>
      </c>
      <c r="G59" s="25" t="n">
        <v>3.26391864E9</v>
      </c>
      <c r="H59" s="26" t="n">
        <f>104136640</f>
        <v>1.0413664E8</v>
      </c>
    </row>
    <row r="60" spans="1:8" ht="24.9" customHeight="1">
      <c r="A60" s="51"/>
      <c r="B60" s="57"/>
      <c r="C60" s="39" t="s">
        <v>49</v>
      </c>
      <c r="D60" s="16" t="s">
        <v>15</v>
      </c>
      <c r="E60" s="17" t="n">
        <v>214.0</v>
      </c>
      <c r="F60" s="18" t="n">
        <f>5</f>
        <v>5.0</v>
      </c>
      <c r="G60" s="17" t="n">
        <v>1.0620719E9</v>
      </c>
      <c r="H60" s="18" t="n">
        <f>24798300</f>
        <v>2.47983E7</v>
      </c>
    </row>
    <row r="61" spans="1:8" ht="24.9" customHeight="1">
      <c r="A61" s="51"/>
      <c r="B61" s="57"/>
      <c r="C61" s="39"/>
      <c r="D61" s="20" t="s">
        <v>16</v>
      </c>
      <c r="E61" s="21" t="n">
        <v>6.0</v>
      </c>
      <c r="F61" s="22" t="n">
        <f>0</f>
        <v>0.0</v>
      </c>
      <c r="G61" s="21" t="n">
        <v>2.99077E7</v>
      </c>
      <c r="H61" s="22" t="n">
        <f>0</f>
        <v>0.0</v>
      </c>
    </row>
    <row r="62" spans="1:8" ht="24.9" customHeight="1">
      <c r="A62" s="51"/>
      <c r="B62" s="57"/>
      <c r="C62" s="39"/>
      <c r="D62" s="20" t="s">
        <v>17</v>
      </c>
      <c r="E62" s="21" t="n">
        <v>23.0</v>
      </c>
      <c r="F62" s="22" t="n">
        <f>2</f>
        <v>2.0</v>
      </c>
      <c r="G62" s="21" t="n">
        <v>1.146915E8</v>
      </c>
      <c r="H62" s="22" t="n">
        <f>9975000</f>
        <v>9975000.0</v>
      </c>
    </row>
    <row r="63" spans="1:8" ht="24.9" customHeight="1">
      <c r="A63" s="51"/>
      <c r="B63" s="57"/>
      <c r="C63" s="39"/>
      <c r="D63" s="24" t="s">
        <v>18</v>
      </c>
      <c r="E63" s="25" t="n">
        <v>243.0</v>
      </c>
      <c r="F63" s="26" t="n">
        <f>7</f>
        <v>7.0</v>
      </c>
      <c r="G63" s="25" t="n">
        <v>1.2066711E9</v>
      </c>
      <c r="H63" s="26" t="n">
        <f>34773300</f>
        <v>3.47733E7</v>
      </c>
    </row>
    <row r="64" spans="1:8" ht="24.9" customHeight="1">
      <c r="A64" s="51"/>
      <c r="B64" s="57"/>
      <c r="C64" s="39" t="s">
        <v>50</v>
      </c>
      <c r="D64" s="16" t="s">
        <v>15</v>
      </c>
      <c r="E64" s="17" t="n">
        <v>0.0</v>
      </c>
      <c r="F64" s="18" t="str">
        <f>"－"</f>
        <v>－</v>
      </c>
      <c r="G64" s="17" t="n">
        <v>0.0</v>
      </c>
      <c r="H64" s="18" t="str">
        <f>"－"</f>
        <v>－</v>
      </c>
    </row>
    <row r="65" spans="1:8" ht="24.9" customHeight="1">
      <c r="A65" s="51"/>
      <c r="B65" s="57"/>
      <c r="C65" s="39"/>
      <c r="D65" s="20" t="s">
        <v>16</v>
      </c>
      <c r="E65" s="21" t="n">
        <v>0.0</v>
      </c>
      <c r="F65" s="22" t="str">
        <f>"－"</f>
        <v>－</v>
      </c>
      <c r="G65" s="21" t="n">
        <v>0.0</v>
      </c>
      <c r="H65" s="22" t="str">
        <f>"－"</f>
        <v>－</v>
      </c>
    </row>
    <row r="66" spans="1:8" ht="24.9" customHeight="1">
      <c r="A66" s="51"/>
      <c r="B66" s="57"/>
      <c r="C66" s="39"/>
      <c r="D66" s="20" t="s">
        <v>17</v>
      </c>
      <c r="E66" s="21" t="n">
        <v>0.0</v>
      </c>
      <c r="F66" s="22" t="str">
        <f>"－"</f>
        <v>－</v>
      </c>
      <c r="G66" s="21" t="n">
        <v>0.0</v>
      </c>
      <c r="H66" s="22" t="str">
        <f>"－"</f>
        <v>－</v>
      </c>
    </row>
    <row r="67" spans="1:8" ht="24.9" customHeight="1">
      <c r="A67" s="51"/>
      <c r="B67" s="57"/>
      <c r="C67" s="39"/>
      <c r="D67" s="24" t="s">
        <v>18</v>
      </c>
      <c r="E67" s="25" t="n">
        <v>0.0</v>
      </c>
      <c r="F67" s="26" t="str">
        <f>"－"</f>
        <v>－</v>
      </c>
      <c r="G67" s="25" t="n">
        <v>0.0</v>
      </c>
      <c r="H67" s="26" t="str">
        <f>"－"</f>
        <v>－</v>
      </c>
    </row>
    <row r="68" spans="1:8" ht="24.9" customHeight="1">
      <c r="A68" s="51"/>
      <c r="B68" s="57"/>
      <c r="C68" s="39" t="s">
        <v>51</v>
      </c>
      <c r="D68" s="16" t="s">
        <v>15</v>
      </c>
      <c r="E68" s="17" t="n">
        <v>0.0</v>
      </c>
      <c r="F68" s="18" t="n">
        <f>0</f>
        <v>0.0</v>
      </c>
      <c r="G68" s="17" t="n">
        <v>0.0</v>
      </c>
      <c r="H68" s="18" t="n">
        <f>0</f>
        <v>0.0</v>
      </c>
    </row>
    <row r="69" spans="1:8" ht="24.9" customHeight="1">
      <c r="A69" s="51"/>
      <c r="B69" s="57"/>
      <c r="C69" s="39"/>
      <c r="D69" s="20" t="s">
        <v>16</v>
      </c>
      <c r="E69" s="21" t="n">
        <v>0.0</v>
      </c>
      <c r="F69" s="22" t="n">
        <f>0</f>
        <v>0.0</v>
      </c>
      <c r="G69" s="21" t="n">
        <v>0.0</v>
      </c>
      <c r="H69" s="22" t="n">
        <f>0</f>
        <v>0.0</v>
      </c>
    </row>
    <row r="70" spans="1:8" ht="24.9" customHeight="1">
      <c r="A70" s="51"/>
      <c r="B70" s="57"/>
      <c r="C70" s="39"/>
      <c r="D70" s="20" t="s">
        <v>17</v>
      </c>
      <c r="E70" s="21" t="n">
        <v>0.0</v>
      </c>
      <c r="F70" s="22" t="n">
        <f>0</f>
        <v>0.0</v>
      </c>
      <c r="G70" s="21" t="n">
        <v>0.0</v>
      </c>
      <c r="H70" s="22" t="n">
        <f>0</f>
        <v>0.0</v>
      </c>
    </row>
    <row r="71" spans="1:8" ht="24.9" customHeight="1">
      <c r="A71" s="51"/>
      <c r="B71" s="57"/>
      <c r="C71" s="39"/>
      <c r="D71" s="24" t="s">
        <v>18</v>
      </c>
      <c r="E71" s="25" t="n">
        <v>0.0</v>
      </c>
      <c r="F71" s="26" t="n">
        <f>0</f>
        <v>0.0</v>
      </c>
      <c r="G71" s="25" t="n">
        <v>0.0</v>
      </c>
      <c r="H71" s="26" t="n">
        <f>0</f>
        <v>0.0</v>
      </c>
    </row>
    <row r="72" spans="1:8" ht="24.9" customHeight="1">
      <c r="A72" s="51"/>
      <c r="B72" s="57"/>
      <c r="C72" s="39" t="s">
        <v>52</v>
      </c>
      <c r="D72" s="16" t="s">
        <v>15</v>
      </c>
      <c r="E72" s="17" t="n">
        <v>0.0</v>
      </c>
      <c r="F72" s="18" t="n">
        <f>0</f>
        <v>0.0</v>
      </c>
      <c r="G72" s="17" t="n">
        <v>0.0</v>
      </c>
      <c r="H72" s="18" t="n">
        <f>0</f>
        <v>0.0</v>
      </c>
    </row>
    <row r="73" spans="1:8" ht="24.9" customHeight="1">
      <c r="A73" s="51"/>
      <c r="B73" s="57"/>
      <c r="C73" s="39"/>
      <c r="D73" s="20" t="s">
        <v>16</v>
      </c>
      <c r="E73" s="21" t="n">
        <v>0.0</v>
      </c>
      <c r="F73" s="22" t="n">
        <f>0</f>
        <v>0.0</v>
      </c>
      <c r="G73" s="21" t="n">
        <v>0.0</v>
      </c>
      <c r="H73" s="22" t="n">
        <f>0</f>
        <v>0.0</v>
      </c>
    </row>
    <row r="74" spans="1:8" ht="24.9" customHeight="1">
      <c r="A74" s="51"/>
      <c r="B74" s="57"/>
      <c r="C74" s="39"/>
      <c r="D74" s="20" t="s">
        <v>17</v>
      </c>
      <c r="E74" s="21" t="n">
        <v>0.0</v>
      </c>
      <c r="F74" s="22" t="n">
        <f>0</f>
        <v>0.0</v>
      </c>
      <c r="G74" s="21" t="n">
        <v>0.0</v>
      </c>
      <c r="H74" s="22" t="n">
        <f>0</f>
        <v>0.0</v>
      </c>
    </row>
    <row r="75" spans="1:8" ht="24.9" customHeight="1">
      <c r="A75" s="51"/>
      <c r="B75" s="57"/>
      <c r="C75" s="39"/>
      <c r="D75" s="24" t="s">
        <v>18</v>
      </c>
      <c r="E75" s="25" t="n">
        <v>0.0</v>
      </c>
      <c r="F75" s="26" t="n">
        <f>0</f>
        <v>0.0</v>
      </c>
      <c r="G75" s="25" t="n">
        <v>0.0</v>
      </c>
      <c r="H75" s="26" t="n">
        <f>0</f>
        <v>0.0</v>
      </c>
    </row>
    <row r="76" spans="1:8" ht="24.9" customHeight="1">
      <c r="A76" s="51"/>
      <c r="B76" s="57"/>
      <c r="C76" s="39" t="s">
        <v>53</v>
      </c>
      <c r="D76" s="16" t="s">
        <v>15</v>
      </c>
      <c r="E76" s="17" t="n">
        <v>0.0</v>
      </c>
      <c r="F76" s="18" t="n">
        <f>0</f>
        <v>0.0</v>
      </c>
      <c r="G76" s="17" t="n">
        <v>0.0</v>
      </c>
      <c r="H76" s="18" t="n">
        <f>0</f>
        <v>0.0</v>
      </c>
    </row>
    <row r="77" spans="1:8" ht="24.9" customHeight="1">
      <c r="A77" s="51"/>
      <c r="B77" s="57"/>
      <c r="C77" s="39"/>
      <c r="D77" s="20" t="s">
        <v>16</v>
      </c>
      <c r="E77" s="21" t="n">
        <v>5.0</v>
      </c>
      <c r="F77" s="22" t="n">
        <f>0</f>
        <v>0.0</v>
      </c>
      <c r="G77" s="21" t="n">
        <v>1670000.0</v>
      </c>
      <c r="H77" s="22" t="n">
        <f>0</f>
        <v>0.0</v>
      </c>
    </row>
    <row r="78" spans="1:8" ht="24.9" customHeight="1">
      <c r="A78" s="51"/>
      <c r="B78" s="57"/>
      <c r="C78" s="39"/>
      <c r="D78" s="20" t="s">
        <v>17</v>
      </c>
      <c r="E78" s="21" t="n">
        <v>21.0</v>
      </c>
      <c r="F78" s="22" t="n">
        <f>0</f>
        <v>0.0</v>
      </c>
      <c r="G78" s="21" t="n">
        <v>7048000.0</v>
      </c>
      <c r="H78" s="22" t="n">
        <f>0</f>
        <v>0.0</v>
      </c>
    </row>
    <row r="79" spans="1:8" ht="24.9" customHeight="1">
      <c r="A79" s="51"/>
      <c r="B79" s="57"/>
      <c r="C79" s="39"/>
      <c r="D79" s="24" t="s">
        <v>18</v>
      </c>
      <c r="E79" s="25" t="n">
        <v>26.0</v>
      </c>
      <c r="F79" s="26" t="n">
        <f>0</f>
        <v>0.0</v>
      </c>
      <c r="G79" s="25" t="n">
        <v>8718000.0</v>
      </c>
      <c r="H79" s="26" t="n">
        <f>0</f>
        <v>0.0</v>
      </c>
    </row>
    <row r="80" spans="1:8" ht="24.9" customHeight="1">
      <c r="A80" s="51"/>
      <c r="B80" s="57"/>
      <c r="C80" s="39" t="s">
        <v>54</v>
      </c>
      <c r="D80" s="16" t="s">
        <v>15</v>
      </c>
      <c r="E80" s="17" t="n">
        <v>0.0</v>
      </c>
      <c r="F80" s="18" t="n">
        <f>0</f>
        <v>0.0</v>
      </c>
      <c r="G80" s="17" t="n">
        <v>0.0</v>
      </c>
      <c r="H80" s="18" t="n">
        <f>0</f>
        <v>0.0</v>
      </c>
    </row>
    <row r="81" spans="1:8" ht="24.9" customHeight="1">
      <c r="A81" s="51"/>
      <c r="B81" s="57"/>
      <c r="C81" s="39"/>
      <c r="D81" s="20" t="s">
        <v>16</v>
      </c>
      <c r="E81" s="21" t="n">
        <v>0.0</v>
      </c>
      <c r="F81" s="22" t="n">
        <f>0</f>
        <v>0.0</v>
      </c>
      <c r="G81" s="21" t="n">
        <v>0.0</v>
      </c>
      <c r="H81" s="22" t="n">
        <f>0</f>
        <v>0.0</v>
      </c>
    </row>
    <row r="82" spans="1:8" ht="24.9" customHeight="1">
      <c r="A82" s="51"/>
      <c r="B82" s="57"/>
      <c r="C82" s="39"/>
      <c r="D82" s="20" t="s">
        <v>17</v>
      </c>
      <c r="E82" s="21" t="n">
        <v>0.0</v>
      </c>
      <c r="F82" s="22" t="n">
        <f>0</f>
        <v>0.0</v>
      </c>
      <c r="G82" s="21" t="n">
        <v>0.0</v>
      </c>
      <c r="H82" s="22" t="n">
        <f>0</f>
        <v>0.0</v>
      </c>
    </row>
    <row r="83" spans="1:8" ht="24.9" customHeight="1">
      <c r="A83" s="51"/>
      <c r="B83" s="57"/>
      <c r="C83" s="39"/>
      <c r="D83" s="24" t="s">
        <v>18</v>
      </c>
      <c r="E83" s="25" t="n">
        <v>0.0</v>
      </c>
      <c r="F83" s="26" t="n">
        <f>0</f>
        <v>0.0</v>
      </c>
      <c r="G83" s="25" t="n">
        <v>0.0</v>
      </c>
      <c r="H83" s="26" t="n">
        <f>0</f>
        <v>0.0</v>
      </c>
    </row>
    <row r="84" spans="1:8" ht="24.9" customHeight="1">
      <c r="A84" s="51"/>
      <c r="B84" s="57"/>
      <c r="C84" s="39" t="s">
        <v>55</v>
      </c>
      <c r="D84" s="16" t="s">
        <v>15</v>
      </c>
      <c r="E84" s="17" t="n">
        <v>0.0</v>
      </c>
      <c r="F84" s="18" t="n">
        <f>0</f>
        <v>0.0</v>
      </c>
      <c r="G84" s="17" t="n">
        <v>0.0</v>
      </c>
      <c r="H84" s="18" t="n">
        <f>0</f>
        <v>0.0</v>
      </c>
    </row>
    <row r="85" spans="1:8" ht="24.9" customHeight="1">
      <c r="A85" s="51"/>
      <c r="B85" s="57"/>
      <c r="C85" s="39"/>
      <c r="D85" s="20" t="s">
        <v>16</v>
      </c>
      <c r="E85" s="21" t="n">
        <v>0.0</v>
      </c>
      <c r="F85" s="22" t="n">
        <f>0</f>
        <v>0.0</v>
      </c>
      <c r="G85" s="21" t="n">
        <v>0.0</v>
      </c>
      <c r="H85" s="22" t="n">
        <f>0</f>
        <v>0.0</v>
      </c>
    </row>
    <row r="86" spans="1:8" ht="24.9" customHeight="1">
      <c r="A86" s="51"/>
      <c r="B86" s="57"/>
      <c r="C86" s="39"/>
      <c r="D86" s="20" t="s">
        <v>17</v>
      </c>
      <c r="E86" s="21" t="n">
        <v>0.0</v>
      </c>
      <c r="F86" s="22" t="n">
        <f>0</f>
        <v>0.0</v>
      </c>
      <c r="G86" s="21" t="n">
        <v>0.0</v>
      </c>
      <c r="H86" s="22" t="n">
        <f>0</f>
        <v>0.0</v>
      </c>
    </row>
    <row r="87" spans="1:8" ht="24.9" customHeight="1">
      <c r="A87" s="51"/>
      <c r="B87" s="57"/>
      <c r="C87" s="39"/>
      <c r="D87" s="24" t="s">
        <v>18</v>
      </c>
      <c r="E87" s="25" t="n">
        <v>0.0</v>
      </c>
      <c r="F87" s="26" t="n">
        <f>0</f>
        <v>0.0</v>
      </c>
      <c r="G87" s="25" t="n">
        <v>0.0</v>
      </c>
      <c r="H87" s="26" t="n">
        <f>0</f>
        <v>0.0</v>
      </c>
    </row>
    <row r="88" spans="1:8" ht="24.9" customHeight="1">
      <c r="A88" s="51"/>
      <c r="B88" s="57"/>
      <c r="C88" s="39" t="s">
        <v>56</v>
      </c>
      <c r="D88" s="16" t="s">
        <v>15</v>
      </c>
      <c r="E88" s="17" t="n">
        <v>0.0</v>
      </c>
      <c r="F88" s="18" t="n">
        <f>0</f>
        <v>0.0</v>
      </c>
      <c r="G88" s="17" t="n">
        <v>0.0</v>
      </c>
      <c r="H88" s="18" t="n">
        <f>0</f>
        <v>0.0</v>
      </c>
    </row>
    <row r="89" spans="1:8" ht="24.9" customHeight="1">
      <c r="A89" s="51"/>
      <c r="B89" s="57"/>
      <c r="C89" s="39"/>
      <c r="D89" s="20" t="s">
        <v>16</v>
      </c>
      <c r="E89" s="21" t="n">
        <v>0.0</v>
      </c>
      <c r="F89" s="22" t="n">
        <f>0</f>
        <v>0.0</v>
      </c>
      <c r="G89" s="21" t="n">
        <v>0.0</v>
      </c>
      <c r="H89" s="22" t="n">
        <f>0</f>
        <v>0.0</v>
      </c>
    </row>
    <row r="90" spans="1:8" ht="24.9" customHeight="1">
      <c r="A90" s="51"/>
      <c r="B90" s="57"/>
      <c r="C90" s="39"/>
      <c r="D90" s="20" t="s">
        <v>17</v>
      </c>
      <c r="E90" s="21" t="n">
        <v>0.0</v>
      </c>
      <c r="F90" s="22" t="n">
        <f>0</f>
        <v>0.0</v>
      </c>
      <c r="G90" s="21" t="n">
        <v>0.0</v>
      </c>
      <c r="H90" s="22" t="n">
        <f>0</f>
        <v>0.0</v>
      </c>
    </row>
    <row r="91" spans="1:8" ht="24.9" customHeight="1">
      <c r="A91" s="51"/>
      <c r="B91" s="57"/>
      <c r="C91" s="39"/>
      <c r="D91" s="24" t="s">
        <v>18</v>
      </c>
      <c r="E91" s="25" t="n">
        <v>0.0</v>
      </c>
      <c r="F91" s="26" t="n">
        <f>0</f>
        <v>0.0</v>
      </c>
      <c r="G91" s="25" t="n">
        <v>0.0</v>
      </c>
      <c r="H91" s="26" t="n">
        <f>0</f>
        <v>0.0</v>
      </c>
    </row>
    <row r="92" spans="1:8" ht="24.9" customHeight="1">
      <c r="A92" s="51"/>
      <c r="B92" s="57"/>
      <c r="C92" s="39" t="s">
        <v>123</v>
      </c>
      <c r="D92" s="16" t="s">
        <v>15</v>
      </c>
      <c r="E92" s="17" t="n">
        <v>10.0</v>
      </c>
      <c r="F92" s="18" t="n">
        <f>0</f>
        <v>0.0</v>
      </c>
      <c r="G92" s="17" t="n">
        <v>1.57165E7</v>
      </c>
      <c r="H92" s="18" t="n">
        <f>0</f>
        <v>0.0</v>
      </c>
    </row>
    <row r="93" spans="1:8" ht="24.9" customHeight="1">
      <c r="A93" s="51"/>
      <c r="B93" s="57"/>
      <c r="C93" s="39"/>
      <c r="D93" s="20" t="s">
        <v>16</v>
      </c>
      <c r="E93" s="21" t="n">
        <v>139.0</v>
      </c>
      <c r="F93" s="22" t="n">
        <f>0</f>
        <v>0.0</v>
      </c>
      <c r="G93" s="21" t="n">
        <v>2.185676E8</v>
      </c>
      <c r="H93" s="22" t="n">
        <f>0</f>
        <v>0.0</v>
      </c>
    </row>
    <row r="94" spans="1:8" ht="24.9" customHeight="1">
      <c r="A94" s="51"/>
      <c r="B94" s="57"/>
      <c r="C94" s="39"/>
      <c r="D94" s="20" t="s">
        <v>17</v>
      </c>
      <c r="E94" s="21" t="n">
        <v>1.0</v>
      </c>
      <c r="F94" s="22" t="n">
        <f>0</f>
        <v>0.0</v>
      </c>
      <c r="G94" s="21" t="n">
        <v>1572300.0</v>
      </c>
      <c r="H94" s="22" t="n">
        <f>0</f>
        <v>0.0</v>
      </c>
    </row>
    <row r="95" spans="1:8" ht="24.9" customHeight="1">
      <c r="A95" s="51"/>
      <c r="B95" s="57"/>
      <c r="C95" s="39"/>
      <c r="D95" s="24" t="s">
        <v>18</v>
      </c>
      <c r="E95" s="25" t="n">
        <v>150.0</v>
      </c>
      <c r="F95" s="26" t="n">
        <f>0</f>
        <v>0.0</v>
      </c>
      <c r="G95" s="25" t="n">
        <v>2.358564E8</v>
      </c>
      <c r="H95" s="26" t="n">
        <f>0</f>
        <v>0.0</v>
      </c>
    </row>
    <row r="96" spans="1:8" ht="24.9" customHeight="1">
      <c r="A96" s="51"/>
      <c r="B96" s="57"/>
      <c r="C96" s="39" t="s">
        <v>124</v>
      </c>
      <c r="D96" s="16" t="s">
        <v>15</v>
      </c>
      <c r="E96" s="17" t="n">
        <v>245.0</v>
      </c>
      <c r="F96" s="18" t="n">
        <f>0</f>
        <v>0.0</v>
      </c>
      <c r="G96" s="17" t="n">
        <v>5.679808E8</v>
      </c>
      <c r="H96" s="18" t="n">
        <f>0</f>
        <v>0.0</v>
      </c>
    </row>
    <row r="97" spans="1:8" ht="24.9" customHeight="1">
      <c r="A97" s="51"/>
      <c r="B97" s="57"/>
      <c r="C97" s="39"/>
      <c r="D97" s="20" t="s">
        <v>16</v>
      </c>
      <c r="E97" s="21" t="n">
        <v>6.0</v>
      </c>
      <c r="F97" s="22" t="n">
        <f>0</f>
        <v>0.0</v>
      </c>
      <c r="G97" s="21" t="n">
        <v>1.39243E7</v>
      </c>
      <c r="H97" s="22" t="n">
        <f>0</f>
        <v>0.0</v>
      </c>
    </row>
    <row r="98" spans="1:8" ht="24.9" customHeight="1">
      <c r="A98" s="51"/>
      <c r="B98" s="57"/>
      <c r="C98" s="39"/>
      <c r="D98" s="20" t="s">
        <v>17</v>
      </c>
      <c r="E98" s="21" t="n">
        <v>1.0</v>
      </c>
      <c r="F98" s="22" t="n">
        <f>0</f>
        <v>0.0</v>
      </c>
      <c r="G98" s="21" t="n">
        <v>2320000.0</v>
      </c>
      <c r="H98" s="22" t="n">
        <f>0</f>
        <v>0.0</v>
      </c>
    </row>
    <row r="99" spans="1:8" ht="24.9" customHeight="1">
      <c r="A99" s="51"/>
      <c r="B99" s="57"/>
      <c r="C99" s="39"/>
      <c r="D99" s="24" t="s">
        <v>18</v>
      </c>
      <c r="E99" s="25" t="n">
        <v>252.0</v>
      </c>
      <c r="F99" s="26" t="n">
        <f>0</f>
        <v>0.0</v>
      </c>
      <c r="G99" s="25" t="n">
        <v>5.842251E8</v>
      </c>
      <c r="H99" s="26" t="n">
        <f>0</f>
        <v>0.0</v>
      </c>
    </row>
    <row r="100" spans="1:8" ht="24.9" customHeight="1">
      <c r="A100" s="51"/>
      <c r="B100" s="57"/>
      <c r="C100" s="39" t="s">
        <v>125</v>
      </c>
      <c r="D100" s="16" t="s">
        <v>15</v>
      </c>
      <c r="E100" s="17" t="n">
        <v>0.0</v>
      </c>
      <c r="F100" s="18" t="n">
        <f>0</f>
        <v>0.0</v>
      </c>
      <c r="G100" s="17" t="n">
        <v>0.0</v>
      </c>
      <c r="H100" s="18" t="n">
        <f>0</f>
        <v>0.0</v>
      </c>
    </row>
    <row r="101" spans="1:8" ht="24.9" customHeight="1">
      <c r="A101" s="51"/>
      <c r="B101" s="57"/>
      <c r="C101" s="39"/>
      <c r="D101" s="20" t="s">
        <v>16</v>
      </c>
      <c r="E101" s="21" t="n">
        <v>0.0</v>
      </c>
      <c r="F101" s="22" t="n">
        <f>0</f>
        <v>0.0</v>
      </c>
      <c r="G101" s="21" t="n">
        <v>0.0</v>
      </c>
      <c r="H101" s="22" t="n">
        <f>0</f>
        <v>0.0</v>
      </c>
    </row>
    <row r="102" spans="1:8" ht="24.9" customHeight="1">
      <c r="A102" s="51"/>
      <c r="B102" s="57"/>
      <c r="C102" s="39"/>
      <c r="D102" s="20" t="s">
        <v>17</v>
      </c>
      <c r="E102" s="21" t="n">
        <v>0.0</v>
      </c>
      <c r="F102" s="22" t="n">
        <f>0</f>
        <v>0.0</v>
      </c>
      <c r="G102" s="21" t="n">
        <v>0.0</v>
      </c>
      <c r="H102" s="22" t="n">
        <f>0</f>
        <v>0.0</v>
      </c>
    </row>
    <row r="103" spans="1:8" ht="24.9" customHeight="1">
      <c r="A103" s="51"/>
      <c r="B103" s="58"/>
      <c r="C103" s="39"/>
      <c r="D103" s="24" t="s">
        <v>18</v>
      </c>
      <c r="E103" s="25" t="n">
        <v>0.0</v>
      </c>
      <c r="F103" s="26" t="n">
        <f>0</f>
        <v>0.0</v>
      </c>
      <c r="G103" s="25" t="n">
        <v>0.0</v>
      </c>
      <c r="H103" s="26" t="n">
        <f>0</f>
        <v>0.0</v>
      </c>
    </row>
    <row r="104" spans="1:8" ht="24.9" customHeight="1">
      <c r="A104" s="51"/>
      <c r="B104" s="56" t="s">
        <v>57</v>
      </c>
      <c r="C104" s="39" t="s">
        <v>58</v>
      </c>
      <c r="D104" s="16" t="s">
        <v>15</v>
      </c>
      <c r="E104" s="17" t="n">
        <v>0.0</v>
      </c>
      <c r="F104" s="18" t="n">
        <f>0</f>
        <v>0.0</v>
      </c>
      <c r="G104" s="17" t="n">
        <v>0.0</v>
      </c>
      <c r="H104" s="18" t="n">
        <f>0</f>
        <v>0.0</v>
      </c>
    </row>
    <row r="105" spans="1:8" ht="24.9" customHeight="1">
      <c r="A105" s="51"/>
      <c r="B105" s="57"/>
      <c r="C105" s="39"/>
      <c r="D105" s="20" t="s">
        <v>16</v>
      </c>
      <c r="E105" s="21" t="n">
        <v>0.0</v>
      </c>
      <c r="F105" s="22" t="n">
        <f>0</f>
        <v>0.0</v>
      </c>
      <c r="G105" s="21" t="n">
        <v>0.0</v>
      </c>
      <c r="H105" s="22" t="n">
        <f>0</f>
        <v>0.0</v>
      </c>
    </row>
    <row r="106" spans="1:8" ht="24.9" customHeight="1">
      <c r="A106" s="51"/>
      <c r="B106" s="57"/>
      <c r="C106" s="39"/>
      <c r="D106" s="20" t="s">
        <v>17</v>
      </c>
      <c r="E106" s="21" t="n">
        <v>0.0</v>
      </c>
      <c r="F106" s="22" t="n">
        <f>0</f>
        <v>0.0</v>
      </c>
      <c r="G106" s="21" t="n">
        <v>0.0</v>
      </c>
      <c r="H106" s="22" t="n">
        <f>0</f>
        <v>0.0</v>
      </c>
    </row>
    <row r="107" spans="1:8" ht="24.9" customHeight="1">
      <c r="A107" s="51"/>
      <c r="B107" s="57"/>
      <c r="C107" s="39"/>
      <c r="D107" s="24" t="s">
        <v>18</v>
      </c>
      <c r="E107" s="25" t="n">
        <v>0.0</v>
      </c>
      <c r="F107" s="26" t="n">
        <f>0</f>
        <v>0.0</v>
      </c>
      <c r="G107" s="25" t="n">
        <v>0.0</v>
      </c>
      <c r="H107" s="26" t="n">
        <f>0</f>
        <v>0.0</v>
      </c>
    </row>
    <row r="108" spans="1:8" ht="24.9" customHeight="1">
      <c r="A108" s="51"/>
      <c r="B108" s="57"/>
      <c r="C108" s="39" t="s">
        <v>59</v>
      </c>
      <c r="D108" s="16" t="s">
        <v>15</v>
      </c>
      <c r="E108" s="17" t="n">
        <v>8369.0</v>
      </c>
      <c r="F108" s="18" t="n">
        <f>88</f>
        <v>88.0</v>
      </c>
      <c r="G108" s="17" t="n">
        <v>1.07979744E12</v>
      </c>
      <c r="H108" s="18" t="n">
        <f>11363440000</f>
        <v>1.136344E10</v>
      </c>
    </row>
    <row r="109" spans="1:8" ht="24.9" customHeight="1">
      <c r="A109" s="51"/>
      <c r="B109" s="57"/>
      <c r="C109" s="39"/>
      <c r="D109" s="20" t="s">
        <v>16</v>
      </c>
      <c r="E109" s="21" t="n">
        <v>14172.0</v>
      </c>
      <c r="F109" s="22" t="n">
        <f>1642</f>
        <v>1642.0</v>
      </c>
      <c r="G109" s="21" t="n">
        <v>1.8259016E12</v>
      </c>
      <c r="H109" s="22" t="n">
        <f>211556570000</f>
        <v>2.1155657E11</v>
      </c>
    </row>
    <row r="110" spans="1:8" ht="24.9" customHeight="1">
      <c r="A110" s="51"/>
      <c r="B110" s="57"/>
      <c r="C110" s="39"/>
      <c r="D110" s="20" t="s">
        <v>17</v>
      </c>
      <c r="E110" s="21" t="n">
        <v>16182.0</v>
      </c>
      <c r="F110" s="22" t="n">
        <f>1722</f>
        <v>1722.0</v>
      </c>
      <c r="G110" s="21" t="n">
        <v>2.08626811E12</v>
      </c>
      <c r="H110" s="22" t="n">
        <f>221995150000</f>
        <v>2.2199515E11</v>
      </c>
    </row>
    <row r="111" spans="1:8" ht="24.9" customHeight="1">
      <c r="A111" s="51"/>
      <c r="B111" s="57"/>
      <c r="C111" s="39"/>
      <c r="D111" s="24" t="s">
        <v>18</v>
      </c>
      <c r="E111" s="25" t="n">
        <v>38723.0</v>
      </c>
      <c r="F111" s="26" t="n">
        <f>3452</f>
        <v>3452.0</v>
      </c>
      <c r="G111" s="25" t="n">
        <v>4.99196715E12</v>
      </c>
      <c r="H111" s="26" t="n">
        <f>444915160000</f>
        <v>4.4491516E11</v>
      </c>
    </row>
    <row r="112" spans="1:8" ht="24.9" customHeight="1">
      <c r="A112" s="51"/>
      <c r="B112" s="57"/>
      <c r="C112" s="39" t="s">
        <v>60</v>
      </c>
      <c r="D112" s="16" t="s">
        <v>15</v>
      </c>
      <c r="E112" s="17" t="n">
        <v>0.0</v>
      </c>
      <c r="F112" s="18" t="n">
        <f>0</f>
        <v>0.0</v>
      </c>
      <c r="G112" s="17" t="n">
        <v>0.0</v>
      </c>
      <c r="H112" s="18" t="n">
        <f>0</f>
        <v>0.0</v>
      </c>
    </row>
    <row r="113" spans="1:8" ht="24.9" customHeight="1">
      <c r="A113" s="51"/>
      <c r="B113" s="57"/>
      <c r="C113" s="39"/>
      <c r="D113" s="20" t="s">
        <v>16</v>
      </c>
      <c r="E113" s="21" t="n">
        <v>279.0</v>
      </c>
      <c r="F113" s="22" t="n">
        <f>0</f>
        <v>0.0</v>
      </c>
      <c r="G113" s="21" t="n">
        <v>3.59476E9</v>
      </c>
      <c r="H113" s="22" t="n">
        <f>0</f>
        <v>0.0</v>
      </c>
    </row>
    <row r="114" spans="1:8" ht="24.9" customHeight="1">
      <c r="A114" s="51"/>
      <c r="B114" s="57"/>
      <c r="C114" s="39"/>
      <c r="D114" s="20" t="s">
        <v>17</v>
      </c>
      <c r="E114" s="21" t="n">
        <v>330.0</v>
      </c>
      <c r="F114" s="22" t="n">
        <f>0</f>
        <v>0.0</v>
      </c>
      <c r="G114" s="21" t="n">
        <v>4.25469E9</v>
      </c>
      <c r="H114" s="22" t="n">
        <f>0</f>
        <v>0.0</v>
      </c>
    </row>
    <row r="115" spans="1:8" ht="24.9" customHeight="1">
      <c r="A115" s="51"/>
      <c r="B115" s="57"/>
      <c r="C115" s="39"/>
      <c r="D115" s="24" t="s">
        <v>18</v>
      </c>
      <c r="E115" s="25" t="n">
        <v>609.0</v>
      </c>
      <c r="F115" s="26" t="n">
        <f>0</f>
        <v>0.0</v>
      </c>
      <c r="G115" s="25" t="n">
        <v>7.84945E9</v>
      </c>
      <c r="H115" s="26" t="n">
        <f>0</f>
        <v>0.0</v>
      </c>
    </row>
    <row r="116" spans="1:8" ht="24.9" customHeight="1">
      <c r="A116" s="51"/>
      <c r="B116" s="57"/>
      <c r="C116" s="39" t="s">
        <v>61</v>
      </c>
      <c r="D116" s="16" t="s">
        <v>15</v>
      </c>
      <c r="E116" s="17" t="n">
        <v>0.0</v>
      </c>
      <c r="F116" s="18" t="n">
        <f>0</f>
        <v>0.0</v>
      </c>
      <c r="G116" s="17" t="n">
        <v>0.0</v>
      </c>
      <c r="H116" s="18" t="n">
        <f>0</f>
        <v>0.0</v>
      </c>
    </row>
    <row r="117" spans="1:8" ht="24.9" customHeight="1">
      <c r="A117" s="51"/>
      <c r="B117" s="57"/>
      <c r="C117" s="39"/>
      <c r="D117" s="20" t="s">
        <v>16</v>
      </c>
      <c r="E117" s="21" t="n">
        <v>0.0</v>
      </c>
      <c r="F117" s="22" t="n">
        <f>0</f>
        <v>0.0</v>
      </c>
      <c r="G117" s="21" t="n">
        <v>0.0</v>
      </c>
      <c r="H117" s="22" t="n">
        <f>0</f>
        <v>0.0</v>
      </c>
    </row>
    <row r="118" spans="1:8" ht="24.9" customHeight="1">
      <c r="A118" s="51"/>
      <c r="B118" s="57"/>
      <c r="C118" s="39"/>
      <c r="D118" s="20" t="s">
        <v>17</v>
      </c>
      <c r="E118" s="21" t="n">
        <v>100.0</v>
      </c>
      <c r="F118" s="22" t="n">
        <f>0</f>
        <v>0.0</v>
      </c>
      <c r="G118" s="21" t="n">
        <v>9.3405E8</v>
      </c>
      <c r="H118" s="22" t="n">
        <f>0</f>
        <v>0.0</v>
      </c>
    </row>
    <row r="119" spans="1:8" ht="24.9" customHeight="1">
      <c r="A119" s="51"/>
      <c r="B119" s="58"/>
      <c r="C119" s="39"/>
      <c r="D119" s="24" t="s">
        <v>18</v>
      </c>
      <c r="E119" s="25" t="n">
        <v>100.0</v>
      </c>
      <c r="F119" s="26" t="n">
        <f>0</f>
        <v>0.0</v>
      </c>
      <c r="G119" s="25" t="n">
        <v>9.3405E8</v>
      </c>
      <c r="H119" s="26" t="n">
        <f>0</f>
        <v>0.0</v>
      </c>
    </row>
    <row r="120" spans="1:8" ht="24.9" customHeight="1">
      <c r="A120" s="51"/>
      <c r="B120" s="53" t="s">
        <v>62</v>
      </c>
      <c r="C120" s="39" t="s">
        <v>63</v>
      </c>
      <c r="D120" s="16" t="s">
        <v>15</v>
      </c>
      <c r="E120" s="17" t="n">
        <v>196.0</v>
      </c>
      <c r="F120" s="18" t="n">
        <f>0</f>
        <v>0.0</v>
      </c>
      <c r="G120" s="17" t="n">
        <v>4.83608875E9</v>
      </c>
      <c r="H120" s="18" t="n">
        <f>0</f>
        <v>0.0</v>
      </c>
    </row>
    <row r="121" spans="1:8" ht="24.9" customHeight="1">
      <c r="A121" s="51"/>
      <c r="B121" s="54"/>
      <c r="C121" s="39"/>
      <c r="D121" s="20" t="s">
        <v>16</v>
      </c>
      <c r="E121" s="21" t="n">
        <v>854.0</v>
      </c>
      <c r="F121" s="22" t="n">
        <f>0</f>
        <v>0.0</v>
      </c>
      <c r="G121" s="21" t="n">
        <v>2.1140631875E10</v>
      </c>
      <c r="H121" s="22" t="n">
        <f>0</f>
        <v>0.0</v>
      </c>
    </row>
    <row r="122" spans="1:8" ht="24.9" customHeight="1">
      <c r="A122" s="51"/>
      <c r="B122" s="54"/>
      <c r="C122" s="39"/>
      <c r="D122" s="20" t="s">
        <v>17</v>
      </c>
      <c r="E122" s="21" t="n">
        <v>5551.0</v>
      </c>
      <c r="F122" s="22" t="n">
        <f>0</f>
        <v>0.0</v>
      </c>
      <c r="G122" s="21" t="n">
        <v>1.37471691875E11</v>
      </c>
      <c r="H122" s="22" t="n">
        <f>0</f>
        <v>0.0</v>
      </c>
    </row>
    <row r="123" spans="1:8" ht="24.9" customHeight="1">
      <c r="A123" s="51"/>
      <c r="B123" s="55"/>
      <c r="C123" s="39"/>
      <c r="D123" s="24" t="s">
        <v>18</v>
      </c>
      <c r="E123" s="25" t="n">
        <v>6601.0</v>
      </c>
      <c r="F123" s="26" t="n">
        <f>0</f>
        <v>0.0</v>
      </c>
      <c r="G123" s="25" t="n">
        <v>1.634484125E11</v>
      </c>
      <c r="H123" s="26" t="n">
        <f>0</f>
        <v>0.0</v>
      </c>
    </row>
    <row r="124" spans="1:8" ht="24.9" customHeight="1">
      <c r="A124" s="51"/>
      <c r="B124" s="56" t="s">
        <v>64</v>
      </c>
      <c r="C124" s="39" t="s">
        <v>65</v>
      </c>
      <c r="D124" s="16" t="s">
        <v>15</v>
      </c>
      <c r="E124" s="17" t="n">
        <v>5726.0</v>
      </c>
      <c r="F124" s="18" t="n">
        <f>0</f>
        <v>0.0</v>
      </c>
      <c r="G124" s="17" t="n">
        <v>1.4056491E11</v>
      </c>
      <c r="H124" s="18" t="n">
        <f>0</f>
        <v>0.0</v>
      </c>
    </row>
    <row r="125" spans="1:8" ht="24.9" customHeight="1">
      <c r="A125" s="51"/>
      <c r="B125" s="57"/>
      <c r="C125" s="39"/>
      <c r="D125" s="20" t="s">
        <v>16</v>
      </c>
      <c r="E125" s="21" t="n">
        <v>2083.0</v>
      </c>
      <c r="F125" s="22" t="n">
        <f>0</f>
        <v>0.0</v>
      </c>
      <c r="G125" s="21" t="n">
        <v>5.1440366E10</v>
      </c>
      <c r="H125" s="22" t="n">
        <f>0</f>
        <v>0.0</v>
      </c>
    </row>
    <row r="126" spans="1:8" ht="24.9" customHeight="1">
      <c r="A126" s="51"/>
      <c r="B126" s="57"/>
      <c r="C126" s="39"/>
      <c r="D126" s="20" t="s">
        <v>17</v>
      </c>
      <c r="E126" s="21" t="n">
        <v>4126.0</v>
      </c>
      <c r="F126" s="22" t="n">
        <f>0</f>
        <v>0.0</v>
      </c>
      <c r="G126" s="21" t="n">
        <v>1.01689038E11</v>
      </c>
      <c r="H126" s="22" t="n">
        <f>0</f>
        <v>0.0</v>
      </c>
    </row>
    <row r="127" spans="1:8" ht="24.9" customHeight="1">
      <c r="A127" s="51"/>
      <c r="B127" s="57"/>
      <c r="C127" s="39"/>
      <c r="D127" s="24" t="s">
        <v>18</v>
      </c>
      <c r="E127" s="25" t="n">
        <v>11935.0</v>
      </c>
      <c r="F127" s="26" t="n">
        <f>0</f>
        <v>0.0</v>
      </c>
      <c r="G127" s="25" t="n">
        <v>2.93694314E11</v>
      </c>
      <c r="H127" s="26" t="n">
        <f>0</f>
        <v>0.0</v>
      </c>
    </row>
    <row r="128" spans="1:8" ht="24.9" customHeight="1">
      <c r="A128" s="51"/>
      <c r="B128" s="57"/>
      <c r="C128" s="39" t="s">
        <v>127</v>
      </c>
      <c r="D128" s="16" t="s">
        <v>15</v>
      </c>
      <c r="E128" s="17" t="n">
        <v>21.0</v>
      </c>
      <c r="F128" s="18" t="n">
        <f>0</f>
        <v>0.0</v>
      </c>
      <c r="G128" s="17" t="n">
        <v>5.13889E7</v>
      </c>
      <c r="H128" s="18" t="n">
        <f>0</f>
        <v>0.0</v>
      </c>
    </row>
    <row r="129" spans="1:8" ht="24.9" customHeight="1">
      <c r="A129" s="51"/>
      <c r="B129" s="57"/>
      <c r="C129" s="39"/>
      <c r="D129" s="20" t="s">
        <v>16</v>
      </c>
      <c r="E129" s="21" t="n">
        <v>42.0</v>
      </c>
      <c r="F129" s="22" t="n">
        <f>0</f>
        <v>0.0</v>
      </c>
      <c r="G129" s="21" t="n">
        <v>1.040175E8</v>
      </c>
      <c r="H129" s="22" t="n">
        <f>0</f>
        <v>0.0</v>
      </c>
    </row>
    <row r="130" spans="1:8" ht="24.9" customHeight="1">
      <c r="A130" s="51"/>
      <c r="B130" s="57"/>
      <c r="C130" s="39"/>
      <c r="D130" s="20" t="s">
        <v>17</v>
      </c>
      <c r="E130" s="21" t="n">
        <v>66.0</v>
      </c>
      <c r="F130" s="22" t="n">
        <f>0</f>
        <v>0.0</v>
      </c>
      <c r="G130" s="21" t="n">
        <v>1.628087E8</v>
      </c>
      <c r="H130" s="22" t="n">
        <f>0</f>
        <v>0.0</v>
      </c>
    </row>
    <row r="131" spans="1:8" ht="24.9" customHeight="1">
      <c r="A131" s="51"/>
      <c r="B131" s="57"/>
      <c r="C131" s="39"/>
      <c r="D131" s="24" t="s">
        <v>18</v>
      </c>
      <c r="E131" s="25" t="n">
        <v>129.0</v>
      </c>
      <c r="F131" s="26" t="n">
        <f>0</f>
        <v>0.0</v>
      </c>
      <c r="G131" s="25" t="n">
        <v>3.182151E8</v>
      </c>
      <c r="H131" s="26" t="n">
        <f>0</f>
        <v>0.0</v>
      </c>
    </row>
    <row r="132" spans="1:8" ht="24.9" customHeight="1">
      <c r="A132" s="51"/>
      <c r="B132" s="57"/>
      <c r="C132" s="39" t="s">
        <v>66</v>
      </c>
      <c r="D132" s="16" t="s">
        <v>15</v>
      </c>
      <c r="E132" s="17" t="n">
        <v>6714.0</v>
      </c>
      <c r="F132" s="18" t="n">
        <f>0</f>
        <v>0.0</v>
      </c>
      <c r="G132" s="17" t="n">
        <v>1.65359213E10</v>
      </c>
      <c r="H132" s="18" t="n">
        <f>0</f>
        <v>0.0</v>
      </c>
    </row>
    <row r="133" spans="1:8" ht="24.9" customHeight="1">
      <c r="A133" s="51"/>
      <c r="B133" s="57"/>
      <c r="C133" s="39"/>
      <c r="D133" s="20" t="s">
        <v>16</v>
      </c>
      <c r="E133" s="21" t="n">
        <v>1612.0</v>
      </c>
      <c r="F133" s="22" t="n">
        <f>0</f>
        <v>0.0</v>
      </c>
      <c r="G133" s="21" t="n">
        <v>3.99489245E9</v>
      </c>
      <c r="H133" s="22" t="n">
        <f>0</f>
        <v>0.0</v>
      </c>
    </row>
    <row r="134" spans="1:8" ht="24.9" customHeight="1">
      <c r="A134" s="51"/>
      <c r="B134" s="57"/>
      <c r="C134" s="39"/>
      <c r="D134" s="20" t="s">
        <v>17</v>
      </c>
      <c r="E134" s="21" t="n">
        <v>1817.0</v>
      </c>
      <c r="F134" s="22" t="n">
        <f>0</f>
        <v>0.0</v>
      </c>
      <c r="G134" s="21" t="n">
        <v>4.4883859E9</v>
      </c>
      <c r="H134" s="22" t="n">
        <f>0</f>
        <v>0.0</v>
      </c>
    </row>
    <row r="135" spans="1:8" ht="24.9" customHeight="1">
      <c r="A135" s="51"/>
      <c r="B135" s="57"/>
      <c r="C135" s="39"/>
      <c r="D135" s="24" t="s">
        <v>18</v>
      </c>
      <c r="E135" s="25" t="n">
        <v>10143.0</v>
      </c>
      <c r="F135" s="26" t="n">
        <f>0</f>
        <v>0.0</v>
      </c>
      <c r="G135" s="25" t="n">
        <v>2.501919965E10</v>
      </c>
      <c r="H135" s="26" t="n">
        <f>0</f>
        <v>0.0</v>
      </c>
    </row>
    <row r="136" spans="1:8" ht="24.9" customHeight="1">
      <c r="A136" s="51"/>
      <c r="B136" s="57"/>
      <c r="C136" s="39" t="s">
        <v>67</v>
      </c>
      <c r="D136" s="16" t="s">
        <v>15</v>
      </c>
      <c r="E136" s="17" t="n">
        <v>44.0</v>
      </c>
      <c r="F136" s="18" t="n">
        <f>0</f>
        <v>0.0</v>
      </c>
      <c r="G136" s="17" t="n">
        <v>1.072088E8</v>
      </c>
      <c r="H136" s="18" t="n">
        <f>0</f>
        <v>0.0</v>
      </c>
    </row>
    <row r="137" spans="1:8" ht="24.9" customHeight="1">
      <c r="A137" s="51"/>
      <c r="B137" s="57"/>
      <c r="C137" s="39"/>
      <c r="D137" s="20" t="s">
        <v>16</v>
      </c>
      <c r="E137" s="21" t="n">
        <v>151.0</v>
      </c>
      <c r="F137" s="22" t="n">
        <f>1</f>
        <v>1.0</v>
      </c>
      <c r="G137" s="21" t="n">
        <v>3.699142E8</v>
      </c>
      <c r="H137" s="22" t="n">
        <f>2456400</f>
        <v>2456400.0</v>
      </c>
    </row>
    <row r="138" spans="1:8" ht="24.9" customHeight="1">
      <c r="A138" s="51"/>
      <c r="B138" s="57"/>
      <c r="C138" s="39"/>
      <c r="D138" s="20" t="s">
        <v>17</v>
      </c>
      <c r="E138" s="21" t="n">
        <v>49.0</v>
      </c>
      <c r="F138" s="22" t="n">
        <f>0</f>
        <v>0.0</v>
      </c>
      <c r="G138" s="21" t="n">
        <v>1.198917E8</v>
      </c>
      <c r="H138" s="22" t="n">
        <f>0</f>
        <v>0.0</v>
      </c>
    </row>
    <row r="139" spans="1:8" ht="24.9" customHeight="1">
      <c r="A139" s="51"/>
      <c r="B139" s="57"/>
      <c r="C139" s="39"/>
      <c r="D139" s="24" t="s">
        <v>18</v>
      </c>
      <c r="E139" s="25" t="n">
        <v>244.0</v>
      </c>
      <c r="F139" s="26" t="n">
        <f>1</f>
        <v>1.0</v>
      </c>
      <c r="G139" s="25" t="n">
        <v>5.970147E8</v>
      </c>
      <c r="H139" s="26" t="n">
        <f>2456400</f>
        <v>2456400.0</v>
      </c>
    </row>
    <row r="140" spans="1:8" ht="24.9" customHeight="1">
      <c r="A140" s="51"/>
      <c r="B140" s="57"/>
      <c r="C140" s="39" t="s">
        <v>68</v>
      </c>
      <c r="D140" s="16" t="s">
        <v>15</v>
      </c>
      <c r="E140" s="17" t="n">
        <v>0.0</v>
      </c>
      <c r="F140" s="18" t="n">
        <f>0</f>
        <v>0.0</v>
      </c>
      <c r="G140" s="17" t="n">
        <v>0.0</v>
      </c>
      <c r="H140" s="18" t="n">
        <f>0</f>
        <v>0.0</v>
      </c>
    </row>
    <row r="141" spans="1:8" ht="24.9" customHeight="1">
      <c r="A141" s="51"/>
      <c r="B141" s="57"/>
      <c r="C141" s="39"/>
      <c r="D141" s="20" t="s">
        <v>16</v>
      </c>
      <c r="E141" s="21" t="n">
        <v>1.0</v>
      </c>
      <c r="F141" s="22" t="n">
        <f>0</f>
        <v>0.0</v>
      </c>
      <c r="G141" s="21" t="n">
        <v>1.281E7</v>
      </c>
      <c r="H141" s="22" t="n">
        <f>0</f>
        <v>0.0</v>
      </c>
    </row>
    <row r="142" spans="1:8" ht="24.9" customHeight="1">
      <c r="A142" s="51"/>
      <c r="B142" s="57"/>
      <c r="C142" s="39"/>
      <c r="D142" s="20" t="s">
        <v>17</v>
      </c>
      <c r="E142" s="21" t="n">
        <v>2.0</v>
      </c>
      <c r="F142" s="22" t="n">
        <f>0</f>
        <v>0.0</v>
      </c>
      <c r="G142" s="21" t="n">
        <v>2.5803E7</v>
      </c>
      <c r="H142" s="22" t="n">
        <f>0</f>
        <v>0.0</v>
      </c>
    </row>
    <row r="143" spans="1:8" ht="24.9" customHeight="1">
      <c r="A143" s="51"/>
      <c r="B143" s="57"/>
      <c r="C143" s="39"/>
      <c r="D143" s="24" t="s">
        <v>18</v>
      </c>
      <c r="E143" s="25" t="n">
        <v>3.0</v>
      </c>
      <c r="F143" s="26" t="n">
        <f>0</f>
        <v>0.0</v>
      </c>
      <c r="G143" s="25" t="n">
        <v>3.8613E7</v>
      </c>
      <c r="H143" s="26" t="n">
        <f>0</f>
        <v>0.0</v>
      </c>
    </row>
    <row r="144" spans="1:8" ht="24.9" customHeight="1">
      <c r="A144" s="51"/>
      <c r="B144" s="57"/>
      <c r="C144" s="39" t="s">
        <v>69</v>
      </c>
      <c r="D144" s="16" t="s">
        <v>15</v>
      </c>
      <c r="E144" s="17" t="n">
        <v>1856.0</v>
      </c>
      <c r="F144" s="18" t="n">
        <f>0</f>
        <v>0.0</v>
      </c>
      <c r="G144" s="17" t="n">
        <v>9.7415295E9</v>
      </c>
      <c r="H144" s="18" t="n">
        <f>0</f>
        <v>0.0</v>
      </c>
    </row>
    <row r="145" spans="1:8" ht="24.9" customHeight="1">
      <c r="A145" s="51"/>
      <c r="B145" s="57"/>
      <c r="C145" s="39"/>
      <c r="D145" s="20" t="s">
        <v>16</v>
      </c>
      <c r="E145" s="21" t="n">
        <v>1259.0</v>
      </c>
      <c r="F145" s="22" t="n">
        <f>0</f>
        <v>0.0</v>
      </c>
      <c r="G145" s="21" t="n">
        <v>6.688217E9</v>
      </c>
      <c r="H145" s="22" t="n">
        <f>0</f>
        <v>0.0</v>
      </c>
    </row>
    <row r="146" spans="1:8" ht="24.9" customHeight="1">
      <c r="A146" s="51"/>
      <c r="B146" s="57"/>
      <c r="C146" s="39"/>
      <c r="D146" s="20" t="s">
        <v>17</v>
      </c>
      <c r="E146" s="21" t="n">
        <v>1154.0</v>
      </c>
      <c r="F146" s="22" t="n">
        <f>0</f>
        <v>0.0</v>
      </c>
      <c r="G146" s="21" t="n">
        <v>6.105724E9</v>
      </c>
      <c r="H146" s="22" t="n">
        <f>0</f>
        <v>0.0</v>
      </c>
    </row>
    <row r="147" spans="1:8" ht="24.9" customHeight="1">
      <c r="A147" s="51"/>
      <c r="B147" s="57"/>
      <c r="C147" s="39"/>
      <c r="D147" s="24" t="s">
        <v>18</v>
      </c>
      <c r="E147" s="25" t="n">
        <v>4269.0</v>
      </c>
      <c r="F147" s="26" t="n">
        <f>0</f>
        <v>0.0</v>
      </c>
      <c r="G147" s="25" t="n">
        <v>2.25354705E10</v>
      </c>
      <c r="H147" s="26" t="n">
        <f>0</f>
        <v>0.0</v>
      </c>
    </row>
    <row r="148" spans="1:8" ht="24.9" customHeight="1">
      <c r="A148" s="51"/>
      <c r="B148" s="57"/>
      <c r="C148" s="39" t="s">
        <v>128</v>
      </c>
      <c r="D148" s="16" t="s">
        <v>15</v>
      </c>
      <c r="E148" s="17" t="n">
        <v>35.0</v>
      </c>
      <c r="F148" s="18" t="n">
        <f>0</f>
        <v>0.0</v>
      </c>
      <c r="G148" s="17" t="n">
        <v>3.74072E7</v>
      </c>
      <c r="H148" s="18" t="n">
        <f>0</f>
        <v>0.0</v>
      </c>
    </row>
    <row r="149" spans="1:8" ht="24.9" customHeight="1">
      <c r="A149" s="51"/>
      <c r="B149" s="57"/>
      <c r="C149" s="39"/>
      <c r="D149" s="20" t="s">
        <v>16</v>
      </c>
      <c r="E149" s="21" t="n">
        <v>512.0</v>
      </c>
      <c r="F149" s="22" t="n">
        <f>0</f>
        <v>0.0</v>
      </c>
      <c r="G149" s="21" t="n">
        <v>5.559565E8</v>
      </c>
      <c r="H149" s="22" t="n">
        <f>0</f>
        <v>0.0</v>
      </c>
    </row>
    <row r="150" spans="1:8" ht="24.9" customHeight="1">
      <c r="A150" s="51"/>
      <c r="B150" s="57"/>
      <c r="C150" s="39"/>
      <c r="D150" s="20" t="s">
        <v>17</v>
      </c>
      <c r="E150" s="21" t="n">
        <v>464.0</v>
      </c>
      <c r="F150" s="22" t="n">
        <f>0</f>
        <v>0.0</v>
      </c>
      <c r="G150" s="21" t="n">
        <v>4.996899E8</v>
      </c>
      <c r="H150" s="22" t="n">
        <f>0</f>
        <v>0.0</v>
      </c>
    </row>
    <row r="151" spans="1:8" ht="24.9" customHeight="1">
      <c r="A151" s="51"/>
      <c r="B151" s="57"/>
      <c r="C151" s="39"/>
      <c r="D151" s="24" t="s">
        <v>18</v>
      </c>
      <c r="E151" s="25" t="n">
        <v>1011.0</v>
      </c>
      <c r="F151" s="26" t="n">
        <f>0</f>
        <v>0.0</v>
      </c>
      <c r="G151" s="25" t="n">
        <v>1.0930536E9</v>
      </c>
      <c r="H151" s="26" t="n">
        <f>0</f>
        <v>0.0</v>
      </c>
    </row>
    <row r="152" spans="1:8" ht="24.9" customHeight="1">
      <c r="A152" s="51"/>
      <c r="B152" s="57"/>
      <c r="C152" s="39" t="s">
        <v>70</v>
      </c>
      <c r="D152" s="16" t="s">
        <v>15</v>
      </c>
      <c r="E152" s="17" t="n">
        <v>260.0</v>
      </c>
      <c r="F152" s="18" t="n">
        <f>0</f>
        <v>0.0</v>
      </c>
      <c r="G152" s="17" t="n">
        <v>2.73321E8</v>
      </c>
      <c r="H152" s="18" t="n">
        <f>0</f>
        <v>0.0</v>
      </c>
    </row>
    <row r="153" spans="1:8" ht="24.9" customHeight="1">
      <c r="A153" s="51"/>
      <c r="B153" s="57"/>
      <c r="C153" s="39"/>
      <c r="D153" s="20" t="s">
        <v>16</v>
      </c>
      <c r="E153" s="21" t="n">
        <v>198.0</v>
      </c>
      <c r="F153" s="22" t="n">
        <f>0</f>
        <v>0.0</v>
      </c>
      <c r="G153" s="21" t="n">
        <v>2.106092E8</v>
      </c>
      <c r="H153" s="22" t="n">
        <f>0</f>
        <v>0.0</v>
      </c>
    </row>
    <row r="154" spans="1:8" ht="24.9" customHeight="1">
      <c r="A154" s="51"/>
      <c r="B154" s="57"/>
      <c r="C154" s="39"/>
      <c r="D154" s="20" t="s">
        <v>17</v>
      </c>
      <c r="E154" s="21" t="n">
        <v>134.0</v>
      </c>
      <c r="F154" s="22" t="n">
        <f>0</f>
        <v>0.0</v>
      </c>
      <c r="G154" s="21" t="n">
        <v>1.419031E8</v>
      </c>
      <c r="H154" s="22" t="n">
        <f>0</f>
        <v>0.0</v>
      </c>
    </row>
    <row r="155" spans="1:8" ht="24.9" customHeight="1">
      <c r="A155" s="51"/>
      <c r="B155" s="57"/>
      <c r="C155" s="39"/>
      <c r="D155" s="24" t="s">
        <v>18</v>
      </c>
      <c r="E155" s="25" t="n">
        <v>592.0</v>
      </c>
      <c r="F155" s="26" t="n">
        <f>0</f>
        <v>0.0</v>
      </c>
      <c r="G155" s="25" t="n">
        <v>6.258333E8</v>
      </c>
      <c r="H155" s="26" t="n">
        <f>0</f>
        <v>0.0</v>
      </c>
    </row>
    <row r="156" spans="1:8" ht="24.9" customHeight="1">
      <c r="A156" s="51"/>
      <c r="B156" s="57"/>
      <c r="C156" s="39" t="s">
        <v>71</v>
      </c>
      <c r="D156" s="16" t="s">
        <v>15</v>
      </c>
      <c r="E156" s="17" t="n">
        <v>117.0</v>
      </c>
      <c r="F156" s="18" t="n">
        <f>0</f>
        <v>0.0</v>
      </c>
      <c r="G156" s="17" t="n">
        <v>1.242352E8</v>
      </c>
      <c r="H156" s="18" t="n">
        <f>0</f>
        <v>0.0</v>
      </c>
    </row>
    <row r="157" spans="1:8" ht="24.9" customHeight="1">
      <c r="A157" s="51"/>
      <c r="B157" s="57"/>
      <c r="C157" s="39"/>
      <c r="D157" s="20" t="s">
        <v>16</v>
      </c>
      <c r="E157" s="21" t="n">
        <v>770.0</v>
      </c>
      <c r="F157" s="22" t="n">
        <f>0</f>
        <v>0.0</v>
      </c>
      <c r="G157" s="21" t="n">
        <v>8.289921E8</v>
      </c>
      <c r="H157" s="22" t="n">
        <f>0</f>
        <v>0.0</v>
      </c>
    </row>
    <row r="158" spans="1:8" ht="24.9" customHeight="1">
      <c r="A158" s="51"/>
      <c r="B158" s="57"/>
      <c r="C158" s="39"/>
      <c r="D158" s="20" t="s">
        <v>17</v>
      </c>
      <c r="E158" s="21" t="n">
        <v>1364.0</v>
      </c>
      <c r="F158" s="22" t="n">
        <f>0</f>
        <v>0.0</v>
      </c>
      <c r="G158" s="21" t="n">
        <v>1.462453E9</v>
      </c>
      <c r="H158" s="22" t="n">
        <f>0</f>
        <v>0.0</v>
      </c>
    </row>
    <row r="159" spans="1:8" ht="24.9" customHeight="1">
      <c r="A159" s="51"/>
      <c r="B159" s="57"/>
      <c r="C159" s="39"/>
      <c r="D159" s="24" t="s">
        <v>18</v>
      </c>
      <c r="E159" s="25" t="n">
        <v>2251.0</v>
      </c>
      <c r="F159" s="26" t="n">
        <f>0</f>
        <v>0.0</v>
      </c>
      <c r="G159" s="25" t="n">
        <v>2.4156803E9</v>
      </c>
      <c r="H159" s="26" t="n">
        <f>0</f>
        <v>0.0</v>
      </c>
    </row>
    <row r="160" spans="1:8" ht="24.9" customHeight="1">
      <c r="A160" s="51"/>
      <c r="B160" s="57"/>
      <c r="C160" s="39" t="s">
        <v>72</v>
      </c>
      <c r="D160" s="16" t="s">
        <v>15</v>
      </c>
      <c r="E160" s="17" t="n">
        <v>0.0</v>
      </c>
      <c r="F160" s="18" t="n">
        <f>0</f>
        <v>0.0</v>
      </c>
      <c r="G160" s="17" t="n">
        <v>0.0</v>
      </c>
      <c r="H160" s="18" t="n">
        <f>0</f>
        <v>0.0</v>
      </c>
    </row>
    <row r="161" spans="1:8" ht="24.9" customHeight="1">
      <c r="A161" s="51"/>
      <c r="B161" s="57"/>
      <c r="C161" s="39"/>
      <c r="D161" s="20" t="s">
        <v>16</v>
      </c>
      <c r="E161" s="21" t="n">
        <v>0.0</v>
      </c>
      <c r="F161" s="22" t="n">
        <f>0</f>
        <v>0.0</v>
      </c>
      <c r="G161" s="21" t="n">
        <v>0.0</v>
      </c>
      <c r="H161" s="22" t="n">
        <f>0</f>
        <v>0.0</v>
      </c>
    </row>
    <row r="162" spans="1:8" ht="24.9" customHeight="1">
      <c r="A162" s="51"/>
      <c r="B162" s="57"/>
      <c r="C162" s="39"/>
      <c r="D162" s="20" t="s">
        <v>17</v>
      </c>
      <c r="E162" s="21" t="n">
        <v>0.0</v>
      </c>
      <c r="F162" s="22" t="n">
        <f>0</f>
        <v>0.0</v>
      </c>
      <c r="G162" s="21" t="n">
        <v>0.0</v>
      </c>
      <c r="H162" s="22" t="n">
        <f>0</f>
        <v>0.0</v>
      </c>
    </row>
    <row r="163" spans="1:8" ht="24.9" customHeight="1">
      <c r="A163" s="51"/>
      <c r="B163" s="57"/>
      <c r="C163" s="39"/>
      <c r="D163" s="24" t="s">
        <v>18</v>
      </c>
      <c r="E163" s="25" t="n">
        <v>0.0</v>
      </c>
      <c r="F163" s="26" t="n">
        <f>0</f>
        <v>0.0</v>
      </c>
      <c r="G163" s="25" t="n">
        <v>0.0</v>
      </c>
      <c r="H163" s="26" t="n">
        <f>0</f>
        <v>0.0</v>
      </c>
    </row>
    <row r="164" spans="1:8" ht="24.9" customHeight="1">
      <c r="A164" s="51"/>
      <c r="B164" s="57"/>
      <c r="C164" s="39" t="s">
        <v>73</v>
      </c>
      <c r="D164" s="16" t="s">
        <v>15</v>
      </c>
      <c r="E164" s="17" t="n">
        <v>0.0</v>
      </c>
      <c r="F164" s="18" t="n">
        <f>0</f>
        <v>0.0</v>
      </c>
      <c r="G164" s="17" t="n">
        <v>0.0</v>
      </c>
      <c r="H164" s="18" t="n">
        <f>0</f>
        <v>0.0</v>
      </c>
    </row>
    <row r="165" spans="1:8" ht="24.9" customHeight="1">
      <c r="A165" s="51"/>
      <c r="B165" s="57"/>
      <c r="C165" s="39"/>
      <c r="D165" s="20" t="s">
        <v>16</v>
      </c>
      <c r="E165" s="21" t="n">
        <v>0.0</v>
      </c>
      <c r="F165" s="22" t="n">
        <f>0</f>
        <v>0.0</v>
      </c>
      <c r="G165" s="21" t="n">
        <v>0.0</v>
      </c>
      <c r="H165" s="22" t="n">
        <f>0</f>
        <v>0.0</v>
      </c>
    </row>
    <row r="166" spans="1:8" ht="24.9" customHeight="1">
      <c r="A166" s="51"/>
      <c r="B166" s="57"/>
      <c r="C166" s="39"/>
      <c r="D166" s="20" t="s">
        <v>17</v>
      </c>
      <c r="E166" s="21" t="n">
        <v>0.0</v>
      </c>
      <c r="F166" s="22" t="n">
        <f>0</f>
        <v>0.0</v>
      </c>
      <c r="G166" s="21" t="n">
        <v>0.0</v>
      </c>
      <c r="H166" s="22" t="n">
        <f>0</f>
        <v>0.0</v>
      </c>
    </row>
    <row r="167" spans="1:8" ht="24.9" customHeight="1">
      <c r="A167" s="51"/>
      <c r="B167" s="57"/>
      <c r="C167" s="39"/>
      <c r="D167" s="24" t="s">
        <v>18</v>
      </c>
      <c r="E167" s="25" t="n">
        <v>0.0</v>
      </c>
      <c r="F167" s="26" t="n">
        <f>0</f>
        <v>0.0</v>
      </c>
      <c r="G167" s="25" t="n">
        <v>0.0</v>
      </c>
      <c r="H167" s="26" t="n">
        <f>0</f>
        <v>0.0</v>
      </c>
    </row>
    <row r="168" spans="1:8" ht="24.9" customHeight="1">
      <c r="A168" s="51"/>
      <c r="B168" s="57"/>
      <c r="C168" s="39" t="s">
        <v>74</v>
      </c>
      <c r="D168" s="16" t="s">
        <v>15</v>
      </c>
      <c r="E168" s="17" t="n">
        <v>27.0</v>
      </c>
      <c r="F168" s="18" t="n">
        <f>0</f>
        <v>0.0</v>
      </c>
      <c r="G168" s="17" t="n">
        <v>5.52445E7</v>
      </c>
      <c r="H168" s="18" t="n">
        <f>0</f>
        <v>0.0</v>
      </c>
    </row>
    <row r="169" spans="1:8" ht="24.9" customHeight="1">
      <c r="A169" s="51"/>
      <c r="B169" s="57"/>
      <c r="C169" s="39"/>
      <c r="D169" s="20" t="s">
        <v>16</v>
      </c>
      <c r="E169" s="21" t="n">
        <v>118.0</v>
      </c>
      <c r="F169" s="22" t="n">
        <f>0</f>
        <v>0.0</v>
      </c>
      <c r="G169" s="21" t="n">
        <v>2.444315E8</v>
      </c>
      <c r="H169" s="22" t="n">
        <f>0</f>
        <v>0.0</v>
      </c>
    </row>
    <row r="170" spans="1:8" ht="24.9" customHeight="1">
      <c r="A170" s="51"/>
      <c r="B170" s="57"/>
      <c r="C170" s="39"/>
      <c r="D170" s="20" t="s">
        <v>17</v>
      </c>
      <c r="E170" s="21" t="n">
        <v>527.0</v>
      </c>
      <c r="F170" s="22" t="n">
        <f>0</f>
        <v>0.0</v>
      </c>
      <c r="G170" s="21" t="n">
        <v>1.102468E9</v>
      </c>
      <c r="H170" s="22" t="n">
        <f>0</f>
        <v>0.0</v>
      </c>
    </row>
    <row r="171" spans="1:8" ht="24.9" customHeight="1">
      <c r="A171" s="51"/>
      <c r="B171" s="57"/>
      <c r="C171" s="39"/>
      <c r="D171" s="24" t="s">
        <v>18</v>
      </c>
      <c r="E171" s="25" t="n">
        <v>672.0</v>
      </c>
      <c r="F171" s="26" t="n">
        <f>0</f>
        <v>0.0</v>
      </c>
      <c r="G171" s="25" t="n">
        <v>1.402144E9</v>
      </c>
      <c r="H171" s="26" t="n">
        <f>0</f>
        <v>0.0</v>
      </c>
    </row>
    <row r="172" spans="1:8" ht="24.9" customHeight="1">
      <c r="A172" s="51"/>
      <c r="B172" s="57"/>
      <c r="C172" s="39" t="s">
        <v>75</v>
      </c>
      <c r="D172" s="16" t="s">
        <v>15</v>
      </c>
      <c r="E172" s="17" t="n">
        <v>0.0</v>
      </c>
      <c r="F172" s="18" t="n">
        <f>0</f>
        <v>0.0</v>
      </c>
      <c r="G172" s="17" t="n">
        <v>0.0</v>
      </c>
      <c r="H172" s="18" t="n">
        <f>0</f>
        <v>0.0</v>
      </c>
    </row>
    <row r="173" spans="1:8" ht="24.9" customHeight="1">
      <c r="A173" s="51"/>
      <c r="B173" s="57"/>
      <c r="C173" s="39"/>
      <c r="D173" s="20" t="s">
        <v>16</v>
      </c>
      <c r="E173" s="21" t="n">
        <v>0.0</v>
      </c>
      <c r="F173" s="22" t="n">
        <f>0</f>
        <v>0.0</v>
      </c>
      <c r="G173" s="21" t="n">
        <v>0.0</v>
      </c>
      <c r="H173" s="22" t="n">
        <f>0</f>
        <v>0.0</v>
      </c>
    </row>
    <row r="174" spans="1:8" ht="24.9" customHeight="1">
      <c r="A174" s="51"/>
      <c r="B174" s="57"/>
      <c r="C174" s="39"/>
      <c r="D174" s="20" t="s">
        <v>17</v>
      </c>
      <c r="E174" s="21" t="n">
        <v>0.0</v>
      </c>
      <c r="F174" s="22" t="n">
        <f>0</f>
        <v>0.0</v>
      </c>
      <c r="G174" s="21" t="n">
        <v>0.0</v>
      </c>
      <c r="H174" s="22" t="n">
        <f>0</f>
        <v>0.0</v>
      </c>
    </row>
    <row r="175" spans="1:8" ht="24.9" customHeight="1">
      <c r="A175" s="51"/>
      <c r="B175" s="57"/>
      <c r="C175" s="39"/>
      <c r="D175" s="24" t="s">
        <v>18</v>
      </c>
      <c r="E175" s="25" t="n">
        <v>0.0</v>
      </c>
      <c r="F175" s="26" t="n">
        <f>0</f>
        <v>0.0</v>
      </c>
      <c r="G175" s="25" t="n">
        <v>0.0</v>
      </c>
      <c r="H175" s="26" t="n">
        <f>0</f>
        <v>0.0</v>
      </c>
    </row>
    <row r="176" spans="1:8" ht="24.9" customHeight="1">
      <c r="A176" s="51"/>
      <c r="B176" s="57"/>
      <c r="C176" s="39" t="s">
        <v>126</v>
      </c>
      <c r="D176" s="16" t="s">
        <v>15</v>
      </c>
      <c r="E176" s="17" t="n">
        <v>32.0</v>
      </c>
      <c r="F176" s="18" t="n">
        <f>0</f>
        <v>0.0</v>
      </c>
      <c r="G176" s="17" t="n">
        <v>5.6692E7</v>
      </c>
      <c r="H176" s="18" t="n">
        <f>0</f>
        <v>0.0</v>
      </c>
    </row>
    <row r="177" spans="1:8" ht="24.9" customHeight="1">
      <c r="A177" s="51"/>
      <c r="B177" s="57"/>
      <c r="C177" s="39"/>
      <c r="D177" s="20" t="s">
        <v>16</v>
      </c>
      <c r="E177" s="21" t="n">
        <v>8.0</v>
      </c>
      <c r="F177" s="22" t="n">
        <f>0</f>
        <v>0.0</v>
      </c>
      <c r="G177" s="21" t="n">
        <v>1.4262E7</v>
      </c>
      <c r="H177" s="22" t="n">
        <f>0</f>
        <v>0.0</v>
      </c>
    </row>
    <row r="178" spans="1:8" ht="24.9" customHeight="1">
      <c r="A178" s="51"/>
      <c r="B178" s="57"/>
      <c r="C178" s="39"/>
      <c r="D178" s="20" t="s">
        <v>17</v>
      </c>
      <c r="E178" s="21" t="n">
        <v>64.0</v>
      </c>
      <c r="F178" s="22" t="n">
        <f>0</f>
        <v>0.0</v>
      </c>
      <c r="G178" s="21" t="n">
        <v>1.15872E8</v>
      </c>
      <c r="H178" s="22" t="n">
        <f>0</f>
        <v>0.0</v>
      </c>
    </row>
    <row r="179" spans="1:8" ht="24.9" customHeight="1">
      <c r="A179" s="51"/>
      <c r="B179" s="57"/>
      <c r="C179" s="39"/>
      <c r="D179" s="24" t="s">
        <v>18</v>
      </c>
      <c r="E179" s="25" t="n">
        <v>104.0</v>
      </c>
      <c r="F179" s="26" t="n">
        <f>0</f>
        <v>0.0</v>
      </c>
      <c r="G179" s="25" t="n">
        <v>1.86826E8</v>
      </c>
      <c r="H179" s="26" t="n">
        <f>0</f>
        <v>0.0</v>
      </c>
    </row>
    <row r="180" spans="1:8" ht="24.9" customHeight="1">
      <c r="A180" s="51"/>
      <c r="B180" s="57"/>
      <c r="C180" s="39" t="s">
        <v>76</v>
      </c>
      <c r="D180" s="16" t="s">
        <v>15</v>
      </c>
      <c r="E180" s="17" t="n">
        <v>0.0</v>
      </c>
      <c r="F180" s="18" t="n">
        <f>0</f>
        <v>0.0</v>
      </c>
      <c r="G180" s="17" t="n">
        <v>0.0</v>
      </c>
      <c r="H180" s="18" t="n">
        <f>0</f>
        <v>0.0</v>
      </c>
    </row>
    <row r="181" spans="1:8" ht="24.9" customHeight="1">
      <c r="A181" s="51"/>
      <c r="B181" s="57"/>
      <c r="C181" s="39"/>
      <c r="D181" s="20" t="s">
        <v>16</v>
      </c>
      <c r="E181" s="21" t="n">
        <v>0.0</v>
      </c>
      <c r="F181" s="22" t="n">
        <f>0</f>
        <v>0.0</v>
      </c>
      <c r="G181" s="21" t="n">
        <v>0.0</v>
      </c>
      <c r="H181" s="22" t="n">
        <f>0</f>
        <v>0.0</v>
      </c>
    </row>
    <row r="182" spans="1:8" ht="24.9" customHeight="1">
      <c r="A182" s="51"/>
      <c r="B182" s="57"/>
      <c r="C182" s="39"/>
      <c r="D182" s="20" t="s">
        <v>17</v>
      </c>
      <c r="E182" s="21" t="n">
        <v>0.0</v>
      </c>
      <c r="F182" s="22" t="n">
        <f>0</f>
        <v>0.0</v>
      </c>
      <c r="G182" s="21" t="n">
        <v>0.0</v>
      </c>
      <c r="H182" s="22" t="n">
        <f>0</f>
        <v>0.0</v>
      </c>
    </row>
    <row r="183" spans="1:8" ht="24.9" customHeight="1">
      <c r="A183" s="51"/>
      <c r="B183" s="57"/>
      <c r="C183" s="39"/>
      <c r="D183" s="24" t="s">
        <v>18</v>
      </c>
      <c r="E183" s="25" t="n">
        <v>0.0</v>
      </c>
      <c r="F183" s="26" t="n">
        <f>0</f>
        <v>0.0</v>
      </c>
      <c r="G183" s="25" t="n">
        <v>0.0</v>
      </c>
      <c r="H183" s="26" t="n">
        <f>0</f>
        <v>0.0</v>
      </c>
    </row>
    <row r="184" spans="1:8" ht="24.9" customHeight="1">
      <c r="A184" s="51"/>
      <c r="B184" s="57"/>
      <c r="C184" s="39" t="s">
        <v>77</v>
      </c>
      <c r="D184" s="16" t="s">
        <v>15</v>
      </c>
      <c r="E184" s="17" t="n">
        <v>0.0</v>
      </c>
      <c r="F184" s="18" t="n">
        <f>0</f>
        <v>0.0</v>
      </c>
      <c r="G184" s="17" t="n">
        <v>0.0</v>
      </c>
      <c r="H184" s="18" t="n">
        <f>0</f>
        <v>0.0</v>
      </c>
    </row>
    <row r="185" spans="1:8" ht="24.9" customHeight="1">
      <c r="A185" s="51"/>
      <c r="B185" s="57"/>
      <c r="C185" s="39"/>
      <c r="D185" s="20" t="s">
        <v>16</v>
      </c>
      <c r="E185" s="21" t="n">
        <v>0.0</v>
      </c>
      <c r="F185" s="22" t="n">
        <f>0</f>
        <v>0.0</v>
      </c>
      <c r="G185" s="21" t="n">
        <v>0.0</v>
      </c>
      <c r="H185" s="22" t="n">
        <f>0</f>
        <v>0.0</v>
      </c>
    </row>
    <row r="186" spans="1:8" ht="24.9" customHeight="1">
      <c r="A186" s="51"/>
      <c r="B186" s="57"/>
      <c r="C186" s="39"/>
      <c r="D186" s="20" t="s">
        <v>17</v>
      </c>
      <c r="E186" s="21" t="n">
        <v>0.0</v>
      </c>
      <c r="F186" s="22" t="n">
        <f>0</f>
        <v>0.0</v>
      </c>
      <c r="G186" s="21" t="n">
        <v>0.0</v>
      </c>
      <c r="H186" s="22" t="n">
        <f>0</f>
        <v>0.0</v>
      </c>
    </row>
    <row r="187" spans="1:8" ht="24.9" customHeight="1">
      <c r="A187" s="51"/>
      <c r="B187" s="57"/>
      <c r="C187" s="39"/>
      <c r="D187" s="24" t="s">
        <v>18</v>
      </c>
      <c r="E187" s="25" t="n">
        <v>0.0</v>
      </c>
      <c r="F187" s="26" t="n">
        <f>0</f>
        <v>0.0</v>
      </c>
      <c r="G187" s="25" t="n">
        <v>0.0</v>
      </c>
      <c r="H187" s="26" t="n">
        <f>0</f>
        <v>0.0</v>
      </c>
    </row>
    <row r="188" spans="1:8" ht="24.9" customHeight="1">
      <c r="A188" s="51"/>
      <c r="B188" s="57"/>
      <c r="C188" s="39" t="s">
        <v>78</v>
      </c>
      <c r="D188" s="16" t="s">
        <v>15</v>
      </c>
      <c r="E188" s="17" t="n">
        <v>0.0</v>
      </c>
      <c r="F188" s="18" t="n">
        <f>0</f>
        <v>0.0</v>
      </c>
      <c r="G188" s="17" t="n">
        <v>0.0</v>
      </c>
      <c r="H188" s="18" t="n">
        <f>0</f>
        <v>0.0</v>
      </c>
    </row>
    <row r="189" spans="1:8" ht="24.9" customHeight="1">
      <c r="A189" s="51"/>
      <c r="B189" s="57"/>
      <c r="C189" s="39"/>
      <c r="D189" s="20" t="s">
        <v>16</v>
      </c>
      <c r="E189" s="21" t="n">
        <v>0.0</v>
      </c>
      <c r="F189" s="22" t="n">
        <f>0</f>
        <v>0.0</v>
      </c>
      <c r="G189" s="21" t="n">
        <v>0.0</v>
      </c>
      <c r="H189" s="22" t="n">
        <f>0</f>
        <v>0.0</v>
      </c>
    </row>
    <row r="190" spans="1:8" ht="24.9" customHeight="1">
      <c r="A190" s="51"/>
      <c r="B190" s="57"/>
      <c r="C190" s="39"/>
      <c r="D190" s="20" t="s">
        <v>17</v>
      </c>
      <c r="E190" s="21" t="n">
        <v>0.0</v>
      </c>
      <c r="F190" s="22" t="n">
        <f>0</f>
        <v>0.0</v>
      </c>
      <c r="G190" s="21" t="n">
        <v>0.0</v>
      </c>
      <c r="H190" s="22" t="n">
        <f>0</f>
        <v>0.0</v>
      </c>
    </row>
    <row r="191" spans="1:8" ht="24.9" customHeight="1">
      <c r="A191" s="52"/>
      <c r="B191" s="57"/>
      <c r="C191" s="39"/>
      <c r="D191" s="24" t="s">
        <v>18</v>
      </c>
      <c r="E191" s="25" t="n">
        <v>0.0</v>
      </c>
      <c r="F191" s="26" t="n">
        <f>0</f>
        <v>0.0</v>
      </c>
      <c r="G191" s="25" t="n">
        <v>0.0</v>
      </c>
      <c r="H191" s="26" t="n">
        <f>0</f>
        <v>0.0</v>
      </c>
    </row>
    <row r="192" spans="1:8" ht="24.9" customHeight="1">
      <c r="A192" s="56" t="s">
        <v>79</v>
      </c>
      <c r="B192" s="59" t="s">
        <v>80</v>
      </c>
      <c r="C192" s="39" t="s">
        <v>81</v>
      </c>
      <c r="D192" s="16" t="s">
        <v>15</v>
      </c>
      <c r="E192" s="17" t="n">
        <v>0.0</v>
      </c>
      <c r="F192" s="18" t="n">
        <f>0</f>
        <v>0.0</v>
      </c>
      <c r="G192" s="17" t="n">
        <v>0.0</v>
      </c>
      <c r="H192" s="18" t="n">
        <f>0</f>
        <v>0.0</v>
      </c>
    </row>
    <row r="193" spans="1:8" ht="24.9" customHeight="1">
      <c r="A193" s="57"/>
      <c r="B193" s="59"/>
      <c r="C193" s="39"/>
      <c r="D193" s="20" t="s">
        <v>16</v>
      </c>
      <c r="E193" s="21" t="n">
        <v>0.0</v>
      </c>
      <c r="F193" s="22" t="n">
        <f>0</f>
        <v>0.0</v>
      </c>
      <c r="G193" s="21" t="n">
        <v>0.0</v>
      </c>
      <c r="H193" s="22" t="n">
        <f>0</f>
        <v>0.0</v>
      </c>
    </row>
    <row r="194" spans="1:8" ht="24.9" customHeight="1">
      <c r="A194" s="57"/>
      <c r="B194" s="59"/>
      <c r="C194" s="39"/>
      <c r="D194" s="20" t="s">
        <v>17</v>
      </c>
      <c r="E194" s="21" t="n">
        <v>0.0</v>
      </c>
      <c r="F194" s="22" t="n">
        <f>0</f>
        <v>0.0</v>
      </c>
      <c r="G194" s="21" t="n">
        <v>0.0</v>
      </c>
      <c r="H194" s="22" t="n">
        <f>0</f>
        <v>0.0</v>
      </c>
    </row>
    <row r="195" spans="1:8" ht="24.9" customHeight="1">
      <c r="A195" s="57"/>
      <c r="B195" s="59"/>
      <c r="C195" s="39"/>
      <c r="D195" s="24" t="s">
        <v>18</v>
      </c>
      <c r="E195" s="25" t="n">
        <v>0.0</v>
      </c>
      <c r="F195" s="26" t="n">
        <f>0</f>
        <v>0.0</v>
      </c>
      <c r="G195" s="25" t="n">
        <v>0.0</v>
      </c>
      <c r="H195" s="26" t="n">
        <f>0</f>
        <v>0.0</v>
      </c>
    </row>
    <row r="196" spans="1:8" ht="24.9" customHeight="1">
      <c r="A196" s="57"/>
      <c r="B196" s="59"/>
      <c r="C196" s="39" t="s">
        <v>82</v>
      </c>
      <c r="D196" s="16" t="s">
        <v>15</v>
      </c>
      <c r="E196" s="17" t="n">
        <v>0.0</v>
      </c>
      <c r="F196" s="18" t="n">
        <f>0</f>
        <v>0.0</v>
      </c>
      <c r="G196" s="17" t="n">
        <v>0.0</v>
      </c>
      <c r="H196" s="18" t="n">
        <f>0</f>
        <v>0.0</v>
      </c>
    </row>
    <row r="197" spans="1:8" ht="24.9" customHeight="1">
      <c r="A197" s="57"/>
      <c r="B197" s="59"/>
      <c r="C197" s="39"/>
      <c r="D197" s="20" t="s">
        <v>16</v>
      </c>
      <c r="E197" s="21" t="n">
        <v>0.0</v>
      </c>
      <c r="F197" s="22" t="n">
        <f>0</f>
        <v>0.0</v>
      </c>
      <c r="G197" s="21" t="n">
        <v>0.0</v>
      </c>
      <c r="H197" s="22" t="n">
        <f>0</f>
        <v>0.0</v>
      </c>
    </row>
    <row r="198" spans="1:8" ht="24.9" customHeight="1">
      <c r="A198" s="57"/>
      <c r="B198" s="59"/>
      <c r="C198" s="39"/>
      <c r="D198" s="20" t="s">
        <v>17</v>
      </c>
      <c r="E198" s="21" t="n">
        <v>0.0</v>
      </c>
      <c r="F198" s="22" t="n">
        <f>0</f>
        <v>0.0</v>
      </c>
      <c r="G198" s="21" t="n">
        <v>0.0</v>
      </c>
      <c r="H198" s="22" t="n">
        <f>0</f>
        <v>0.0</v>
      </c>
    </row>
    <row r="199" spans="1:8" ht="24.9" customHeight="1">
      <c r="A199" s="57"/>
      <c r="B199" s="59"/>
      <c r="C199" s="39"/>
      <c r="D199" s="24" t="s">
        <v>18</v>
      </c>
      <c r="E199" s="25" t="n">
        <v>0.0</v>
      </c>
      <c r="F199" s="26" t="n">
        <f>0</f>
        <v>0.0</v>
      </c>
      <c r="G199" s="25" t="n">
        <v>0.0</v>
      </c>
      <c r="H199" s="26" t="n">
        <f>0</f>
        <v>0.0</v>
      </c>
    </row>
    <row r="200" spans="1:8" ht="24.9" customHeight="1">
      <c r="A200" s="57"/>
      <c r="B200" s="59"/>
      <c r="C200" s="39" t="s">
        <v>83</v>
      </c>
      <c r="D200" s="16" t="s">
        <v>15</v>
      </c>
      <c r="E200" s="17" t="n">
        <v>0.0</v>
      </c>
      <c r="F200" s="18" t="n">
        <f>0</f>
        <v>0.0</v>
      </c>
      <c r="G200" s="17" t="n">
        <v>0.0</v>
      </c>
      <c r="H200" s="18" t="n">
        <f>0</f>
        <v>0.0</v>
      </c>
    </row>
    <row r="201" spans="1:8" ht="24.9" customHeight="1">
      <c r="A201" s="57"/>
      <c r="B201" s="59"/>
      <c r="C201" s="39"/>
      <c r="D201" s="20" t="s">
        <v>16</v>
      </c>
      <c r="E201" s="21" t="n">
        <v>0.0</v>
      </c>
      <c r="F201" s="22" t="n">
        <f>0</f>
        <v>0.0</v>
      </c>
      <c r="G201" s="21" t="n">
        <v>0.0</v>
      </c>
      <c r="H201" s="22" t="n">
        <f>0</f>
        <v>0.0</v>
      </c>
    </row>
    <row r="202" spans="1:8" ht="24.9" customHeight="1">
      <c r="A202" s="57"/>
      <c r="B202" s="59"/>
      <c r="C202" s="39"/>
      <c r="D202" s="20" t="s">
        <v>17</v>
      </c>
      <c r="E202" s="21" t="n">
        <v>0.0</v>
      </c>
      <c r="F202" s="22" t="n">
        <f>0</f>
        <v>0.0</v>
      </c>
      <c r="G202" s="21" t="n">
        <v>0.0</v>
      </c>
      <c r="H202" s="22" t="n">
        <f>0</f>
        <v>0.0</v>
      </c>
    </row>
    <row r="203" spans="1:8" ht="24.9" customHeight="1">
      <c r="A203" s="57"/>
      <c r="B203" s="59"/>
      <c r="C203" s="39"/>
      <c r="D203" s="24" t="s">
        <v>18</v>
      </c>
      <c r="E203" s="25" t="n">
        <v>0.0</v>
      </c>
      <c r="F203" s="26" t="n">
        <f>0</f>
        <v>0.0</v>
      </c>
      <c r="G203" s="25" t="n">
        <v>0.0</v>
      </c>
      <c r="H203" s="26" t="n">
        <f>0</f>
        <v>0.0</v>
      </c>
    </row>
    <row r="204" spans="1:8" ht="24.9" customHeight="1">
      <c r="A204" s="57"/>
      <c r="B204" s="59"/>
      <c r="C204" s="39" t="s">
        <v>84</v>
      </c>
      <c r="D204" s="16" t="s">
        <v>15</v>
      </c>
      <c r="E204" s="17" t="n">
        <v>1435.0</v>
      </c>
      <c r="F204" s="18" t="n">
        <f>0</f>
        <v>0.0</v>
      </c>
      <c r="G204" s="17" t="n">
        <v>6.3921195E9</v>
      </c>
      <c r="H204" s="18" t="n">
        <f>0</f>
        <v>0.0</v>
      </c>
    </row>
    <row r="205" spans="1:8" ht="24.9" customHeight="1">
      <c r="A205" s="57"/>
      <c r="B205" s="59"/>
      <c r="C205" s="39"/>
      <c r="D205" s="20" t="s">
        <v>16</v>
      </c>
      <c r="E205" s="21" t="n">
        <v>372.0</v>
      </c>
      <c r="F205" s="22" t="n">
        <f>0</f>
        <v>0.0</v>
      </c>
      <c r="G205" s="21" t="n">
        <v>1.6656855E9</v>
      </c>
      <c r="H205" s="22" t="n">
        <f>0</f>
        <v>0.0</v>
      </c>
    </row>
    <row r="206" spans="1:8" ht="24.9" customHeight="1">
      <c r="A206" s="57"/>
      <c r="B206" s="59"/>
      <c r="C206" s="39"/>
      <c r="D206" s="20" t="s">
        <v>17</v>
      </c>
      <c r="E206" s="21" t="n">
        <v>4519.0</v>
      </c>
      <c r="F206" s="22" t="n">
        <f>0</f>
        <v>0.0</v>
      </c>
      <c r="G206" s="21" t="n">
        <v>2.0093033E10</v>
      </c>
      <c r="H206" s="22" t="n">
        <f>0</f>
        <v>0.0</v>
      </c>
    </row>
    <row r="207" spans="1:8" ht="24.9" customHeight="1">
      <c r="A207" s="57"/>
      <c r="B207" s="59"/>
      <c r="C207" s="39"/>
      <c r="D207" s="24" t="s">
        <v>18</v>
      </c>
      <c r="E207" s="25" t="n">
        <v>6326.0</v>
      </c>
      <c r="F207" s="26" t="n">
        <f>0</f>
        <v>0.0</v>
      </c>
      <c r="G207" s="25" t="n">
        <v>2.8150838E10</v>
      </c>
      <c r="H207" s="26" t="n">
        <f>0</f>
        <v>0.0</v>
      </c>
    </row>
    <row r="208" spans="1:8" ht="24.9" customHeight="1">
      <c r="A208" s="57"/>
      <c r="B208" s="59"/>
      <c r="C208" s="39" t="s">
        <v>85</v>
      </c>
      <c r="D208" s="16" t="s">
        <v>15</v>
      </c>
      <c r="E208" s="17" t="n">
        <v>0.0</v>
      </c>
      <c r="F208" s="18" t="n">
        <f>0</f>
        <v>0.0</v>
      </c>
      <c r="G208" s="17" t="n">
        <v>0.0</v>
      </c>
      <c r="H208" s="18" t="n">
        <f>0</f>
        <v>0.0</v>
      </c>
    </row>
    <row r="209" spans="1:8" ht="24.9" customHeight="1">
      <c r="A209" s="57"/>
      <c r="B209" s="59"/>
      <c r="C209" s="39"/>
      <c r="D209" s="20" t="s">
        <v>16</v>
      </c>
      <c r="E209" s="21" t="n">
        <v>0.0</v>
      </c>
      <c r="F209" s="22" t="n">
        <f>0</f>
        <v>0.0</v>
      </c>
      <c r="G209" s="21" t="n">
        <v>0.0</v>
      </c>
      <c r="H209" s="22" t="n">
        <f>0</f>
        <v>0.0</v>
      </c>
    </row>
    <row r="210" spans="1:8" ht="24.9" customHeight="1">
      <c r="A210" s="57"/>
      <c r="B210" s="59"/>
      <c r="C210" s="39"/>
      <c r="D210" s="20" t="s">
        <v>17</v>
      </c>
      <c r="E210" s="21" t="n">
        <v>0.0</v>
      </c>
      <c r="F210" s="22" t="n">
        <f>0</f>
        <v>0.0</v>
      </c>
      <c r="G210" s="21" t="n">
        <v>0.0</v>
      </c>
      <c r="H210" s="22" t="n">
        <f>0</f>
        <v>0.0</v>
      </c>
    </row>
    <row r="211" spans="1:8" ht="24.9" customHeight="1">
      <c r="A211" s="57"/>
      <c r="B211" s="59"/>
      <c r="C211" s="39"/>
      <c r="D211" s="24" t="s">
        <v>18</v>
      </c>
      <c r="E211" s="25" t="n">
        <v>0.0</v>
      </c>
      <c r="F211" s="26" t="n">
        <f>0</f>
        <v>0.0</v>
      </c>
      <c r="G211" s="25" t="n">
        <v>0.0</v>
      </c>
      <c r="H211" s="26" t="n">
        <f>0</f>
        <v>0.0</v>
      </c>
    </row>
    <row r="212" spans="1:8" ht="24.9" customHeight="1">
      <c r="A212" s="57"/>
      <c r="B212" s="59"/>
      <c r="C212" s="39" t="s">
        <v>86</v>
      </c>
      <c r="D212" s="16" t="s">
        <v>15</v>
      </c>
      <c r="E212" s="17" t="n">
        <v>0.0</v>
      </c>
      <c r="F212" s="18" t="n">
        <f>0</f>
        <v>0.0</v>
      </c>
      <c r="G212" s="17" t="n">
        <v>0.0</v>
      </c>
      <c r="H212" s="18" t="n">
        <f>0</f>
        <v>0.0</v>
      </c>
    </row>
    <row r="213" spans="1:8" ht="24.9" customHeight="1">
      <c r="A213" s="57"/>
      <c r="B213" s="59"/>
      <c r="C213" s="39"/>
      <c r="D213" s="20" t="s">
        <v>16</v>
      </c>
      <c r="E213" s="21" t="n">
        <v>0.0</v>
      </c>
      <c r="F213" s="22" t="n">
        <f>0</f>
        <v>0.0</v>
      </c>
      <c r="G213" s="21" t="n">
        <v>0.0</v>
      </c>
      <c r="H213" s="22" t="n">
        <f>0</f>
        <v>0.0</v>
      </c>
    </row>
    <row r="214" spans="1:8" ht="24.9" customHeight="1">
      <c r="A214" s="57"/>
      <c r="B214" s="59"/>
      <c r="C214" s="39"/>
      <c r="D214" s="20" t="s">
        <v>17</v>
      </c>
      <c r="E214" s="21" t="n">
        <v>0.0</v>
      </c>
      <c r="F214" s="22" t="n">
        <f>0</f>
        <v>0.0</v>
      </c>
      <c r="G214" s="21" t="n">
        <v>0.0</v>
      </c>
      <c r="H214" s="22" t="n">
        <f>0</f>
        <v>0.0</v>
      </c>
    </row>
    <row r="215" spans="1:8" ht="24.9" customHeight="1">
      <c r="A215" s="57"/>
      <c r="B215" s="59"/>
      <c r="C215" s="39"/>
      <c r="D215" s="24" t="s">
        <v>18</v>
      </c>
      <c r="E215" s="25" t="n">
        <v>0.0</v>
      </c>
      <c r="F215" s="26" t="n">
        <f>0</f>
        <v>0.0</v>
      </c>
      <c r="G215" s="25" t="n">
        <v>0.0</v>
      </c>
      <c r="H215" s="26" t="n">
        <f>0</f>
        <v>0.0</v>
      </c>
    </row>
    <row r="216" spans="1:8" ht="24.9" customHeight="1">
      <c r="A216" s="57"/>
      <c r="B216" s="59"/>
      <c r="C216" s="39" t="s">
        <v>115</v>
      </c>
      <c r="D216" s="16" t="s">
        <v>15</v>
      </c>
      <c r="E216" s="17" t="n">
        <v>0.0</v>
      </c>
      <c r="F216" s="18" t="n">
        <f>0</f>
        <v>0.0</v>
      </c>
      <c r="G216" s="17" t="n">
        <v>0.0</v>
      </c>
      <c r="H216" s="18" t="n">
        <f>0</f>
        <v>0.0</v>
      </c>
    </row>
    <row r="217" spans="1:8" ht="24.9" customHeight="1">
      <c r="A217" s="57"/>
      <c r="B217" s="59"/>
      <c r="C217" s="39"/>
      <c r="D217" s="20" t="s">
        <v>16</v>
      </c>
      <c r="E217" s="21" t="n">
        <v>0.0</v>
      </c>
      <c r="F217" s="22" t="n">
        <f>0</f>
        <v>0.0</v>
      </c>
      <c r="G217" s="21" t="n">
        <v>0.0</v>
      </c>
      <c r="H217" s="22" t="n">
        <f>0</f>
        <v>0.0</v>
      </c>
    </row>
    <row r="218" spans="1:8" ht="24.9" customHeight="1">
      <c r="A218" s="57"/>
      <c r="B218" s="59"/>
      <c r="C218" s="39"/>
      <c r="D218" s="20" t="s">
        <v>17</v>
      </c>
      <c r="E218" s="21" t="n">
        <v>0.0</v>
      </c>
      <c r="F218" s="22" t="n">
        <f>0</f>
        <v>0.0</v>
      </c>
      <c r="G218" s="21" t="n">
        <v>0.0</v>
      </c>
      <c r="H218" s="22" t="n">
        <f>0</f>
        <v>0.0</v>
      </c>
    </row>
    <row r="219" spans="1:8" ht="24.9" customHeight="1">
      <c r="A219" s="57"/>
      <c r="B219" s="59"/>
      <c r="C219" s="39"/>
      <c r="D219" s="24" t="s">
        <v>18</v>
      </c>
      <c r="E219" s="25" t="n">
        <v>0.0</v>
      </c>
      <c r="F219" s="26" t="n">
        <f>0</f>
        <v>0.0</v>
      </c>
      <c r="G219" s="25" t="n">
        <v>0.0</v>
      </c>
      <c r="H219" s="26" t="n">
        <f>0</f>
        <v>0.0</v>
      </c>
    </row>
    <row r="220" spans="1:8" ht="24.9" customHeight="1">
      <c r="A220" s="57"/>
      <c r="B220" s="59"/>
      <c r="C220" s="39" t="s">
        <v>87</v>
      </c>
      <c r="D220" s="16" t="s">
        <v>15</v>
      </c>
      <c r="E220" s="17" t="n">
        <v>50.0</v>
      </c>
      <c r="F220" s="18" t="n">
        <f>50</f>
        <v>50.0</v>
      </c>
      <c r="G220" s="17" t="n">
        <v>3.6564E7</v>
      </c>
      <c r="H220" s="18" t="n">
        <f>36564000</f>
        <v>3.6564E7</v>
      </c>
    </row>
    <row r="221" spans="1:8" ht="24.9" customHeight="1">
      <c r="A221" s="57"/>
      <c r="B221" s="59"/>
      <c r="C221" s="39"/>
      <c r="D221" s="20" t="s">
        <v>16</v>
      </c>
      <c r="E221" s="21" t="n">
        <v>0.0</v>
      </c>
      <c r="F221" s="22" t="n">
        <f>0</f>
        <v>0.0</v>
      </c>
      <c r="G221" s="21" t="n">
        <v>0.0</v>
      </c>
      <c r="H221" s="22" t="n">
        <f>0</f>
        <v>0.0</v>
      </c>
    </row>
    <row r="222" spans="1:8" ht="24.9" customHeight="1">
      <c r="A222" s="57"/>
      <c r="B222" s="59"/>
      <c r="C222" s="39"/>
      <c r="D222" s="20" t="s">
        <v>17</v>
      </c>
      <c r="E222" s="21" t="n">
        <v>0.0</v>
      </c>
      <c r="F222" s="22" t="n">
        <f>0</f>
        <v>0.0</v>
      </c>
      <c r="G222" s="21" t="n">
        <v>0.0</v>
      </c>
      <c r="H222" s="22" t="n">
        <f>0</f>
        <v>0.0</v>
      </c>
    </row>
    <row r="223" spans="1:8" ht="24.9" customHeight="1">
      <c r="A223" s="57"/>
      <c r="B223" s="59"/>
      <c r="C223" s="39"/>
      <c r="D223" s="24" t="s">
        <v>18</v>
      </c>
      <c r="E223" s="25" t="n">
        <v>50.0</v>
      </c>
      <c r="F223" s="26" t="n">
        <f>50</f>
        <v>50.0</v>
      </c>
      <c r="G223" s="25" t="n">
        <v>3.6564E7</v>
      </c>
      <c r="H223" s="26" t="n">
        <f>36564000</f>
        <v>3.6564E7</v>
      </c>
    </row>
    <row r="224" spans="1:8" ht="24.9" customHeight="1">
      <c r="A224" s="57"/>
      <c r="B224" s="59"/>
      <c r="C224" s="39" t="s">
        <v>88</v>
      </c>
      <c r="D224" s="16" t="s">
        <v>15</v>
      </c>
      <c r="E224" s="17" t="n">
        <v>0.0</v>
      </c>
      <c r="F224" s="18" t="n">
        <f>0</f>
        <v>0.0</v>
      </c>
      <c r="G224" s="17" t="n">
        <v>0.0</v>
      </c>
      <c r="H224" s="18" t="n">
        <f>0</f>
        <v>0.0</v>
      </c>
    </row>
    <row r="225" spans="1:8" ht="24.9" customHeight="1">
      <c r="A225" s="57"/>
      <c r="B225" s="59"/>
      <c r="C225" s="39"/>
      <c r="D225" s="20" t="s">
        <v>16</v>
      </c>
      <c r="E225" s="21" t="n">
        <v>0.0</v>
      </c>
      <c r="F225" s="22" t="n">
        <f>0</f>
        <v>0.0</v>
      </c>
      <c r="G225" s="21" t="n">
        <v>0.0</v>
      </c>
      <c r="H225" s="22" t="n">
        <f>0</f>
        <v>0.0</v>
      </c>
    </row>
    <row r="226" spans="1:8" ht="24.9" customHeight="1">
      <c r="A226" s="57"/>
      <c r="B226" s="59"/>
      <c r="C226" s="39"/>
      <c r="D226" s="20" t="s">
        <v>17</v>
      </c>
      <c r="E226" s="21" t="n">
        <v>0.0</v>
      </c>
      <c r="F226" s="22" t="n">
        <f>0</f>
        <v>0.0</v>
      </c>
      <c r="G226" s="21" t="n">
        <v>0.0</v>
      </c>
      <c r="H226" s="22" t="n">
        <f>0</f>
        <v>0.0</v>
      </c>
    </row>
    <row r="227" spans="1:8" ht="24.9" customHeight="1">
      <c r="A227" s="57"/>
      <c r="B227" s="59"/>
      <c r="C227" s="39"/>
      <c r="D227" s="24" t="s">
        <v>18</v>
      </c>
      <c r="E227" s="25" t="n">
        <v>0.0</v>
      </c>
      <c r="F227" s="26" t="n">
        <f>0</f>
        <v>0.0</v>
      </c>
      <c r="G227" s="25" t="n">
        <v>0.0</v>
      </c>
      <c r="H227" s="26" t="n">
        <f>0</f>
        <v>0.0</v>
      </c>
    </row>
    <row r="228" spans="1:8" ht="24.9" customHeight="1">
      <c r="A228" s="57"/>
      <c r="B228" s="59"/>
      <c r="C228" s="39" t="s">
        <v>116</v>
      </c>
      <c r="D228" s="16" t="s">
        <v>15</v>
      </c>
      <c r="E228" s="17" t="n">
        <v>0.0</v>
      </c>
      <c r="F228" s="18" t="n">
        <f>0</f>
        <v>0.0</v>
      </c>
      <c r="G228" s="17" t="n">
        <v>0.0</v>
      </c>
      <c r="H228" s="18" t="n">
        <f>0</f>
        <v>0.0</v>
      </c>
    </row>
    <row r="229" spans="1:8" ht="24.9" customHeight="1">
      <c r="A229" s="57"/>
      <c r="B229" s="59"/>
      <c r="C229" s="39"/>
      <c r="D229" s="20" t="s">
        <v>16</v>
      </c>
      <c r="E229" s="21" t="n">
        <v>0.0</v>
      </c>
      <c r="F229" s="22" t="n">
        <f>0</f>
        <v>0.0</v>
      </c>
      <c r="G229" s="21" t="n">
        <v>0.0</v>
      </c>
      <c r="H229" s="22" t="n">
        <f>0</f>
        <v>0.0</v>
      </c>
    </row>
    <row r="230" spans="1:8" ht="24.9" customHeight="1">
      <c r="A230" s="57"/>
      <c r="B230" s="59"/>
      <c r="C230" s="39"/>
      <c r="D230" s="20" t="s">
        <v>17</v>
      </c>
      <c r="E230" s="21" t="n">
        <v>0.0</v>
      </c>
      <c r="F230" s="22" t="n">
        <f>0</f>
        <v>0.0</v>
      </c>
      <c r="G230" s="21" t="n">
        <v>0.0</v>
      </c>
      <c r="H230" s="22" t="n">
        <f>0</f>
        <v>0.0</v>
      </c>
    </row>
    <row r="231" spans="1:8" ht="24.9" customHeight="1">
      <c r="A231" s="57"/>
      <c r="B231" s="59"/>
      <c r="C231" s="39"/>
      <c r="D231" s="24" t="s">
        <v>18</v>
      </c>
      <c r="E231" s="25" t="n">
        <v>0.0</v>
      </c>
      <c r="F231" s="26" t="n">
        <f>0</f>
        <v>0.0</v>
      </c>
      <c r="G231" s="25" t="n">
        <v>0.0</v>
      </c>
      <c r="H231" s="26" t="n">
        <f>0</f>
        <v>0.0</v>
      </c>
    </row>
    <row r="232" spans="1:8" ht="24.9" customHeight="1">
      <c r="A232" s="57"/>
      <c r="B232" s="59"/>
      <c r="C232" s="39" t="s">
        <v>89</v>
      </c>
      <c r="D232" s="16" t="s">
        <v>15</v>
      </c>
      <c r="E232" s="17" t="n">
        <v>0.0</v>
      </c>
      <c r="F232" s="18" t="n">
        <f>0</f>
        <v>0.0</v>
      </c>
      <c r="G232" s="17" t="n">
        <v>0.0</v>
      </c>
      <c r="H232" s="18" t="n">
        <f>0</f>
        <v>0.0</v>
      </c>
    </row>
    <row r="233" spans="1:8" ht="24.9" customHeight="1">
      <c r="A233" s="57"/>
      <c r="B233" s="59"/>
      <c r="C233" s="39"/>
      <c r="D233" s="20" t="s">
        <v>16</v>
      </c>
      <c r="E233" s="21" t="n">
        <v>0.0</v>
      </c>
      <c r="F233" s="22" t="n">
        <f>0</f>
        <v>0.0</v>
      </c>
      <c r="G233" s="21" t="n">
        <v>0.0</v>
      </c>
      <c r="H233" s="22" t="n">
        <f>0</f>
        <v>0.0</v>
      </c>
    </row>
    <row r="234" spans="1:8" ht="24.9" customHeight="1">
      <c r="A234" s="57"/>
      <c r="B234" s="59"/>
      <c r="C234" s="39"/>
      <c r="D234" s="20" t="s">
        <v>17</v>
      </c>
      <c r="E234" s="21" t="n">
        <v>0.0</v>
      </c>
      <c r="F234" s="22" t="n">
        <f>0</f>
        <v>0.0</v>
      </c>
      <c r="G234" s="21" t="n">
        <v>0.0</v>
      </c>
      <c r="H234" s="22" t="n">
        <f>0</f>
        <v>0.0</v>
      </c>
    </row>
    <row r="235" spans="1:8" ht="24.9" customHeight="1">
      <c r="A235" s="57"/>
      <c r="B235" s="59"/>
      <c r="C235" s="39"/>
      <c r="D235" s="24" t="s">
        <v>18</v>
      </c>
      <c r="E235" s="25" t="n">
        <v>0.0</v>
      </c>
      <c r="F235" s="26" t="n">
        <f>0</f>
        <v>0.0</v>
      </c>
      <c r="G235" s="25" t="n">
        <v>0.0</v>
      </c>
      <c r="H235" s="26" t="n">
        <f>0</f>
        <v>0.0</v>
      </c>
    </row>
    <row r="236" spans="1:8" ht="24.9" customHeight="1">
      <c r="A236" s="57"/>
      <c r="B236" s="59"/>
      <c r="C236" s="39" t="s">
        <v>90</v>
      </c>
      <c r="D236" s="16" t="s">
        <v>15</v>
      </c>
      <c r="E236" s="17" t="n">
        <v>0.0</v>
      </c>
      <c r="F236" s="18" t="n">
        <f>0</f>
        <v>0.0</v>
      </c>
      <c r="G236" s="17" t="n">
        <v>0.0</v>
      </c>
      <c r="H236" s="18" t="n">
        <f>0</f>
        <v>0.0</v>
      </c>
    </row>
    <row r="237" spans="1:8" ht="24.9" customHeight="1">
      <c r="A237" s="57"/>
      <c r="B237" s="59"/>
      <c r="C237" s="39"/>
      <c r="D237" s="20" t="s">
        <v>16</v>
      </c>
      <c r="E237" s="21" t="n">
        <v>0.0</v>
      </c>
      <c r="F237" s="22" t="n">
        <f>0</f>
        <v>0.0</v>
      </c>
      <c r="G237" s="21" t="n">
        <v>0.0</v>
      </c>
      <c r="H237" s="22" t="n">
        <f>0</f>
        <v>0.0</v>
      </c>
    </row>
    <row r="238" spans="1:8" ht="24.9" customHeight="1">
      <c r="A238" s="57"/>
      <c r="B238" s="59"/>
      <c r="C238" s="39"/>
      <c r="D238" s="20" t="s">
        <v>17</v>
      </c>
      <c r="E238" s="21" t="n">
        <v>0.0</v>
      </c>
      <c r="F238" s="22" t="n">
        <f>0</f>
        <v>0.0</v>
      </c>
      <c r="G238" s="21" t="n">
        <v>0.0</v>
      </c>
      <c r="H238" s="22" t="n">
        <f>0</f>
        <v>0.0</v>
      </c>
    </row>
    <row r="239" spans="1:8" ht="24.9" customHeight="1">
      <c r="A239" s="57"/>
      <c r="B239" s="59"/>
      <c r="C239" s="39"/>
      <c r="D239" s="24" t="s">
        <v>18</v>
      </c>
      <c r="E239" s="25" t="n">
        <v>0.0</v>
      </c>
      <c r="F239" s="26" t="n">
        <f>0</f>
        <v>0.0</v>
      </c>
      <c r="G239" s="25" t="n">
        <v>0.0</v>
      </c>
      <c r="H239" s="26" t="n">
        <f>0</f>
        <v>0.0</v>
      </c>
    </row>
    <row r="240" spans="1:8" ht="24.9" customHeight="1">
      <c r="A240" s="57"/>
      <c r="B240" s="59"/>
      <c r="C240" s="39" t="s">
        <v>91</v>
      </c>
      <c r="D240" s="16" t="s">
        <v>15</v>
      </c>
      <c r="E240" s="17" t="n">
        <v>0.0</v>
      </c>
      <c r="F240" s="18" t="n">
        <f>0</f>
        <v>0.0</v>
      </c>
      <c r="G240" s="17" t="n">
        <v>0.0</v>
      </c>
      <c r="H240" s="18" t="n">
        <f>0</f>
        <v>0.0</v>
      </c>
    </row>
    <row r="241" spans="1:8" ht="24.9" customHeight="1">
      <c r="A241" s="57"/>
      <c r="B241" s="59"/>
      <c r="C241" s="39"/>
      <c r="D241" s="20" t="s">
        <v>16</v>
      </c>
      <c r="E241" s="21" t="n">
        <v>0.0</v>
      </c>
      <c r="F241" s="22" t="n">
        <f>0</f>
        <v>0.0</v>
      </c>
      <c r="G241" s="21" t="n">
        <v>0.0</v>
      </c>
      <c r="H241" s="22" t="n">
        <f>0</f>
        <v>0.0</v>
      </c>
    </row>
    <row r="242" spans="1:8" ht="24.9" customHeight="1">
      <c r="A242" s="57"/>
      <c r="B242" s="59"/>
      <c r="C242" s="39"/>
      <c r="D242" s="20" t="s">
        <v>17</v>
      </c>
      <c r="E242" s="21" t="n">
        <v>0.0</v>
      </c>
      <c r="F242" s="22" t="n">
        <f>0</f>
        <v>0.0</v>
      </c>
      <c r="G242" s="21" t="n">
        <v>0.0</v>
      </c>
      <c r="H242" s="22" t="n">
        <f>0</f>
        <v>0.0</v>
      </c>
    </row>
    <row r="243" spans="1:8" ht="24.9" customHeight="1">
      <c r="A243" s="57"/>
      <c r="B243" s="59"/>
      <c r="C243" s="39"/>
      <c r="D243" s="24" t="s">
        <v>18</v>
      </c>
      <c r="E243" s="25" t="n">
        <v>0.0</v>
      </c>
      <c r="F243" s="26" t="n">
        <f>0</f>
        <v>0.0</v>
      </c>
      <c r="G243" s="25" t="n">
        <v>0.0</v>
      </c>
      <c r="H243" s="26" t="n">
        <f>0</f>
        <v>0.0</v>
      </c>
    </row>
    <row r="244" spans="1:8" ht="24.9" customHeight="1">
      <c r="A244" s="57"/>
      <c r="B244" s="59"/>
      <c r="C244" s="39" t="s">
        <v>92</v>
      </c>
      <c r="D244" s="16" t="s">
        <v>15</v>
      </c>
      <c r="E244" s="17" t="n">
        <v>0.0</v>
      </c>
      <c r="F244" s="18" t="n">
        <f>0</f>
        <v>0.0</v>
      </c>
      <c r="G244" s="17" t="n">
        <v>0.0</v>
      </c>
      <c r="H244" s="18" t="n">
        <f>0</f>
        <v>0.0</v>
      </c>
    </row>
    <row r="245" spans="1:8" ht="24.9" customHeight="1">
      <c r="A245" s="57"/>
      <c r="B245" s="59"/>
      <c r="C245" s="39"/>
      <c r="D245" s="20" t="s">
        <v>16</v>
      </c>
      <c r="E245" s="21" t="n">
        <v>0.0</v>
      </c>
      <c r="F245" s="22" t="n">
        <f>0</f>
        <v>0.0</v>
      </c>
      <c r="G245" s="21" t="n">
        <v>0.0</v>
      </c>
      <c r="H245" s="22" t="n">
        <f>0</f>
        <v>0.0</v>
      </c>
    </row>
    <row r="246" spans="1:8" ht="24.9" customHeight="1">
      <c r="A246" s="57"/>
      <c r="B246" s="59"/>
      <c r="C246" s="39"/>
      <c r="D246" s="20" t="s">
        <v>17</v>
      </c>
      <c r="E246" s="21" t="n">
        <v>0.0</v>
      </c>
      <c r="F246" s="22" t="n">
        <f>0</f>
        <v>0.0</v>
      </c>
      <c r="G246" s="21" t="n">
        <v>0.0</v>
      </c>
      <c r="H246" s="22" t="n">
        <f>0</f>
        <v>0.0</v>
      </c>
    </row>
    <row r="247" spans="1:8" ht="24.9" customHeight="1">
      <c r="A247" s="57"/>
      <c r="B247" s="59"/>
      <c r="C247" s="39"/>
      <c r="D247" s="24" t="s">
        <v>18</v>
      </c>
      <c r="E247" s="25" t="n">
        <v>0.0</v>
      </c>
      <c r="F247" s="26" t="n">
        <f>0</f>
        <v>0.0</v>
      </c>
      <c r="G247" s="25" t="n">
        <v>0.0</v>
      </c>
      <c r="H247" s="26" t="n">
        <f>0</f>
        <v>0.0</v>
      </c>
    </row>
    <row r="248" spans="1:8" ht="24.9" customHeight="1">
      <c r="A248" s="57"/>
      <c r="B248" s="59"/>
      <c r="C248" s="39" t="s">
        <v>117</v>
      </c>
      <c r="D248" s="16" t="s">
        <v>15</v>
      </c>
      <c r="E248" s="17" t="n">
        <v>0.0</v>
      </c>
      <c r="F248" s="18" t="n">
        <f>0</f>
        <v>0.0</v>
      </c>
      <c r="G248" s="17" t="n">
        <v>0.0</v>
      </c>
      <c r="H248" s="18" t="n">
        <f>0</f>
        <v>0.0</v>
      </c>
    </row>
    <row r="249" spans="1:8" ht="24.9" customHeight="1">
      <c r="A249" s="57"/>
      <c r="B249" s="59"/>
      <c r="C249" s="39"/>
      <c r="D249" s="20" t="s">
        <v>16</v>
      </c>
      <c r="E249" s="21" t="n">
        <v>0.0</v>
      </c>
      <c r="F249" s="22" t="n">
        <f>0</f>
        <v>0.0</v>
      </c>
      <c r="G249" s="21" t="n">
        <v>0.0</v>
      </c>
      <c r="H249" s="22" t="n">
        <f>0</f>
        <v>0.0</v>
      </c>
    </row>
    <row r="250" spans="1:8" ht="24.9" customHeight="1">
      <c r="A250" s="57"/>
      <c r="B250" s="59"/>
      <c r="C250" s="39"/>
      <c r="D250" s="20" t="s">
        <v>17</v>
      </c>
      <c r="E250" s="21" t="n">
        <v>0.0</v>
      </c>
      <c r="F250" s="22" t="n">
        <f>0</f>
        <v>0.0</v>
      </c>
      <c r="G250" s="21" t="n">
        <v>0.0</v>
      </c>
      <c r="H250" s="22" t="n">
        <f>0</f>
        <v>0.0</v>
      </c>
    </row>
    <row r="251" spans="1:8" ht="24.9" customHeight="1">
      <c r="A251" s="57"/>
      <c r="B251" s="59"/>
      <c r="C251" s="39"/>
      <c r="D251" s="24" t="s">
        <v>18</v>
      </c>
      <c r="E251" s="25" t="n">
        <v>0.0</v>
      </c>
      <c r="F251" s="26" t="n">
        <f>0</f>
        <v>0.0</v>
      </c>
      <c r="G251" s="25" t="n">
        <v>0.0</v>
      </c>
      <c r="H251" s="26" t="n">
        <f>0</f>
        <v>0.0</v>
      </c>
    </row>
    <row r="252" spans="1:8" ht="24.9" customHeight="1">
      <c r="A252" s="57"/>
      <c r="B252" s="59"/>
      <c r="C252" s="39" t="s">
        <v>118</v>
      </c>
      <c r="D252" s="16" t="s">
        <v>15</v>
      </c>
      <c r="E252" s="17" t="n">
        <v>0.0</v>
      </c>
      <c r="F252" s="18" t="n">
        <f>0</f>
        <v>0.0</v>
      </c>
      <c r="G252" s="17" t="n">
        <v>0.0</v>
      </c>
      <c r="H252" s="18" t="n">
        <f>0</f>
        <v>0.0</v>
      </c>
    </row>
    <row r="253" spans="1:8" ht="24.9" customHeight="1">
      <c r="A253" s="57"/>
      <c r="B253" s="59"/>
      <c r="C253" s="39"/>
      <c r="D253" s="20" t="s">
        <v>16</v>
      </c>
      <c r="E253" s="21" t="n">
        <v>0.0</v>
      </c>
      <c r="F253" s="22" t="n">
        <f>0</f>
        <v>0.0</v>
      </c>
      <c r="G253" s="21" t="n">
        <v>0.0</v>
      </c>
      <c r="H253" s="22" t="n">
        <f>0</f>
        <v>0.0</v>
      </c>
    </row>
    <row r="254" spans="1:8" ht="24.9" customHeight="1">
      <c r="A254" s="57"/>
      <c r="B254" s="59"/>
      <c r="C254" s="39"/>
      <c r="D254" s="20" t="s">
        <v>17</v>
      </c>
      <c r="E254" s="21" t="n">
        <v>0.0</v>
      </c>
      <c r="F254" s="22" t="n">
        <f>0</f>
        <v>0.0</v>
      </c>
      <c r="G254" s="21" t="n">
        <v>0.0</v>
      </c>
      <c r="H254" s="22" t="n">
        <f>0</f>
        <v>0.0</v>
      </c>
    </row>
    <row r="255" spans="1:8" ht="24.9" customHeight="1">
      <c r="A255" s="57"/>
      <c r="B255" s="59"/>
      <c r="C255" s="39"/>
      <c r="D255" s="24" t="s">
        <v>18</v>
      </c>
      <c r="E255" s="25" t="n">
        <v>0.0</v>
      </c>
      <c r="F255" s="26" t="n">
        <f>0</f>
        <v>0.0</v>
      </c>
      <c r="G255" s="25" t="n">
        <v>0.0</v>
      </c>
      <c r="H255" s="26" t="n">
        <f>0</f>
        <v>0.0</v>
      </c>
    </row>
    <row r="256" spans="1:8" ht="24.9" customHeight="1">
      <c r="A256" s="57"/>
      <c r="B256" s="59"/>
      <c r="C256" s="39" t="s">
        <v>121</v>
      </c>
      <c r="D256" s="16" t="s">
        <v>15</v>
      </c>
      <c r="E256" s="17" t="n">
        <v>0.0</v>
      </c>
      <c r="F256" s="18" t="n">
        <f>0</f>
        <v>0.0</v>
      </c>
      <c r="G256" s="17" t="n">
        <v>0.0</v>
      </c>
      <c r="H256" s="18" t="n">
        <f>0</f>
        <v>0.0</v>
      </c>
    </row>
    <row r="257" spans="1:8" ht="24.9" customHeight="1">
      <c r="A257" s="57"/>
      <c r="B257" s="59"/>
      <c r="C257" s="39"/>
      <c r="D257" s="20" t="s">
        <v>16</v>
      </c>
      <c r="E257" s="21" t="n">
        <v>0.0</v>
      </c>
      <c r="F257" s="22" t="n">
        <f>0</f>
        <v>0.0</v>
      </c>
      <c r="G257" s="21" t="n">
        <v>0.0</v>
      </c>
      <c r="H257" s="22" t="n">
        <f>0</f>
        <v>0.0</v>
      </c>
    </row>
    <row r="258" spans="1:8" ht="24.9" customHeight="1">
      <c r="A258" s="57"/>
      <c r="B258" s="59"/>
      <c r="C258" s="39"/>
      <c r="D258" s="20" t="s">
        <v>17</v>
      </c>
      <c r="E258" s="21" t="n">
        <v>0.0</v>
      </c>
      <c r="F258" s="22" t="n">
        <f>0</f>
        <v>0.0</v>
      </c>
      <c r="G258" s="21" t="n">
        <v>0.0</v>
      </c>
      <c r="H258" s="22" t="n">
        <f>0</f>
        <v>0.0</v>
      </c>
    </row>
    <row r="259" spans="1:8" ht="24.9" customHeight="1">
      <c r="A259" s="57"/>
      <c r="B259" s="59"/>
      <c r="C259" s="39"/>
      <c r="D259" s="24" t="s">
        <v>18</v>
      </c>
      <c r="E259" s="25" t="n">
        <v>0.0</v>
      </c>
      <c r="F259" s="26" t="n">
        <f>0</f>
        <v>0.0</v>
      </c>
      <c r="G259" s="25" t="n">
        <v>0.0</v>
      </c>
      <c r="H259" s="26" t="n">
        <f>0</f>
        <v>0.0</v>
      </c>
    </row>
    <row r="260" spans="1:8" ht="24.9" customHeight="1">
      <c r="A260" s="57"/>
      <c r="B260" s="59"/>
      <c r="C260" s="39" t="s">
        <v>119</v>
      </c>
      <c r="D260" s="16" t="s">
        <v>15</v>
      </c>
      <c r="E260" s="17" t="n">
        <v>0.0</v>
      </c>
      <c r="F260" s="18" t="n">
        <f>0</f>
        <v>0.0</v>
      </c>
      <c r="G260" s="17" t="n">
        <v>0.0</v>
      </c>
      <c r="H260" s="18" t="n">
        <f>0</f>
        <v>0.0</v>
      </c>
    </row>
    <row r="261" spans="1:8" ht="24.9" customHeight="1">
      <c r="A261" s="57"/>
      <c r="B261" s="59"/>
      <c r="C261" s="39"/>
      <c r="D261" s="20" t="s">
        <v>16</v>
      </c>
      <c r="E261" s="21" t="n">
        <v>0.0</v>
      </c>
      <c r="F261" s="22" t="n">
        <f>0</f>
        <v>0.0</v>
      </c>
      <c r="G261" s="21" t="n">
        <v>0.0</v>
      </c>
      <c r="H261" s="22" t="n">
        <f>0</f>
        <v>0.0</v>
      </c>
    </row>
    <row r="262" spans="1:8" ht="24.9" customHeight="1">
      <c r="A262" s="57"/>
      <c r="B262" s="59"/>
      <c r="C262" s="39"/>
      <c r="D262" s="20" t="s">
        <v>17</v>
      </c>
      <c r="E262" s="21" t="n">
        <v>0.0</v>
      </c>
      <c r="F262" s="22" t="n">
        <f>0</f>
        <v>0.0</v>
      </c>
      <c r="G262" s="21" t="n">
        <v>0.0</v>
      </c>
      <c r="H262" s="22" t="n">
        <f>0</f>
        <v>0.0</v>
      </c>
    </row>
    <row r="263" spans="1:8" ht="24.9" customHeight="1">
      <c r="A263" s="57"/>
      <c r="B263" s="59"/>
      <c r="C263" s="39"/>
      <c r="D263" s="24" t="s">
        <v>18</v>
      </c>
      <c r="E263" s="25" t="n">
        <v>0.0</v>
      </c>
      <c r="F263" s="26" t="n">
        <f>0</f>
        <v>0.0</v>
      </c>
      <c r="G263" s="25" t="n">
        <v>0.0</v>
      </c>
      <c r="H263" s="26" t="n">
        <f>0</f>
        <v>0.0</v>
      </c>
    </row>
    <row r="264" spans="1:8" ht="24.9" customHeight="1">
      <c r="A264" s="57"/>
      <c r="B264" s="59"/>
      <c r="C264" s="39" t="s">
        <v>120</v>
      </c>
      <c r="D264" s="16" t="s">
        <v>15</v>
      </c>
      <c r="E264" s="17" t="n">
        <v>0.0</v>
      </c>
      <c r="F264" s="18" t="n">
        <f>0</f>
        <v>0.0</v>
      </c>
      <c r="G264" s="17" t="n">
        <v>0.0</v>
      </c>
      <c r="H264" s="18" t="n">
        <f>0</f>
        <v>0.0</v>
      </c>
    </row>
    <row r="265" spans="1:8" ht="24.9" customHeight="1">
      <c r="A265" s="57"/>
      <c r="B265" s="59"/>
      <c r="C265" s="39"/>
      <c r="D265" s="20" t="s">
        <v>16</v>
      </c>
      <c r="E265" s="21" t="n">
        <v>0.0</v>
      </c>
      <c r="F265" s="22" t="n">
        <f>0</f>
        <v>0.0</v>
      </c>
      <c r="G265" s="21" t="n">
        <v>0.0</v>
      </c>
      <c r="H265" s="22" t="n">
        <f>0</f>
        <v>0.0</v>
      </c>
    </row>
    <row r="266" spans="1:8" ht="24.9" customHeight="1">
      <c r="A266" s="57"/>
      <c r="B266" s="59"/>
      <c r="C266" s="39"/>
      <c r="D266" s="20" t="s">
        <v>17</v>
      </c>
      <c r="E266" s="21" t="n">
        <v>0.0</v>
      </c>
      <c r="F266" s="22" t="n">
        <f>0</f>
        <v>0.0</v>
      </c>
      <c r="G266" s="21" t="n">
        <v>0.0</v>
      </c>
      <c r="H266" s="22" t="n">
        <f>0</f>
        <v>0.0</v>
      </c>
    </row>
    <row r="267" spans="1:8" ht="24.9" customHeight="1">
      <c r="A267" s="57"/>
      <c r="B267" s="59"/>
      <c r="C267" s="39"/>
      <c r="D267" s="24" t="s">
        <v>18</v>
      </c>
      <c r="E267" s="25" t="n">
        <v>0.0</v>
      </c>
      <c r="F267" s="26" t="n">
        <f>0</f>
        <v>0.0</v>
      </c>
      <c r="G267" s="25" t="n">
        <v>0.0</v>
      </c>
      <c r="H267" s="26" t="n">
        <f>0</f>
        <v>0.0</v>
      </c>
    </row>
    <row r="268" spans="1:8" ht="24.9" customHeight="1">
      <c r="A268" s="57"/>
      <c r="B268" s="59"/>
      <c r="C268" s="39" t="s">
        <v>122</v>
      </c>
      <c r="D268" s="16" t="s">
        <v>15</v>
      </c>
      <c r="E268" s="17" t="n">
        <v>0.0</v>
      </c>
      <c r="F268" s="18" t="n">
        <f>0</f>
        <v>0.0</v>
      </c>
      <c r="G268" s="17" t="n">
        <v>0.0</v>
      </c>
      <c r="H268" s="18" t="n">
        <f>0</f>
        <v>0.0</v>
      </c>
    </row>
    <row r="269" spans="1:8" ht="24.9" customHeight="1">
      <c r="A269" s="57"/>
      <c r="B269" s="59"/>
      <c r="C269" s="39"/>
      <c r="D269" s="20" t="s">
        <v>16</v>
      </c>
      <c r="E269" s="21" t="n">
        <v>0.0</v>
      </c>
      <c r="F269" s="22" t="n">
        <f>0</f>
        <v>0.0</v>
      </c>
      <c r="G269" s="21" t="n">
        <v>0.0</v>
      </c>
      <c r="H269" s="22" t="n">
        <f>0</f>
        <v>0.0</v>
      </c>
    </row>
    <row r="270" spans="1:8" ht="24.9" customHeight="1">
      <c r="A270" s="57"/>
      <c r="B270" s="59"/>
      <c r="C270" s="39"/>
      <c r="D270" s="20" t="s">
        <v>17</v>
      </c>
      <c r="E270" s="21" t="n">
        <v>0.0</v>
      </c>
      <c r="F270" s="22" t="n">
        <f>0</f>
        <v>0.0</v>
      </c>
      <c r="G270" s="21" t="n">
        <v>0.0</v>
      </c>
      <c r="H270" s="22" t="n">
        <f>0</f>
        <v>0.0</v>
      </c>
    </row>
    <row r="271" spans="1:8" ht="24.9" customHeight="1">
      <c r="A271" s="57"/>
      <c r="B271" s="59"/>
      <c r="C271" s="39"/>
      <c r="D271" s="24" t="s">
        <v>18</v>
      </c>
      <c r="E271" s="25" t="n">
        <v>0.0</v>
      </c>
      <c r="F271" s="26" t="n">
        <f>0</f>
        <v>0.0</v>
      </c>
      <c r="G271" s="25" t="n">
        <v>0.0</v>
      </c>
      <c r="H271" s="26" t="n">
        <f>0</f>
        <v>0.0</v>
      </c>
    </row>
    <row r="272" spans="1:8" ht="24.9" customHeight="1">
      <c r="A272" s="57"/>
      <c r="B272" s="59"/>
      <c r="C272" s="39" t="s">
        <v>93</v>
      </c>
      <c r="D272" s="16" t="s">
        <v>15</v>
      </c>
      <c r="E272" s="17" t="n">
        <v>0.0</v>
      </c>
      <c r="F272" s="18" t="n">
        <f>0</f>
        <v>0.0</v>
      </c>
      <c r="G272" s="17" t="n">
        <v>0.0</v>
      </c>
      <c r="H272" s="18" t="n">
        <f>0</f>
        <v>0.0</v>
      </c>
    </row>
    <row r="273" spans="1:8" ht="24.9" customHeight="1">
      <c r="A273" s="57"/>
      <c r="B273" s="59"/>
      <c r="C273" s="39"/>
      <c r="D273" s="20" t="s">
        <v>16</v>
      </c>
      <c r="E273" s="21" t="n">
        <v>0.0</v>
      </c>
      <c r="F273" s="22" t="n">
        <f>0</f>
        <v>0.0</v>
      </c>
      <c r="G273" s="21" t="n">
        <v>0.0</v>
      </c>
      <c r="H273" s="22" t="n">
        <f>0</f>
        <v>0.0</v>
      </c>
    </row>
    <row r="274" spans="1:8" ht="24.9" customHeight="1">
      <c r="A274" s="57"/>
      <c r="B274" s="59"/>
      <c r="C274" s="39"/>
      <c r="D274" s="20" t="s">
        <v>17</v>
      </c>
      <c r="E274" s="21" t="n">
        <v>0.0</v>
      </c>
      <c r="F274" s="22" t="n">
        <f>0</f>
        <v>0.0</v>
      </c>
      <c r="G274" s="21" t="n">
        <v>0.0</v>
      </c>
      <c r="H274" s="22" t="n">
        <f>0</f>
        <v>0.0</v>
      </c>
    </row>
    <row r="275" spans="1:8" ht="24.9" customHeight="1">
      <c r="A275" s="57"/>
      <c r="B275" s="59"/>
      <c r="C275" s="39"/>
      <c r="D275" s="24" t="s">
        <v>18</v>
      </c>
      <c r="E275" s="25" t="n">
        <v>0.0</v>
      </c>
      <c r="F275" s="26" t="n">
        <f>0</f>
        <v>0.0</v>
      </c>
      <c r="G275" s="25" t="n">
        <v>0.0</v>
      </c>
      <c r="H275" s="26" t="n">
        <f>0</f>
        <v>0.0</v>
      </c>
    </row>
    <row r="276" spans="1:8" ht="24.9" customHeight="1">
      <c r="A276" s="57"/>
      <c r="B276" s="59"/>
      <c r="C276" s="39" t="s">
        <v>94</v>
      </c>
      <c r="D276" s="16" t="s">
        <v>15</v>
      </c>
      <c r="E276" s="17" t="n">
        <v>0.0</v>
      </c>
      <c r="F276" s="18" t="n">
        <f>0</f>
        <v>0.0</v>
      </c>
      <c r="G276" s="17" t="n">
        <v>0.0</v>
      </c>
      <c r="H276" s="18" t="n">
        <f>0</f>
        <v>0.0</v>
      </c>
    </row>
    <row r="277" spans="1:8" ht="24.9" customHeight="1">
      <c r="A277" s="57"/>
      <c r="B277" s="59"/>
      <c r="C277" s="39"/>
      <c r="D277" s="20" t="s">
        <v>16</v>
      </c>
      <c r="E277" s="21" t="n">
        <v>0.0</v>
      </c>
      <c r="F277" s="22" t="n">
        <f>0</f>
        <v>0.0</v>
      </c>
      <c r="G277" s="21" t="n">
        <v>0.0</v>
      </c>
      <c r="H277" s="22" t="n">
        <f>0</f>
        <v>0.0</v>
      </c>
    </row>
    <row r="278" spans="1:8" ht="24.9" customHeight="1">
      <c r="A278" s="57"/>
      <c r="B278" s="59"/>
      <c r="C278" s="39"/>
      <c r="D278" s="20" t="s">
        <v>17</v>
      </c>
      <c r="E278" s="21" t="n">
        <v>0.0</v>
      </c>
      <c r="F278" s="22" t="n">
        <f>0</f>
        <v>0.0</v>
      </c>
      <c r="G278" s="21" t="n">
        <v>0.0</v>
      </c>
      <c r="H278" s="22" t="n">
        <f>0</f>
        <v>0.0</v>
      </c>
    </row>
    <row r="279" spans="1:8" ht="24.9" customHeight="1">
      <c r="A279" s="57"/>
      <c r="B279" s="59"/>
      <c r="C279" s="39"/>
      <c r="D279" s="24" t="s">
        <v>18</v>
      </c>
      <c r="E279" s="25" t="n">
        <v>0.0</v>
      </c>
      <c r="F279" s="26" t="n">
        <f>0</f>
        <v>0.0</v>
      </c>
      <c r="G279" s="25" t="n">
        <v>0.0</v>
      </c>
      <c r="H279" s="26" t="n">
        <f>0</f>
        <v>0.0</v>
      </c>
    </row>
    <row r="280" spans="1:8" ht="24.9" customHeight="1">
      <c r="A280" s="57"/>
      <c r="B280" s="59"/>
      <c r="C280" s="39" t="s">
        <v>95</v>
      </c>
      <c r="D280" s="16" t="s">
        <v>15</v>
      </c>
      <c r="E280" s="17" t="n">
        <v>0.0</v>
      </c>
      <c r="F280" s="18" t="n">
        <f>0</f>
        <v>0.0</v>
      </c>
      <c r="G280" s="17" t="n">
        <v>0.0</v>
      </c>
      <c r="H280" s="18" t="n">
        <f>0</f>
        <v>0.0</v>
      </c>
    </row>
    <row r="281" spans="1:8" ht="24.9" customHeight="1">
      <c r="A281" s="57"/>
      <c r="B281" s="59"/>
      <c r="C281" s="39"/>
      <c r="D281" s="20" t="s">
        <v>16</v>
      </c>
      <c r="E281" s="21" t="n">
        <v>0.0</v>
      </c>
      <c r="F281" s="22" t="n">
        <f>0</f>
        <v>0.0</v>
      </c>
      <c r="G281" s="21" t="n">
        <v>0.0</v>
      </c>
      <c r="H281" s="22" t="n">
        <f>0</f>
        <v>0.0</v>
      </c>
    </row>
    <row r="282" spans="1:8" ht="24.9" customHeight="1">
      <c r="A282" s="57"/>
      <c r="B282" s="59"/>
      <c r="C282" s="39"/>
      <c r="D282" s="20" t="s">
        <v>17</v>
      </c>
      <c r="E282" s="21" t="n">
        <v>0.0</v>
      </c>
      <c r="F282" s="22" t="n">
        <f>0</f>
        <v>0.0</v>
      </c>
      <c r="G282" s="21" t="n">
        <v>0.0</v>
      </c>
      <c r="H282" s="22" t="n">
        <f>0</f>
        <v>0.0</v>
      </c>
    </row>
    <row r="283" spans="1:8" ht="24.9" customHeight="1">
      <c r="A283" s="58"/>
      <c r="B283" s="59"/>
      <c r="C283" s="39"/>
      <c r="D283" s="24" t="s">
        <v>18</v>
      </c>
      <c r="E283" s="25" t="n">
        <v>0.0</v>
      </c>
      <c r="F283" s="26" t="n">
        <f>0</f>
        <v>0.0</v>
      </c>
      <c r="G283" s="25" t="n">
        <v>0.0</v>
      </c>
      <c r="H283" s="26" t="n">
        <f>0</f>
        <v>0.0</v>
      </c>
    </row>
  </sheetData>
  <mergeCells count="81"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  <mergeCell ref="B104:B119"/>
    <mergeCell ref="C104:C107"/>
    <mergeCell ref="C108:C111"/>
    <mergeCell ref="C112:C115"/>
    <mergeCell ref="C116:C119"/>
    <mergeCell ref="C20:C23"/>
    <mergeCell ref="C24:C27"/>
    <mergeCell ref="C28:C31"/>
    <mergeCell ref="C32:C35"/>
    <mergeCell ref="C36:C3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</mergeCells>
  <phoneticPr fontId="10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4" width="4.6640625" collapsed="true"/>
    <col min="2" max="2" customWidth="true" style="4" width="29.109375" collapsed="true"/>
    <col min="3" max="3" customWidth="true" style="4" width="20.6640625" collapsed="true"/>
    <col min="4" max="15" customWidth="true" style="4" width="18.6640625" collapsed="true"/>
    <col min="16" max="16384" style="4" width="9.0" collapsed="true"/>
  </cols>
  <sheetData>
    <row r="1" spans="1:15" ht="28.5" customHeight="1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>
      <c r="A3" s="44" t="n">
        <f>summary_data_Futures!A3:I3</f>
        <v>46155.0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>
      <c r="A4" s="45" t="n">
        <f>summary_data_Futures!A4:I4</f>
        <v>46155.0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 customHeight="1">
      <c r="A6" s="7" t="s">
        <v>26</v>
      </c>
      <c r="B6" s="8"/>
      <c r="C6" s="9"/>
      <c r="D6" s="9"/>
      <c r="E6" s="9"/>
      <c r="F6" s="9"/>
      <c r="G6" s="6"/>
      <c r="H6" s="6"/>
      <c r="I6" s="6"/>
      <c r="J6" s="6"/>
      <c r="K6" s="6"/>
      <c r="L6" s="6"/>
      <c r="M6" s="6"/>
      <c r="N6" s="6"/>
      <c r="O6" s="6"/>
    </row>
    <row r="7" spans="1:15" ht="14.25" customHeight="1">
      <c r="A7" s="10" t="s">
        <v>97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4.9" customHeight="1">
      <c r="A9" s="12"/>
      <c r="B9" s="12" t="s">
        <v>7</v>
      </c>
      <c r="C9" s="12" t="s">
        <v>0</v>
      </c>
      <c r="D9" s="50" t="s">
        <v>8</v>
      </c>
      <c r="E9" s="65"/>
      <c r="F9" s="65"/>
      <c r="G9" s="65"/>
      <c r="H9" s="65"/>
      <c r="I9" s="47"/>
      <c r="J9" s="50" t="s">
        <v>10</v>
      </c>
      <c r="K9" s="65"/>
      <c r="L9" s="65"/>
      <c r="M9" s="65"/>
      <c r="N9" s="65"/>
      <c r="O9" s="47"/>
    </row>
    <row r="10" spans="1:15" ht="24.9" customHeight="1">
      <c r="A10" s="34"/>
      <c r="B10" s="34" t="s">
        <v>11</v>
      </c>
      <c r="C10" s="34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4"/>
      <c r="B11" s="34"/>
      <c r="C11" s="34"/>
      <c r="D11" s="14" t="s">
        <v>102</v>
      </c>
      <c r="E11" s="15" t="s">
        <v>101</v>
      </c>
      <c r="F11" s="14" t="s">
        <v>102</v>
      </c>
      <c r="G11" s="15" t="s">
        <v>101</v>
      </c>
      <c r="H11" s="14" t="s">
        <v>102</v>
      </c>
      <c r="I11" s="15" t="s">
        <v>101</v>
      </c>
      <c r="J11" s="14" t="s">
        <v>103</v>
      </c>
      <c r="K11" s="15" t="s">
        <v>101</v>
      </c>
      <c r="L11" s="14" t="s">
        <v>103</v>
      </c>
      <c r="M11" s="15" t="s">
        <v>101</v>
      </c>
      <c r="N11" s="14" t="s">
        <v>103</v>
      </c>
      <c r="O11" s="15" t="s">
        <v>101</v>
      </c>
    </row>
    <row r="12" spans="1:15" ht="24.9" customHeight="1">
      <c r="A12" s="38" t="s">
        <v>19</v>
      </c>
      <c r="B12" s="61" t="s">
        <v>104</v>
      </c>
      <c r="C12" s="16" t="s">
        <v>15</v>
      </c>
      <c r="D12" s="17" t="n">
        <f>2824</f>
        <v>2824.0</v>
      </c>
      <c r="E12" s="35" t="n">
        <f>1824</f>
        <v>1824.0</v>
      </c>
      <c r="F12" s="17" t="n">
        <f>1381</f>
        <v>1381.0</v>
      </c>
      <c r="G12" s="35" t="n">
        <f>572</f>
        <v>572.0</v>
      </c>
      <c r="H12" s="17" t="n">
        <f>4205</f>
        <v>4205.0</v>
      </c>
      <c r="I12" s="35" t="n">
        <f>2396</f>
        <v>2396.0</v>
      </c>
      <c r="J12" s="17" t="n">
        <f>1788101799</f>
        <v>1.788101799E9</v>
      </c>
      <c r="K12" s="35" t="n">
        <f>1463955799</f>
        <v>1.463955799E9</v>
      </c>
      <c r="L12" s="17" t="n">
        <f>1323802730</f>
        <v>1.32380273E9</v>
      </c>
      <c r="M12" s="35" t="n">
        <f>1065510730</f>
        <v>1.06551073E9</v>
      </c>
      <c r="N12" s="17" t="n">
        <f>3111904529</f>
        <v>3.111904529E9</v>
      </c>
      <c r="O12" s="35" t="n">
        <f>2529466529</f>
        <v>2.529466529E9</v>
      </c>
    </row>
    <row r="13" spans="1:15" ht="24.9" customHeight="1">
      <c r="A13" s="38"/>
      <c r="B13" s="62"/>
      <c r="C13" s="20" t="s">
        <v>16</v>
      </c>
      <c r="D13" s="21" t="n">
        <f>2238</f>
        <v>2238.0</v>
      </c>
      <c r="E13" s="36" t="n">
        <f>918</f>
        <v>918.0</v>
      </c>
      <c r="F13" s="21" t="n">
        <f>2201</f>
        <v>2201.0</v>
      </c>
      <c r="G13" s="36" t="n">
        <f>942</f>
        <v>942.0</v>
      </c>
      <c r="H13" s="21" t="n">
        <f>4439</f>
        <v>4439.0</v>
      </c>
      <c r="I13" s="36" t="n">
        <f>1860</f>
        <v>1860.0</v>
      </c>
      <c r="J13" s="21" t="n">
        <f>3151369338</f>
        <v>3.151369338E9</v>
      </c>
      <c r="K13" s="36" t="n">
        <f>2484680338</f>
        <v>2.484680338E9</v>
      </c>
      <c r="L13" s="21" t="n">
        <f>1730764650</f>
        <v>1.73076465E9</v>
      </c>
      <c r="M13" s="36" t="n">
        <f>1361395650</f>
        <v>1.36139565E9</v>
      </c>
      <c r="N13" s="21" t="n">
        <f>4882133988</f>
        <v>4.882133988E9</v>
      </c>
      <c r="O13" s="36" t="n">
        <f>3846075988</f>
        <v>3.846075988E9</v>
      </c>
    </row>
    <row r="14" spans="1:15" ht="24.9" customHeight="1">
      <c r="A14" s="38"/>
      <c r="B14" s="62"/>
      <c r="C14" s="20" t="s">
        <v>17</v>
      </c>
      <c r="D14" s="21" t="n">
        <f>15051</f>
        <v>15051.0</v>
      </c>
      <c r="E14" s="36" t="n">
        <f>13007</f>
        <v>13007.0</v>
      </c>
      <c r="F14" s="21" t="n">
        <f>5457</f>
        <v>5457.0</v>
      </c>
      <c r="G14" s="36" t="n">
        <f>4014</f>
        <v>4014.0</v>
      </c>
      <c r="H14" s="21" t="n">
        <f>20508</f>
        <v>20508.0</v>
      </c>
      <c r="I14" s="36" t="n">
        <f>17021</f>
        <v>17021.0</v>
      </c>
      <c r="J14" s="21" t="n">
        <f>10386062440</f>
        <v>1.038606244E10</v>
      </c>
      <c r="K14" s="36" t="n">
        <f>9500108440</f>
        <v>9.50010844E9</v>
      </c>
      <c r="L14" s="21" t="n">
        <f>5427575220</f>
        <v>5.42757522E9</v>
      </c>
      <c r="M14" s="36" t="n">
        <f>4683132220</f>
        <v>4.68313222E9</v>
      </c>
      <c r="N14" s="21" t="n">
        <f>15813637660</f>
        <v>1.581363766E10</v>
      </c>
      <c r="O14" s="36" t="n">
        <f>14183240660</f>
        <v>1.418324066E10</v>
      </c>
    </row>
    <row r="15" spans="1:15" ht="24.9" customHeight="1">
      <c r="A15" s="38"/>
      <c r="B15" s="62"/>
      <c r="C15" s="24" t="s">
        <v>18</v>
      </c>
      <c r="D15" s="25" t="n">
        <f>20113</f>
        <v>20113.0</v>
      </c>
      <c r="E15" s="37" t="n">
        <f>15749</f>
        <v>15749.0</v>
      </c>
      <c r="F15" s="25" t="n">
        <f>9039</f>
        <v>9039.0</v>
      </c>
      <c r="G15" s="37" t="n">
        <f>5528</f>
        <v>5528.0</v>
      </c>
      <c r="H15" s="25" t="n">
        <f>29152</f>
        <v>29152.0</v>
      </c>
      <c r="I15" s="37" t="n">
        <f>21277</f>
        <v>21277.0</v>
      </c>
      <c r="J15" s="25" t="n">
        <f>15325533577</f>
        <v>1.5325533577E10</v>
      </c>
      <c r="K15" s="37" t="n">
        <f>13448744577</f>
        <v>1.3448744577E10</v>
      </c>
      <c r="L15" s="25" t="n">
        <f>8482142600</f>
        <v>8.4821426E9</v>
      </c>
      <c r="M15" s="37" t="n">
        <f>7110038600</f>
        <v>7.1100386E9</v>
      </c>
      <c r="N15" s="25" t="n">
        <f>23807676177</f>
        <v>2.3807676177E10</v>
      </c>
      <c r="O15" s="37" t="n">
        <f>20558783177</f>
        <v>2.0558783177E10</v>
      </c>
    </row>
    <row r="16" spans="1:15" ht="24.9" customHeight="1">
      <c r="A16" s="38"/>
      <c r="B16" s="61" t="s">
        <v>105</v>
      </c>
      <c r="C16" s="16" t="s">
        <v>15</v>
      </c>
      <c r="D16" s="17" t="n">
        <f>7319</f>
        <v>7319.0</v>
      </c>
      <c r="E16" s="35" t="n">
        <f>610</f>
        <v>610.0</v>
      </c>
      <c r="F16" s="17" t="n">
        <f>5308</f>
        <v>5308.0</v>
      </c>
      <c r="G16" s="35" t="n">
        <f>400</f>
        <v>400.0</v>
      </c>
      <c r="H16" s="17" t="n">
        <f>12627</f>
        <v>12627.0</v>
      </c>
      <c r="I16" s="35" t="n">
        <f>1010</f>
        <v>1010.0</v>
      </c>
      <c r="J16" s="17" t="n">
        <f>171650540</f>
        <v>1.7165054E8</v>
      </c>
      <c r="K16" s="35" t="n">
        <f>6621840</f>
        <v>6621840.0</v>
      </c>
      <c r="L16" s="17" t="n">
        <f>156958580</f>
        <v>1.5695858E8</v>
      </c>
      <c r="M16" s="35" t="n">
        <f>3638180</f>
        <v>3638180.0</v>
      </c>
      <c r="N16" s="17" t="n">
        <f>328609120</f>
        <v>3.2860912E8</v>
      </c>
      <c r="O16" s="35" t="n">
        <f>10260020</f>
        <v>1.026002E7</v>
      </c>
    </row>
    <row r="17" spans="1:15" ht="24.9" customHeight="1">
      <c r="A17" s="38"/>
      <c r="B17" s="62"/>
      <c r="C17" s="20" t="s">
        <v>16</v>
      </c>
      <c r="D17" s="21" t="n">
        <f>7952</f>
        <v>7952.0</v>
      </c>
      <c r="E17" s="36" t="n">
        <f>660</f>
        <v>660.0</v>
      </c>
      <c r="F17" s="21" t="n">
        <f>5013</f>
        <v>5013.0</v>
      </c>
      <c r="G17" s="36" t="n">
        <f>820</f>
        <v>820.0</v>
      </c>
      <c r="H17" s="21" t="n">
        <f>12965</f>
        <v>12965.0</v>
      </c>
      <c r="I17" s="36" t="n">
        <f>1480</f>
        <v>1480.0</v>
      </c>
      <c r="J17" s="21" t="n">
        <f>110223430</f>
        <v>1.1022343E8</v>
      </c>
      <c r="K17" s="36" t="n">
        <f>2373230</f>
        <v>2373230.0</v>
      </c>
      <c r="L17" s="21" t="n">
        <f>90191460</f>
        <v>9.019146E7</v>
      </c>
      <c r="M17" s="36" t="n">
        <f>4577460</f>
        <v>4577460.0</v>
      </c>
      <c r="N17" s="21" t="n">
        <f>200414890</f>
        <v>2.0041489E8</v>
      </c>
      <c r="O17" s="36" t="n">
        <f>6950690</f>
        <v>6950690.0</v>
      </c>
    </row>
    <row r="18" spans="1:15" ht="24.9" customHeight="1">
      <c r="A18" s="38"/>
      <c r="B18" s="62"/>
      <c r="C18" s="20" t="s">
        <v>17</v>
      </c>
      <c r="D18" s="21" t="n">
        <f>10463</f>
        <v>10463.0</v>
      </c>
      <c r="E18" s="36" t="n">
        <f>1700</f>
        <v>1700.0</v>
      </c>
      <c r="F18" s="21" t="n">
        <f>4070</f>
        <v>4070.0</v>
      </c>
      <c r="G18" s="36" t="n">
        <f>360</f>
        <v>360.0</v>
      </c>
      <c r="H18" s="21" t="n">
        <f>14533</f>
        <v>14533.0</v>
      </c>
      <c r="I18" s="36" t="n">
        <f>2060</f>
        <v>2060.0</v>
      </c>
      <c r="J18" s="21" t="n">
        <f>218924610</f>
        <v>2.1892461E8</v>
      </c>
      <c r="K18" s="36" t="n">
        <f>7094410</f>
        <v>7094410.0</v>
      </c>
      <c r="L18" s="21" t="n">
        <f>131573010</f>
        <v>1.3157301E8</v>
      </c>
      <c r="M18" s="36" t="n">
        <f>1694010</f>
        <v>1694010.0</v>
      </c>
      <c r="N18" s="21" t="n">
        <f>350497620</f>
        <v>3.5049762E8</v>
      </c>
      <c r="O18" s="36" t="n">
        <f>8788420</f>
        <v>8788420.0</v>
      </c>
    </row>
    <row r="19" spans="1:15" ht="24.9" customHeight="1">
      <c r="A19" s="38"/>
      <c r="B19" s="62"/>
      <c r="C19" s="24" t="s">
        <v>18</v>
      </c>
      <c r="D19" s="25" t="n">
        <f>25734</f>
        <v>25734.0</v>
      </c>
      <c r="E19" s="37" t="n">
        <f>2970</f>
        <v>2970.0</v>
      </c>
      <c r="F19" s="25" t="n">
        <f>14391</f>
        <v>14391.0</v>
      </c>
      <c r="G19" s="37" t="n">
        <f>1580</f>
        <v>1580.0</v>
      </c>
      <c r="H19" s="25" t="n">
        <f>40125</f>
        <v>40125.0</v>
      </c>
      <c r="I19" s="37" t="n">
        <f>4550</f>
        <v>4550.0</v>
      </c>
      <c r="J19" s="25" t="n">
        <f>500798580</f>
        <v>5.0079858E8</v>
      </c>
      <c r="K19" s="37" t="n">
        <f>16089480</f>
        <v>1.608948E7</v>
      </c>
      <c r="L19" s="25" t="n">
        <f>378723050</f>
        <v>3.7872305E8</v>
      </c>
      <c r="M19" s="37" t="n">
        <f>9909650</f>
        <v>9909650.0</v>
      </c>
      <c r="N19" s="25" t="n">
        <f>879521630</f>
        <v>8.7952163E8</v>
      </c>
      <c r="O19" s="37" t="n">
        <f>25999130</f>
        <v>2.599913E7</v>
      </c>
    </row>
    <row r="20" spans="1:15" ht="24.9" customHeight="1">
      <c r="A20" s="38"/>
      <c r="B20" s="61" t="s">
        <v>106</v>
      </c>
      <c r="C20" s="16" t="s">
        <v>15</v>
      </c>
      <c r="D20" s="17" t="n">
        <f>0</f>
        <v>0.0</v>
      </c>
      <c r="E20" s="35" t="n">
        <f>0</f>
        <v>0.0</v>
      </c>
      <c r="F20" s="17" t="n">
        <f>0</f>
        <v>0.0</v>
      </c>
      <c r="G20" s="35" t="n">
        <f>0</f>
        <v>0.0</v>
      </c>
      <c r="H20" s="17" t="n">
        <f>0</f>
        <v>0.0</v>
      </c>
      <c r="I20" s="35" t="n">
        <f>0</f>
        <v>0.0</v>
      </c>
      <c r="J20" s="17" t="n">
        <f>0</f>
        <v>0.0</v>
      </c>
      <c r="K20" s="35" t="n">
        <f>0</f>
        <v>0.0</v>
      </c>
      <c r="L20" s="17" t="n">
        <f>0</f>
        <v>0.0</v>
      </c>
      <c r="M20" s="35" t="n">
        <f>0</f>
        <v>0.0</v>
      </c>
      <c r="N20" s="17" t="n">
        <f>0</f>
        <v>0.0</v>
      </c>
      <c r="O20" s="35" t="n">
        <f>0</f>
        <v>0.0</v>
      </c>
    </row>
    <row r="21" spans="1:15" ht="24.9" customHeight="1">
      <c r="A21" s="38"/>
      <c r="B21" s="62"/>
      <c r="C21" s="20" t="s">
        <v>16</v>
      </c>
      <c r="D21" s="21" t="n">
        <f>0</f>
        <v>0.0</v>
      </c>
      <c r="E21" s="36" t="n">
        <f>0</f>
        <v>0.0</v>
      </c>
      <c r="F21" s="21" t="n">
        <f>0</f>
        <v>0.0</v>
      </c>
      <c r="G21" s="36" t="n">
        <f>0</f>
        <v>0.0</v>
      </c>
      <c r="H21" s="21" t="n">
        <f>0</f>
        <v>0.0</v>
      </c>
      <c r="I21" s="36" t="n">
        <f>0</f>
        <v>0.0</v>
      </c>
      <c r="J21" s="21" t="n">
        <f>0</f>
        <v>0.0</v>
      </c>
      <c r="K21" s="36" t="n">
        <f>0</f>
        <v>0.0</v>
      </c>
      <c r="L21" s="21" t="n">
        <f>0</f>
        <v>0.0</v>
      </c>
      <c r="M21" s="36" t="n">
        <f>0</f>
        <v>0.0</v>
      </c>
      <c r="N21" s="21" t="n">
        <f>0</f>
        <v>0.0</v>
      </c>
      <c r="O21" s="36" t="n">
        <f>0</f>
        <v>0.0</v>
      </c>
    </row>
    <row r="22" spans="1:15" ht="24.9" customHeight="1">
      <c r="A22" s="38"/>
      <c r="B22" s="62"/>
      <c r="C22" s="20" t="s">
        <v>17</v>
      </c>
      <c r="D22" s="21" t="n">
        <f>175</f>
        <v>175.0</v>
      </c>
      <c r="E22" s="36" t="n">
        <f>175</f>
        <v>175.0</v>
      </c>
      <c r="F22" s="21" t="n">
        <f>526</f>
        <v>526.0</v>
      </c>
      <c r="G22" s="36" t="n">
        <f>526</f>
        <v>526.0</v>
      </c>
      <c r="H22" s="21" t="n">
        <f>701</f>
        <v>701.0</v>
      </c>
      <c r="I22" s="36" t="n">
        <f>701</f>
        <v>701.0</v>
      </c>
      <c r="J22" s="21" t="n">
        <f>168750000</f>
        <v>1.6875E8</v>
      </c>
      <c r="K22" s="36" t="n">
        <f>168750000</f>
        <v>1.6875E8</v>
      </c>
      <c r="L22" s="21" t="n">
        <f>85475000</f>
        <v>8.5475E7</v>
      </c>
      <c r="M22" s="36" t="n">
        <f>85475000</f>
        <v>8.5475E7</v>
      </c>
      <c r="N22" s="21" t="n">
        <f>254225000</f>
        <v>2.54225E8</v>
      </c>
      <c r="O22" s="36" t="n">
        <f>254225000</f>
        <v>2.54225E8</v>
      </c>
    </row>
    <row r="23" spans="1:15" ht="24.9" customHeight="1">
      <c r="A23" s="38"/>
      <c r="B23" s="62"/>
      <c r="C23" s="24" t="s">
        <v>18</v>
      </c>
      <c r="D23" s="25" t="n">
        <f>175</f>
        <v>175.0</v>
      </c>
      <c r="E23" s="37" t="n">
        <f>175</f>
        <v>175.0</v>
      </c>
      <c r="F23" s="25" t="n">
        <f>526</f>
        <v>526.0</v>
      </c>
      <c r="G23" s="37" t="n">
        <f>526</f>
        <v>526.0</v>
      </c>
      <c r="H23" s="25" t="n">
        <f>701</f>
        <v>701.0</v>
      </c>
      <c r="I23" s="37" t="n">
        <f>701</f>
        <v>701.0</v>
      </c>
      <c r="J23" s="25" t="n">
        <f>168750000</f>
        <v>1.6875E8</v>
      </c>
      <c r="K23" s="37" t="n">
        <f>168750000</f>
        <v>1.6875E8</v>
      </c>
      <c r="L23" s="25" t="n">
        <f>85475000</f>
        <v>8.5475E7</v>
      </c>
      <c r="M23" s="37" t="n">
        <f>85475000</f>
        <v>8.5475E7</v>
      </c>
      <c r="N23" s="25" t="n">
        <f>254225000</f>
        <v>2.54225E8</v>
      </c>
      <c r="O23" s="37" t="n">
        <f>254225000</f>
        <v>2.54225E8</v>
      </c>
    </row>
    <row r="24" spans="1:15" ht="24.9" customHeight="1">
      <c r="A24" s="38"/>
      <c r="B24" s="61" t="s">
        <v>107</v>
      </c>
      <c r="C24" s="16" t="s">
        <v>15</v>
      </c>
      <c r="D24" s="17" t="n">
        <f>0</f>
        <v>0.0</v>
      </c>
      <c r="E24" s="35" t="n">
        <f>0</f>
        <v>0.0</v>
      </c>
      <c r="F24" s="17" t="n">
        <f>0</f>
        <v>0.0</v>
      </c>
      <c r="G24" s="35" t="n">
        <f>0</f>
        <v>0.0</v>
      </c>
      <c r="H24" s="17" t="n">
        <f>0</f>
        <v>0.0</v>
      </c>
      <c r="I24" s="35" t="n">
        <f>0</f>
        <v>0.0</v>
      </c>
      <c r="J24" s="17" t="n">
        <f>0</f>
        <v>0.0</v>
      </c>
      <c r="K24" s="35" t="n">
        <f>0</f>
        <v>0.0</v>
      </c>
      <c r="L24" s="17" t="n">
        <f>0</f>
        <v>0.0</v>
      </c>
      <c r="M24" s="35" t="n">
        <f>0</f>
        <v>0.0</v>
      </c>
      <c r="N24" s="17" t="n">
        <f>0</f>
        <v>0.0</v>
      </c>
      <c r="O24" s="35" t="n">
        <f>0</f>
        <v>0.0</v>
      </c>
    </row>
    <row r="25" spans="1:15" ht="24.9" customHeight="1">
      <c r="A25" s="38"/>
      <c r="B25" s="62"/>
      <c r="C25" s="20" t="s">
        <v>16</v>
      </c>
      <c r="D25" s="21" t="n">
        <f>0</f>
        <v>0.0</v>
      </c>
      <c r="E25" s="36" t="n">
        <f>0</f>
        <v>0.0</v>
      </c>
      <c r="F25" s="21" t="n">
        <f>0</f>
        <v>0.0</v>
      </c>
      <c r="G25" s="36" t="n">
        <f>0</f>
        <v>0.0</v>
      </c>
      <c r="H25" s="21" t="n">
        <f>0</f>
        <v>0.0</v>
      </c>
      <c r="I25" s="36" t="n">
        <f>0</f>
        <v>0.0</v>
      </c>
      <c r="J25" s="21" t="n">
        <f>0</f>
        <v>0.0</v>
      </c>
      <c r="K25" s="36" t="n">
        <f>0</f>
        <v>0.0</v>
      </c>
      <c r="L25" s="21" t="n">
        <f>0</f>
        <v>0.0</v>
      </c>
      <c r="M25" s="36" t="n">
        <f>0</f>
        <v>0.0</v>
      </c>
      <c r="N25" s="21" t="n">
        <f>0</f>
        <v>0.0</v>
      </c>
      <c r="O25" s="36" t="n">
        <f>0</f>
        <v>0.0</v>
      </c>
    </row>
    <row r="26" spans="1:15" ht="24.9" customHeight="1">
      <c r="A26" s="38"/>
      <c r="B26" s="62"/>
      <c r="C26" s="20" t="s">
        <v>17</v>
      </c>
      <c r="D26" s="21" t="n">
        <f>0</f>
        <v>0.0</v>
      </c>
      <c r="E26" s="36" t="n">
        <f>0</f>
        <v>0.0</v>
      </c>
      <c r="F26" s="21" t="n">
        <f>0</f>
        <v>0.0</v>
      </c>
      <c r="G26" s="36" t="n">
        <f>0</f>
        <v>0.0</v>
      </c>
      <c r="H26" s="21" t="n">
        <f>0</f>
        <v>0.0</v>
      </c>
      <c r="I26" s="36" t="n">
        <f>0</f>
        <v>0.0</v>
      </c>
      <c r="J26" s="21" t="n">
        <f>0</f>
        <v>0.0</v>
      </c>
      <c r="K26" s="36" t="n">
        <f>0</f>
        <v>0.0</v>
      </c>
      <c r="L26" s="21" t="n">
        <f>0</f>
        <v>0.0</v>
      </c>
      <c r="M26" s="36" t="n">
        <f>0</f>
        <v>0.0</v>
      </c>
      <c r="N26" s="21" t="n">
        <f>0</f>
        <v>0.0</v>
      </c>
      <c r="O26" s="36" t="n">
        <f>0</f>
        <v>0.0</v>
      </c>
    </row>
    <row r="27" spans="1:15" ht="24.9" customHeight="1">
      <c r="A27" s="38"/>
      <c r="B27" s="62"/>
      <c r="C27" s="24" t="s">
        <v>18</v>
      </c>
      <c r="D27" s="25" t="n">
        <f>0</f>
        <v>0.0</v>
      </c>
      <c r="E27" s="37" t="n">
        <f>0</f>
        <v>0.0</v>
      </c>
      <c r="F27" s="25" t="n">
        <f>0</f>
        <v>0.0</v>
      </c>
      <c r="G27" s="37" t="n">
        <f>0</f>
        <v>0.0</v>
      </c>
      <c r="H27" s="25" t="n">
        <f>0</f>
        <v>0.0</v>
      </c>
      <c r="I27" s="37" t="n">
        <f>0</f>
        <v>0.0</v>
      </c>
      <c r="J27" s="25" t="n">
        <f>0</f>
        <v>0.0</v>
      </c>
      <c r="K27" s="37" t="n">
        <f>0</f>
        <v>0.0</v>
      </c>
      <c r="L27" s="25" t="n">
        <f>0</f>
        <v>0.0</v>
      </c>
      <c r="M27" s="37" t="n">
        <f>0</f>
        <v>0.0</v>
      </c>
      <c r="N27" s="25" t="n">
        <f>0</f>
        <v>0.0</v>
      </c>
      <c r="O27" s="37" t="n">
        <f>0</f>
        <v>0.0</v>
      </c>
    </row>
    <row r="28" spans="1:15" ht="24.9" customHeight="1">
      <c r="A28" s="38"/>
      <c r="B28" s="61" t="s">
        <v>108</v>
      </c>
      <c r="C28" s="16" t="s">
        <v>15</v>
      </c>
      <c r="D28" s="17" t="n">
        <f>0</f>
        <v>0.0</v>
      </c>
      <c r="E28" s="18" t="n">
        <f>0</f>
        <v>0.0</v>
      </c>
      <c r="F28" s="17" t="n">
        <f>0</f>
        <v>0.0</v>
      </c>
      <c r="G28" s="18" t="n">
        <f>0</f>
        <v>0.0</v>
      </c>
      <c r="H28" s="17" t="n">
        <f>0</f>
        <v>0.0</v>
      </c>
      <c r="I28" s="18" t="n">
        <f>0</f>
        <v>0.0</v>
      </c>
      <c r="J28" s="17" t="n">
        <f>0</f>
        <v>0.0</v>
      </c>
      <c r="K28" s="18" t="n">
        <f>0</f>
        <v>0.0</v>
      </c>
      <c r="L28" s="17" t="n">
        <f>0</f>
        <v>0.0</v>
      </c>
      <c r="M28" s="18" t="n">
        <f>0</f>
        <v>0.0</v>
      </c>
      <c r="N28" s="17" t="n">
        <f>0</f>
        <v>0.0</v>
      </c>
      <c r="O28" s="18" t="n">
        <f>0</f>
        <v>0.0</v>
      </c>
    </row>
    <row r="29" spans="1:15" ht="24.9" customHeight="1">
      <c r="A29" s="38"/>
      <c r="B29" s="62"/>
      <c r="C29" s="20" t="s">
        <v>16</v>
      </c>
      <c r="D29" s="21" t="n">
        <f>0</f>
        <v>0.0</v>
      </c>
      <c r="E29" s="22" t="n">
        <f>0</f>
        <v>0.0</v>
      </c>
      <c r="F29" s="21" t="n">
        <f>0</f>
        <v>0.0</v>
      </c>
      <c r="G29" s="22" t="n">
        <f>0</f>
        <v>0.0</v>
      </c>
      <c r="H29" s="21" t="n">
        <f>0</f>
        <v>0.0</v>
      </c>
      <c r="I29" s="22" t="n">
        <f>0</f>
        <v>0.0</v>
      </c>
      <c r="J29" s="21" t="n">
        <f>0</f>
        <v>0.0</v>
      </c>
      <c r="K29" s="22" t="n">
        <f>0</f>
        <v>0.0</v>
      </c>
      <c r="L29" s="21" t="n">
        <f>0</f>
        <v>0.0</v>
      </c>
      <c r="M29" s="22" t="n">
        <f>0</f>
        <v>0.0</v>
      </c>
      <c r="N29" s="21" t="n">
        <f>0</f>
        <v>0.0</v>
      </c>
      <c r="O29" s="22" t="n">
        <f>0</f>
        <v>0.0</v>
      </c>
    </row>
    <row r="30" spans="1:15" ht="24.9" customHeight="1">
      <c r="A30" s="38"/>
      <c r="B30" s="62"/>
      <c r="C30" s="20" t="s">
        <v>17</v>
      </c>
      <c r="D30" s="21" t="n">
        <f>0</f>
        <v>0.0</v>
      </c>
      <c r="E30" s="36" t="n">
        <f>0</f>
        <v>0.0</v>
      </c>
      <c r="F30" s="21" t="n">
        <f>0</f>
        <v>0.0</v>
      </c>
      <c r="G30" s="36" t="n">
        <f>0</f>
        <v>0.0</v>
      </c>
      <c r="H30" s="21" t="n">
        <f>0</f>
        <v>0.0</v>
      </c>
      <c r="I30" s="36" t="n">
        <f>0</f>
        <v>0.0</v>
      </c>
      <c r="J30" s="21" t="n">
        <f>0</f>
        <v>0.0</v>
      </c>
      <c r="K30" s="36" t="n">
        <f>0</f>
        <v>0.0</v>
      </c>
      <c r="L30" s="21" t="n">
        <f>0</f>
        <v>0.0</v>
      </c>
      <c r="M30" s="36" t="n">
        <f>0</f>
        <v>0.0</v>
      </c>
      <c r="N30" s="21" t="n">
        <f>0</f>
        <v>0.0</v>
      </c>
      <c r="O30" s="36" t="n">
        <f>0</f>
        <v>0.0</v>
      </c>
    </row>
    <row r="31" spans="1:15" ht="24.9" customHeight="1">
      <c r="A31" s="38"/>
      <c r="B31" s="62"/>
      <c r="C31" s="24" t="s">
        <v>18</v>
      </c>
      <c r="D31" s="25" t="n">
        <f>0</f>
        <v>0.0</v>
      </c>
      <c r="E31" s="37" t="n">
        <f>0</f>
        <v>0.0</v>
      </c>
      <c r="F31" s="25" t="n">
        <f>0</f>
        <v>0.0</v>
      </c>
      <c r="G31" s="37" t="n">
        <f>0</f>
        <v>0.0</v>
      </c>
      <c r="H31" s="25" t="n">
        <f>0</f>
        <v>0.0</v>
      </c>
      <c r="I31" s="37" t="n">
        <f>0</f>
        <v>0.0</v>
      </c>
      <c r="J31" s="25" t="n">
        <f>0</f>
        <v>0.0</v>
      </c>
      <c r="K31" s="37" t="n">
        <f>0</f>
        <v>0.0</v>
      </c>
      <c r="L31" s="25" t="n">
        <f>0</f>
        <v>0.0</v>
      </c>
      <c r="M31" s="37" t="n">
        <f>0</f>
        <v>0.0</v>
      </c>
      <c r="N31" s="25" t="n">
        <f>0</f>
        <v>0.0</v>
      </c>
      <c r="O31" s="37" t="n">
        <f>0</f>
        <v>0.0</v>
      </c>
    </row>
    <row r="32" spans="1:15" ht="24.9" customHeight="1">
      <c r="A32" s="38"/>
      <c r="B32" s="61" t="s">
        <v>109</v>
      </c>
      <c r="C32" s="16" t="s">
        <v>15</v>
      </c>
      <c r="D32" s="17" t="n">
        <f>0</f>
        <v>0.0</v>
      </c>
      <c r="E32" s="35" t="n">
        <f>0</f>
        <v>0.0</v>
      </c>
      <c r="F32" s="17" t="n">
        <f>0</f>
        <v>0.0</v>
      </c>
      <c r="G32" s="35" t="n">
        <f>0</f>
        <v>0.0</v>
      </c>
      <c r="H32" s="17" t="n">
        <f>0</f>
        <v>0.0</v>
      </c>
      <c r="I32" s="35" t="n">
        <f>0</f>
        <v>0.0</v>
      </c>
      <c r="J32" s="17" t="n">
        <f>0</f>
        <v>0.0</v>
      </c>
      <c r="K32" s="35" t="n">
        <f>0</f>
        <v>0.0</v>
      </c>
      <c r="L32" s="17" t="n">
        <f>0</f>
        <v>0.0</v>
      </c>
      <c r="M32" s="35" t="n">
        <f>0</f>
        <v>0.0</v>
      </c>
      <c r="N32" s="17" t="n">
        <f>0</f>
        <v>0.0</v>
      </c>
      <c r="O32" s="35" t="n">
        <f>0</f>
        <v>0.0</v>
      </c>
    </row>
    <row r="33" spans="1:15" ht="24.9" customHeight="1">
      <c r="A33" s="38"/>
      <c r="B33" s="62"/>
      <c r="C33" s="20" t="s">
        <v>16</v>
      </c>
      <c r="D33" s="21" t="n">
        <f>0</f>
        <v>0.0</v>
      </c>
      <c r="E33" s="36" t="n">
        <f>0</f>
        <v>0.0</v>
      </c>
      <c r="F33" s="21" t="n">
        <f>0</f>
        <v>0.0</v>
      </c>
      <c r="G33" s="36" t="n">
        <f>0</f>
        <v>0.0</v>
      </c>
      <c r="H33" s="21" t="n">
        <f>0</f>
        <v>0.0</v>
      </c>
      <c r="I33" s="36" t="n">
        <f>0</f>
        <v>0.0</v>
      </c>
      <c r="J33" s="21" t="n">
        <f>0</f>
        <v>0.0</v>
      </c>
      <c r="K33" s="36" t="n">
        <f>0</f>
        <v>0.0</v>
      </c>
      <c r="L33" s="21" t="n">
        <f>0</f>
        <v>0.0</v>
      </c>
      <c r="M33" s="36" t="n">
        <f>0</f>
        <v>0.0</v>
      </c>
      <c r="N33" s="21" t="n">
        <f>0</f>
        <v>0.0</v>
      </c>
      <c r="O33" s="36" t="n">
        <f>0</f>
        <v>0.0</v>
      </c>
    </row>
    <row r="34" spans="1:15" ht="24.9" customHeight="1">
      <c r="A34" s="38"/>
      <c r="B34" s="62"/>
      <c r="C34" s="20" t="s">
        <v>17</v>
      </c>
      <c r="D34" s="21" t="n">
        <f>0</f>
        <v>0.0</v>
      </c>
      <c r="E34" s="36" t="n">
        <f>0</f>
        <v>0.0</v>
      </c>
      <c r="F34" s="21" t="n">
        <f>0</f>
        <v>0.0</v>
      </c>
      <c r="G34" s="36" t="n">
        <f>0</f>
        <v>0.0</v>
      </c>
      <c r="H34" s="21" t="n">
        <f>0</f>
        <v>0.0</v>
      </c>
      <c r="I34" s="36" t="n">
        <f>0</f>
        <v>0.0</v>
      </c>
      <c r="J34" s="21" t="n">
        <f>0</f>
        <v>0.0</v>
      </c>
      <c r="K34" s="36" t="n">
        <f>0</f>
        <v>0.0</v>
      </c>
      <c r="L34" s="21" t="n">
        <f>0</f>
        <v>0.0</v>
      </c>
      <c r="M34" s="36" t="n">
        <f>0</f>
        <v>0.0</v>
      </c>
      <c r="N34" s="21" t="n">
        <f>0</f>
        <v>0.0</v>
      </c>
      <c r="O34" s="36" t="n">
        <f>0</f>
        <v>0.0</v>
      </c>
    </row>
    <row r="35" spans="1:15" ht="24.9" customHeight="1">
      <c r="A35" s="38"/>
      <c r="B35" s="62"/>
      <c r="C35" s="24" t="s">
        <v>18</v>
      </c>
      <c r="D35" s="25" t="n">
        <f>0</f>
        <v>0.0</v>
      </c>
      <c r="E35" s="37" t="n">
        <f>0</f>
        <v>0.0</v>
      </c>
      <c r="F35" s="25" t="n">
        <f>0</f>
        <v>0.0</v>
      </c>
      <c r="G35" s="37" t="n">
        <f>0</f>
        <v>0.0</v>
      </c>
      <c r="H35" s="25" t="n">
        <f>0</f>
        <v>0.0</v>
      </c>
      <c r="I35" s="37" t="n">
        <f>0</f>
        <v>0.0</v>
      </c>
      <c r="J35" s="25" t="n">
        <f>0</f>
        <v>0.0</v>
      </c>
      <c r="K35" s="37" t="n">
        <f>0</f>
        <v>0.0</v>
      </c>
      <c r="L35" s="25" t="n">
        <f>0</f>
        <v>0.0</v>
      </c>
      <c r="M35" s="37" t="n">
        <f>0</f>
        <v>0.0</v>
      </c>
      <c r="N35" s="25" t="n">
        <f>0</f>
        <v>0.0</v>
      </c>
      <c r="O35" s="37" t="n">
        <f>0</f>
        <v>0.0</v>
      </c>
    </row>
    <row r="36" spans="1:15" ht="24.9" customHeight="1">
      <c r="A36" s="38"/>
      <c r="B36" s="61" t="s">
        <v>110</v>
      </c>
      <c r="C36" s="16" t="s">
        <v>15</v>
      </c>
      <c r="D36" s="17" t="n">
        <f>0</f>
        <v>0.0</v>
      </c>
      <c r="E36" s="18" t="n">
        <f>0</f>
        <v>0.0</v>
      </c>
      <c r="F36" s="17" t="n">
        <f>25</f>
        <v>25.0</v>
      </c>
      <c r="G36" s="18" t="n">
        <f>0</f>
        <v>0.0</v>
      </c>
      <c r="H36" s="17" t="n">
        <f>25</f>
        <v>25.0</v>
      </c>
      <c r="I36" s="18" t="n">
        <f>0</f>
        <v>0.0</v>
      </c>
      <c r="J36" s="17" t="n">
        <f>0</f>
        <v>0.0</v>
      </c>
      <c r="K36" s="18" t="n">
        <f>0</f>
        <v>0.0</v>
      </c>
      <c r="L36" s="17" t="n">
        <f>9000000</f>
        <v>9000000.0</v>
      </c>
      <c r="M36" s="18" t="n">
        <f>0</f>
        <v>0.0</v>
      </c>
      <c r="N36" s="17" t="n">
        <f>9000000</f>
        <v>9000000.0</v>
      </c>
      <c r="O36" s="18" t="n">
        <f>0</f>
        <v>0.0</v>
      </c>
    </row>
    <row r="37" spans="1:15" ht="24.9" customHeight="1">
      <c r="A37" s="38"/>
      <c r="B37" s="62"/>
      <c r="C37" s="20" t="s">
        <v>16</v>
      </c>
      <c r="D37" s="21" t="n">
        <f>110</f>
        <v>110.0</v>
      </c>
      <c r="E37" s="22" t="n">
        <f>100</f>
        <v>100.0</v>
      </c>
      <c r="F37" s="21" t="n">
        <f>101</f>
        <v>101.0</v>
      </c>
      <c r="G37" s="22" t="n">
        <f>100</f>
        <v>100.0</v>
      </c>
      <c r="H37" s="21" t="n">
        <f>211</f>
        <v>211.0</v>
      </c>
      <c r="I37" s="22" t="n">
        <f>200</f>
        <v>200.0</v>
      </c>
      <c r="J37" s="21" t="n">
        <f>16700000</f>
        <v>1.67E7</v>
      </c>
      <c r="K37" s="22" t="n">
        <f>14500000</f>
        <v>1.45E7</v>
      </c>
      <c r="L37" s="21" t="n">
        <f>10240000</f>
        <v>1.024E7</v>
      </c>
      <c r="M37" s="22" t="n">
        <f>10000000</f>
        <v>1.0E7</v>
      </c>
      <c r="N37" s="21" t="n">
        <f>26940000</f>
        <v>2.694E7</v>
      </c>
      <c r="O37" s="22" t="n">
        <f>24500000</f>
        <v>2.45E7</v>
      </c>
    </row>
    <row r="38" spans="1:15" ht="24.9" customHeight="1">
      <c r="A38" s="38"/>
      <c r="B38" s="62"/>
      <c r="C38" s="20" t="s">
        <v>17</v>
      </c>
      <c r="D38" s="21" t="n">
        <f>100</f>
        <v>100.0</v>
      </c>
      <c r="E38" s="36" t="n">
        <f>0</f>
        <v>0.0</v>
      </c>
      <c r="F38" s="21" t="n">
        <f>1</f>
        <v>1.0</v>
      </c>
      <c r="G38" s="36" t="n">
        <f>0</f>
        <v>0.0</v>
      </c>
      <c r="H38" s="21" t="n">
        <f>101</f>
        <v>101.0</v>
      </c>
      <c r="I38" s="36" t="n">
        <f>0</f>
        <v>0.0</v>
      </c>
      <c r="J38" s="21" t="n">
        <f>13300000</f>
        <v>1.33E7</v>
      </c>
      <c r="K38" s="36" t="n">
        <f>0</f>
        <v>0.0</v>
      </c>
      <c r="L38" s="21" t="n">
        <f>180000</f>
        <v>180000.0</v>
      </c>
      <c r="M38" s="36" t="n">
        <f>0</f>
        <v>0.0</v>
      </c>
      <c r="N38" s="21" t="n">
        <f>13480000</f>
        <v>1.348E7</v>
      </c>
      <c r="O38" s="36" t="n">
        <f>0</f>
        <v>0.0</v>
      </c>
    </row>
    <row r="39" spans="1:15" ht="24.9" customHeight="1">
      <c r="A39" s="38"/>
      <c r="B39" s="62"/>
      <c r="C39" s="24" t="s">
        <v>18</v>
      </c>
      <c r="D39" s="25" t="n">
        <f>210</f>
        <v>210.0</v>
      </c>
      <c r="E39" s="37" t="n">
        <f>100</f>
        <v>100.0</v>
      </c>
      <c r="F39" s="25" t="n">
        <f>127</f>
        <v>127.0</v>
      </c>
      <c r="G39" s="37" t="n">
        <f>100</f>
        <v>100.0</v>
      </c>
      <c r="H39" s="25" t="n">
        <f>337</f>
        <v>337.0</v>
      </c>
      <c r="I39" s="37" t="n">
        <f>200</f>
        <v>200.0</v>
      </c>
      <c r="J39" s="25" t="n">
        <f>30000000</f>
        <v>3.0E7</v>
      </c>
      <c r="K39" s="37" t="n">
        <f>14500000</f>
        <v>1.45E7</v>
      </c>
      <c r="L39" s="25" t="n">
        <f>19420000</f>
        <v>1.942E7</v>
      </c>
      <c r="M39" s="37" t="n">
        <f>10000000</f>
        <v>1.0E7</v>
      </c>
      <c r="N39" s="25" t="n">
        <f>49420000</f>
        <v>4.942E7</v>
      </c>
      <c r="O39" s="37" t="n">
        <f>24500000</f>
        <v>2.45E7</v>
      </c>
    </row>
    <row r="40" spans="1:15" ht="24.9" customHeight="1">
      <c r="A40" s="38"/>
      <c r="B40" s="61" t="s">
        <v>111</v>
      </c>
      <c r="C40" s="16" t="s">
        <v>15</v>
      </c>
      <c r="D40" s="17" t="str">
        <f>"－"</f>
        <v>－</v>
      </c>
      <c r="E40" s="35" t="str">
        <f>"－"</f>
        <v>－</v>
      </c>
      <c r="F40" s="17" t="str">
        <f>"－"</f>
        <v>－</v>
      </c>
      <c r="G40" s="35" t="str">
        <f>"－"</f>
        <v>－</v>
      </c>
      <c r="H40" s="17" t="str">
        <f>"－"</f>
        <v>－</v>
      </c>
      <c r="I40" s="35" t="str">
        <f>"－"</f>
        <v>－</v>
      </c>
      <c r="J40" s="17" t="str">
        <f>"－"</f>
        <v>－</v>
      </c>
      <c r="K40" s="35" t="str">
        <f>"－"</f>
        <v>－</v>
      </c>
      <c r="L40" s="17" t="str">
        <f>"－"</f>
        <v>－</v>
      </c>
      <c r="M40" s="35" t="str">
        <f>"－"</f>
        <v>－</v>
      </c>
      <c r="N40" s="17" t="str">
        <f>"－"</f>
        <v>－</v>
      </c>
      <c r="O40" s="35" t="str">
        <f>"－"</f>
        <v>－</v>
      </c>
    </row>
    <row r="41" spans="1:15" ht="24.9" customHeight="1">
      <c r="A41" s="38"/>
      <c r="B41" s="62"/>
      <c r="C41" s="20" t="s">
        <v>16</v>
      </c>
      <c r="D41" s="21" t="n">
        <f>4006</f>
        <v>4006.0</v>
      </c>
      <c r="E41" s="36" t="n">
        <f>630</f>
        <v>630.0</v>
      </c>
      <c r="F41" s="21" t="n">
        <f>4640</f>
        <v>4640.0</v>
      </c>
      <c r="G41" s="36" t="n">
        <f>0</f>
        <v>0.0</v>
      </c>
      <c r="H41" s="21" t="n">
        <f>8646</f>
        <v>8646.0</v>
      </c>
      <c r="I41" s="36" t="n">
        <f>630</f>
        <v>630.0</v>
      </c>
      <c r="J41" s="21" t="n">
        <f>65170076</f>
        <v>6.5170076E7</v>
      </c>
      <c r="K41" s="36" t="n">
        <f>38115000</f>
        <v>3.8115E7</v>
      </c>
      <c r="L41" s="21" t="n">
        <f>25446455</f>
        <v>2.5446455E7</v>
      </c>
      <c r="M41" s="36" t="n">
        <f>0</f>
        <v>0.0</v>
      </c>
      <c r="N41" s="21" t="n">
        <f>90616531</f>
        <v>9.0616531E7</v>
      </c>
      <c r="O41" s="36" t="n">
        <f>38115000</f>
        <v>3.8115E7</v>
      </c>
    </row>
    <row r="42" spans="1:15" ht="24.9" customHeight="1">
      <c r="A42" s="38"/>
      <c r="B42" s="62"/>
      <c r="C42" s="20" t="s">
        <v>17</v>
      </c>
      <c r="D42" s="21" t="n">
        <f>2068</f>
        <v>2068.0</v>
      </c>
      <c r="E42" s="36" t="n">
        <f>1600</f>
        <v>1600.0</v>
      </c>
      <c r="F42" s="21" t="n">
        <f>4246</f>
        <v>4246.0</v>
      </c>
      <c r="G42" s="36" t="n">
        <f>2600</f>
        <v>2600.0</v>
      </c>
      <c r="H42" s="21" t="n">
        <f>6314</f>
        <v>6314.0</v>
      </c>
      <c r="I42" s="36" t="n">
        <f>4200</f>
        <v>4200.0</v>
      </c>
      <c r="J42" s="21" t="n">
        <f>80279610</f>
        <v>8.027961E7</v>
      </c>
      <c r="K42" s="36" t="n">
        <f>72300000</f>
        <v>7.23E7</v>
      </c>
      <c r="L42" s="21" t="n">
        <f>138812936</f>
        <v>1.38812936E8</v>
      </c>
      <c r="M42" s="36" t="n">
        <f>113200000</f>
        <v>1.132E8</v>
      </c>
      <c r="N42" s="21" t="n">
        <f>219092546</f>
        <v>2.19092546E8</v>
      </c>
      <c r="O42" s="36" t="n">
        <f>185500000</f>
        <v>1.855E8</v>
      </c>
    </row>
    <row r="43" spans="1:15" ht="24.9" customHeight="1">
      <c r="A43" s="38"/>
      <c r="B43" s="62"/>
      <c r="C43" s="24" t="s">
        <v>18</v>
      </c>
      <c r="D43" s="25" t="n">
        <f>6074</f>
        <v>6074.0</v>
      </c>
      <c r="E43" s="37" t="n">
        <f>2230</f>
        <v>2230.0</v>
      </c>
      <c r="F43" s="25" t="n">
        <f>8886</f>
        <v>8886.0</v>
      </c>
      <c r="G43" s="37" t="n">
        <f>2600</f>
        <v>2600.0</v>
      </c>
      <c r="H43" s="25" t="n">
        <f>14960</f>
        <v>14960.0</v>
      </c>
      <c r="I43" s="37" t="n">
        <f>4830</f>
        <v>4830.0</v>
      </c>
      <c r="J43" s="25" t="n">
        <f>145449686</f>
        <v>1.45449686E8</v>
      </c>
      <c r="K43" s="37" t="n">
        <f>110415000</f>
        <v>1.10415E8</v>
      </c>
      <c r="L43" s="25" t="n">
        <f>164259391</f>
        <v>1.64259391E8</v>
      </c>
      <c r="M43" s="37" t="n">
        <f>113200000</f>
        <v>1.132E8</v>
      </c>
      <c r="N43" s="25" t="n">
        <f>309709077</f>
        <v>3.09709077E8</v>
      </c>
      <c r="O43" s="37" t="n">
        <f>223615000</f>
        <v>2.23615E8</v>
      </c>
    </row>
    <row r="44" spans="1:15" ht="24.9" customHeight="1">
      <c r="A44" s="38"/>
      <c r="B44" s="39" t="s">
        <v>112</v>
      </c>
      <c r="C44" s="16" t="s">
        <v>15</v>
      </c>
      <c r="D44" s="17" t="n">
        <f>0</f>
        <v>0.0</v>
      </c>
      <c r="E44" s="35" t="n">
        <f>0</f>
        <v>0.0</v>
      </c>
      <c r="F44" s="17" t="n">
        <f>0</f>
        <v>0.0</v>
      </c>
      <c r="G44" s="35" t="n">
        <f>0</f>
        <v>0.0</v>
      </c>
      <c r="H44" s="17" t="n">
        <f>0</f>
        <v>0.0</v>
      </c>
      <c r="I44" s="35" t="n">
        <f>0</f>
        <v>0.0</v>
      </c>
      <c r="J44" s="17" t="n">
        <f>0</f>
        <v>0.0</v>
      </c>
      <c r="K44" s="35" t="n">
        <f>0</f>
        <v>0.0</v>
      </c>
      <c r="L44" s="17" t="n">
        <f>0</f>
        <v>0.0</v>
      </c>
      <c r="M44" s="35" t="n">
        <f>0</f>
        <v>0.0</v>
      </c>
      <c r="N44" s="17" t="n">
        <f>0</f>
        <v>0.0</v>
      </c>
      <c r="O44" s="35" t="n">
        <f>0</f>
        <v>0.0</v>
      </c>
    </row>
    <row r="45" spans="1:15" ht="24.9" customHeight="1">
      <c r="A45" s="38"/>
      <c r="B45" s="39"/>
      <c r="C45" s="20" t="s">
        <v>16</v>
      </c>
      <c r="D45" s="21" t="n">
        <f>0</f>
        <v>0.0</v>
      </c>
      <c r="E45" s="36" t="n">
        <f>0</f>
        <v>0.0</v>
      </c>
      <c r="F45" s="21" t="n">
        <f>0</f>
        <v>0.0</v>
      </c>
      <c r="G45" s="36" t="n">
        <f>0</f>
        <v>0.0</v>
      </c>
      <c r="H45" s="21" t="n">
        <f>0</f>
        <v>0.0</v>
      </c>
      <c r="I45" s="36" t="n">
        <f>0</f>
        <v>0.0</v>
      </c>
      <c r="J45" s="21" t="n">
        <f>0</f>
        <v>0.0</v>
      </c>
      <c r="K45" s="36" t="n">
        <f>0</f>
        <v>0.0</v>
      </c>
      <c r="L45" s="21" t="n">
        <f>0</f>
        <v>0.0</v>
      </c>
      <c r="M45" s="36" t="n">
        <f>0</f>
        <v>0.0</v>
      </c>
      <c r="N45" s="21" t="n">
        <f>0</f>
        <v>0.0</v>
      </c>
      <c r="O45" s="36" t="n">
        <f>0</f>
        <v>0.0</v>
      </c>
    </row>
    <row r="46" spans="1:15" ht="24.9" customHeight="1">
      <c r="A46" s="38"/>
      <c r="B46" s="39"/>
      <c r="C46" s="20" t="s">
        <v>17</v>
      </c>
      <c r="D46" s="21" t="n">
        <f>0</f>
        <v>0.0</v>
      </c>
      <c r="E46" s="36" t="n">
        <f>0</f>
        <v>0.0</v>
      </c>
      <c r="F46" s="21" t="n">
        <f>0</f>
        <v>0.0</v>
      </c>
      <c r="G46" s="36" t="n">
        <f>0</f>
        <v>0.0</v>
      </c>
      <c r="H46" s="21" t="n">
        <f>0</f>
        <v>0.0</v>
      </c>
      <c r="I46" s="36" t="n">
        <f>0</f>
        <v>0.0</v>
      </c>
      <c r="J46" s="21" t="n">
        <f>0</f>
        <v>0.0</v>
      </c>
      <c r="K46" s="36" t="n">
        <f>0</f>
        <v>0.0</v>
      </c>
      <c r="L46" s="21" t="n">
        <f>0</f>
        <v>0.0</v>
      </c>
      <c r="M46" s="36" t="n">
        <f>0</f>
        <v>0.0</v>
      </c>
      <c r="N46" s="21" t="n">
        <f>0</f>
        <v>0.0</v>
      </c>
      <c r="O46" s="36" t="n">
        <f>0</f>
        <v>0.0</v>
      </c>
    </row>
    <row r="47" spans="1:15" ht="24.9" customHeight="1">
      <c r="A47" s="38"/>
      <c r="B47" s="39"/>
      <c r="C47" s="24" t="s">
        <v>18</v>
      </c>
      <c r="D47" s="25" t="n">
        <f>0</f>
        <v>0.0</v>
      </c>
      <c r="E47" s="37" t="n">
        <f>0</f>
        <v>0.0</v>
      </c>
      <c r="F47" s="25" t="n">
        <f>0</f>
        <v>0.0</v>
      </c>
      <c r="G47" s="37" t="n">
        <f>0</f>
        <v>0.0</v>
      </c>
      <c r="H47" s="25" t="n">
        <f>0</f>
        <v>0.0</v>
      </c>
      <c r="I47" s="37" t="n">
        <f>0</f>
        <v>0.0</v>
      </c>
      <c r="J47" s="25" t="n">
        <f>0</f>
        <v>0.0</v>
      </c>
      <c r="K47" s="37" t="n">
        <f>0</f>
        <v>0.0</v>
      </c>
      <c r="L47" s="25" t="n">
        <f>0</f>
        <v>0.0</v>
      </c>
      <c r="M47" s="37" t="n">
        <f>0</f>
        <v>0.0</v>
      </c>
      <c r="N47" s="25" t="n">
        <f>0</f>
        <v>0.0</v>
      </c>
      <c r="O47" s="37" t="n">
        <f>0</f>
        <v>0.0</v>
      </c>
    </row>
  </sheetData>
  <mergeCells count="22"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0dcd7a5e-3c6b-42e7-9601-af5c51224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2025-08-05T03:55:45Z</cp:lastPrinted>
  <dcterms:modified xsi:type="dcterms:W3CDTF">2025-10-22T02:03:02Z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