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ms-office.classificationlabels+xml" PartName="/docMetadata/LabelInfo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Metadata/LabelInfo.xml" Type="http://schemas.microsoft.com/office/2020/02/relationships/classificationlabels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Relationship Id="rId5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>
    <mc:Choice Requires="x15">
      <x15ac:absPath xmlns:x15ac="http://schemas.microsoft.com/office/spreadsheetml/2010/11/ac" url="\\jpx-fs\josys\55_J-LAKE\40_追加開発\045_2026年４月（デリバ商品追加）\040_詳細設計・製造\02_製造\020_セルフチェックエビデンス\BO_DD0033_JPX市況作成（日通し）\新規作成\"/>
    </mc:Choice>
  </mc:AlternateContent>
  <bookViews>
    <workbookView xWindow="28680" yWindow="-120" windowWidth="29040" windowHeight="15720" tabRatio="790" xr2:uid="{302A4A1C-C265-43BD-85EE-BD74323A652E}" activeTab="0"/>
  </bookViews>
  <sheets>
    <sheet name="summary_data_Futures" sheetId="41" r:id="rId1"/>
    <sheet name="summary_data_OP" sheetId="42" r:id="rId2"/>
    <sheet name="market_data_Futures" sheetId="43" r:id="rId3"/>
    <sheet name="market_data_OP" sheetId="44" r:id="rId4"/>
  </sheets>
  <definedNames>
    <definedName name="_xlnm.Print_Area" localSheetId="2">market_data_Futures!$A$1:$H$283</definedName>
    <definedName name="_xlnm.Print_Area" localSheetId="3">market_data_OP!$A$1:$O$47</definedName>
    <definedName name="_xlnm.Print_Area" localSheetId="0">summary_data_Futures!$A$1:$I$31</definedName>
    <definedName name="_xlnm.Print_Area" localSheetId="1">summary_data_OP!$A$1:$I$30</definedName>
    <definedName name="_xlnm.Print_Titles" localSheetId="2">market_data_Futures!$1:$11</definedName>
    <definedName name="_xlnm.Print_Titles" localSheetId="3">market_data_OP!$1:$11</definedName>
    <definedName name="_xlnm.Print_Titles" localSheetId="0">summary_data_Futures!$1:$11</definedName>
    <definedName name="_xlnm.Print_Titles" localSheetId="1">summary_data_OP!$1:$10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42" l="1"/>
  <c r="A3" i="42"/>
  <c r="A4" i="44" l="1"/>
  <c r="A3" i="44"/>
  <c r="A4" i="43"/>
  <c r="A3" i="43"/>
</calcChain>
</file>

<file path=xl/sharedStrings.xml><?xml version="1.0" encoding="utf-8"?>
<sst xmlns="http://schemas.openxmlformats.org/spreadsheetml/2006/main" count="528" uniqueCount="129">
  <si>
    <t>場区分</t>
    <rPh sb="0" eb="1">
      <t>バ</t>
    </rPh>
    <rPh sb="1" eb="3">
      <t>クブン</t>
    </rPh>
    <phoneticPr fontId="10"/>
  </si>
  <si>
    <t>JPXデリバティブ取引市況(概要_先物取引)</t>
    <rPh sb="17" eb="21">
      <t>サキモノトリヒキ</t>
    </rPh>
    <phoneticPr fontId="95"/>
  </si>
  <si>
    <t>JPX Derivatives Market Report</t>
    <phoneticPr fontId="95"/>
  </si>
  <si>
    <t>（注）「総取引高」は立会取引及びJ-NET(商品先物(TOCOM)は立会外。以下同じ。)の合計、「うち立会外」はJ-NET分を内数表示。取引高、取引金額はストラテジー取引を含む。</t>
    <rPh sb="4" eb="5">
      <t>ソウ</t>
    </rPh>
    <rPh sb="5" eb="7">
      <t>トリヒキ</t>
    </rPh>
    <rPh sb="7" eb="8">
      <t>ダカ</t>
    </rPh>
    <rPh sb="51" eb="53">
      <t>タチアイ</t>
    </rPh>
    <rPh sb="53" eb="54">
      <t>ガイ</t>
    </rPh>
    <rPh sb="74" eb="76">
      <t>キンガク</t>
    </rPh>
    <phoneticPr fontId="95"/>
  </si>
  <si>
    <t>NOTE:　Total : Total of Auction and J-NET Market (Off-floor Trading for TOCOM Commodity Futures)</t>
    <phoneticPr fontId="10"/>
  </si>
  <si>
    <t xml:space="preserve">         　J-NET : J-NET Market (Off-floor Trading for TOCOM Commodity Futures) indicated in parentheses</t>
    <phoneticPr fontId="10"/>
  </si>
  <si>
    <t xml:space="preserve">         　Trading Volume and Value includes Strategy Trades.</t>
    <phoneticPr fontId="10"/>
  </si>
  <si>
    <t>商品名</t>
    <rPh sb="0" eb="3">
      <t>ショウヒンメイ</t>
    </rPh>
    <phoneticPr fontId="10"/>
  </si>
  <si>
    <t>取引高　（単位）　Trading Volume (unit)</t>
    <phoneticPr fontId="95"/>
  </si>
  <si>
    <t>全体に占める比率
Market share of Total Volume</t>
    <phoneticPr fontId="95"/>
  </si>
  <si>
    <t>取引金額　（円）　Trading Value (￥)</t>
    <phoneticPr fontId="95"/>
  </si>
  <si>
    <t>Products</t>
    <phoneticPr fontId="95"/>
  </si>
  <si>
    <t>Session</t>
    <phoneticPr fontId="95"/>
  </si>
  <si>
    <t>JPX</t>
    <phoneticPr fontId="10"/>
  </si>
  <si>
    <t>JPX先物合計
JPX Futures Total</t>
    <rPh sb="3" eb="5">
      <t>サキモノ</t>
    </rPh>
    <rPh sb="5" eb="7">
      <t>ゴウケイ</t>
    </rPh>
    <phoneticPr fontId="10"/>
  </si>
  <si>
    <t>夜間 Night</t>
    <phoneticPr fontId="95"/>
  </si>
  <si>
    <t xml:space="preserve">前場 Morning </t>
    <rPh sb="0" eb="1">
      <t>ゼンバ</t>
    </rPh>
    <phoneticPr fontId="10"/>
  </si>
  <si>
    <t>後場 Afternoon</t>
    <rPh sb="0" eb="1">
      <t>ゴバ</t>
    </rPh>
    <phoneticPr fontId="10"/>
  </si>
  <si>
    <t>合計 Total</t>
    <rPh sb="0" eb="1">
      <t>ゴウケイ</t>
    </rPh>
    <phoneticPr fontId="10"/>
  </si>
  <si>
    <t>OSE</t>
    <phoneticPr fontId="95"/>
  </si>
  <si>
    <t>国債先物・金利先物
JGB・Interest Rate Futures</t>
    <phoneticPr fontId="10"/>
  </si>
  <si>
    <t>指数先物
Index Futures</t>
    <phoneticPr fontId="10"/>
  </si>
  <si>
    <t>商品先物(OSE)
OSE Commodity Futures</t>
    <phoneticPr fontId="10"/>
  </si>
  <si>
    <t>TOCOM</t>
    <phoneticPr fontId="10"/>
  </si>
  <si>
    <t>商品先物(TOCOM)
TOCOM Commodity Futures</t>
    <phoneticPr fontId="10"/>
  </si>
  <si>
    <t>JPXデリバティブ取引市況(概要_オプション取引)</t>
    <rPh sb="22" eb="24">
      <t>トリヒキ</t>
    </rPh>
    <phoneticPr fontId="95"/>
  </si>
  <si>
    <t>（注）「総取引高」は立会取引及びJ-NETの合計、「うち立会外」はJ-NET分を内数表示。</t>
    <rPh sb="4" eb="5">
      <t>ソウ</t>
    </rPh>
    <rPh sb="5" eb="7">
      <t>トリヒキ</t>
    </rPh>
    <rPh sb="7" eb="8">
      <t>ダカ</t>
    </rPh>
    <rPh sb="28" eb="30">
      <t>タチアイ</t>
    </rPh>
    <rPh sb="30" eb="31">
      <t>ガイ</t>
    </rPh>
    <phoneticPr fontId="95"/>
  </si>
  <si>
    <t>NOTE:　Total : Total of Auction and J-NET Market.</t>
    <phoneticPr fontId="10"/>
  </si>
  <si>
    <t xml:space="preserve">         　J-NET : J-NET Market indicated in parentheses</t>
    <phoneticPr fontId="10"/>
  </si>
  <si>
    <t>JPXオプション合計
JPX Options Total</t>
    <phoneticPr fontId="10"/>
  </si>
  <si>
    <t>国債先物オプション
Options on 10-year JGB Futures</t>
    <phoneticPr fontId="10"/>
  </si>
  <si>
    <t>指数オプション
Index Options</t>
    <phoneticPr fontId="10"/>
  </si>
  <si>
    <t>有価証券オプション
Securities Options</t>
    <phoneticPr fontId="10"/>
  </si>
  <si>
    <t>商品先物オプション(OSE)
OSE Commodity Options</t>
    <phoneticPr fontId="10"/>
  </si>
  <si>
    <t>JPXデリバティブ取引市況(先物取引)</t>
    <rPh sb="14" eb="18">
      <t>サキモノトリヒキ</t>
    </rPh>
    <phoneticPr fontId="95"/>
  </si>
  <si>
    <t>（注）「総取引高」は立会取引及びJ-NET(商品先物(TOCOM)は立会外。以下同じ。)の合計、「うち立会外」はJ-NET分を内数表示。取引高、取引代金はストラテジー取引を含む。</t>
    <rPh sb="4" eb="5">
      <t>ソウ</t>
    </rPh>
    <rPh sb="5" eb="7">
      <t>トリヒキ</t>
    </rPh>
    <rPh sb="7" eb="8">
      <t>ダカ</t>
    </rPh>
    <rPh sb="51" eb="53">
      <t>タチアイ</t>
    </rPh>
    <rPh sb="53" eb="54">
      <t>ガイ</t>
    </rPh>
    <phoneticPr fontId="95"/>
  </si>
  <si>
    <t>指数先物
Index Futures</t>
    <rPh sb="0" eb="2">
      <t>シスウ</t>
    </rPh>
    <rPh sb="2" eb="4">
      <t>サキモノ</t>
    </rPh>
    <phoneticPr fontId="10"/>
  </si>
  <si>
    <t>日経225先物
Nikkei 225 Futures</t>
    <phoneticPr fontId="95"/>
  </si>
  <si>
    <t>日経225mini
Nikkei 225 mini</t>
  </si>
  <si>
    <t>日経225マイクロ先物
Nikkei 225 Micro Futures</t>
    <phoneticPr fontId="95"/>
  </si>
  <si>
    <t>TOPIX
TOPIX Futures</t>
  </si>
  <si>
    <t>ミニTOPIX
mini-TOPIX Futures</t>
  </si>
  <si>
    <t>JPXプライム150指数先物
JPX Prime 150 Index Futures</t>
  </si>
  <si>
    <t>JPX日経インデックス400先物
JPX-Nikkei Index 400 Futures</t>
    <phoneticPr fontId="95"/>
  </si>
  <si>
    <t>TOPIX Core30先物
TOPIX Core30 Futures</t>
    <phoneticPr fontId="95"/>
  </si>
  <si>
    <t>東証銀行業株価指数先物
TOPIX Banks Index Futures</t>
    <phoneticPr fontId="95"/>
  </si>
  <si>
    <t>東証REIT指数先物
TSE REIT Index Futures</t>
    <phoneticPr fontId="95"/>
  </si>
  <si>
    <t>RNプライム指数先物
RN Prime Index Futures</t>
    <phoneticPr fontId="95"/>
  </si>
  <si>
    <t>東証グロース市場250指数先物
TSE Growth Market 250 Index Futures</t>
    <phoneticPr fontId="95"/>
  </si>
  <si>
    <t>NYダウ先物
DJIA Futures</t>
    <phoneticPr fontId="95"/>
  </si>
  <si>
    <t>台湾加権指数先物
TAIEX Futures</t>
    <rPh sb="0" eb="2">
      <t>タイワン</t>
    </rPh>
    <rPh sb="2" eb="3">
      <t>カ</t>
    </rPh>
    <rPh sb="3" eb="4">
      <t>ケン</t>
    </rPh>
    <rPh sb="4" eb="6">
      <t>シスウ</t>
    </rPh>
    <rPh sb="6" eb="8">
      <t>サキモノ</t>
    </rPh>
    <phoneticPr fontId="95"/>
  </si>
  <si>
    <t>FTSE中国50指数先物
FTSE China 50 Index Futures</t>
    <phoneticPr fontId="95"/>
  </si>
  <si>
    <t>日経平均・配当指数先物
Nikkei 225 Dividend Index Futures</t>
    <phoneticPr fontId="95"/>
  </si>
  <si>
    <t>日経平均VI先物
Nikkei 225 VI Futures</t>
    <phoneticPr fontId="95"/>
  </si>
  <si>
    <t>S&amp;P/JPX 500 ESGスコア・ティルト指数先物
S&amp;P/JPX 500 ESG Score Tilted Index Futures</t>
    <phoneticPr fontId="95"/>
  </si>
  <si>
    <t>FTSE JPXネットゼロ・ジャパン500指数先物
FTSE JPX Net Zero Japan 500 Index Futures</t>
    <phoneticPr fontId="95"/>
  </si>
  <si>
    <t>日経気候変動指数先物
Nikkei Climate 1.5C Target Index Futures</t>
    <phoneticPr fontId="95"/>
  </si>
  <si>
    <t>国債先物
JGB　Futures</t>
    <phoneticPr fontId="95"/>
  </si>
  <si>
    <t>中期国債先物
5-year JGB Futures</t>
    <phoneticPr fontId="95"/>
  </si>
  <si>
    <t>長期国債先物
10-year JGB Futures</t>
    <phoneticPr fontId="95"/>
  </si>
  <si>
    <t>長期国債先物（現金決済型ミニ）
mini-10-year JGB Futures (Cash-Settled)</t>
    <phoneticPr fontId="95"/>
  </si>
  <si>
    <t>超長期国債先物（ミニ）
mini-20-year JGB Futures</t>
    <phoneticPr fontId="95"/>
  </si>
  <si>
    <t>金利先物
Interest Rate Futures</t>
    <phoneticPr fontId="95"/>
  </si>
  <si>
    <t>TONA3か月金利先物
3-Month TONA Futures</t>
    <phoneticPr fontId="95"/>
  </si>
  <si>
    <t>商品先物
Commodity Futures</t>
    <rPh sb="0" eb="4">
      <t>ショウヒンサキモノ</t>
    </rPh>
    <phoneticPr fontId="10"/>
  </si>
  <si>
    <t>金標準先物
Gold Standard Futures</t>
    <phoneticPr fontId="95"/>
  </si>
  <si>
    <t>金ミニ先物
Gold Mini Futures</t>
    <phoneticPr fontId="95"/>
  </si>
  <si>
    <t>金限日先物
Gold Rolling-Spot Futures</t>
    <phoneticPr fontId="95"/>
  </si>
  <si>
    <t>銀先物
Silver Futures</t>
    <phoneticPr fontId="95"/>
  </si>
  <si>
    <t>白金標準先物
Platinum Standard Futures</t>
    <phoneticPr fontId="95"/>
  </si>
  <si>
    <t>白金ミニ先物
Platinum Mini Futures</t>
    <phoneticPr fontId="95"/>
  </si>
  <si>
    <t>白金限日先物
Platinum Rolling-Spot Futures</t>
    <phoneticPr fontId="95"/>
  </si>
  <si>
    <t>パラジウム先物
Palladium Futures</t>
    <phoneticPr fontId="95"/>
  </si>
  <si>
    <t>CME原油等指数先物
CME Petroleum Index Futures</t>
    <phoneticPr fontId="95"/>
  </si>
  <si>
    <t>ゴム（RSS3）先物
RSS3 Rubber Futures</t>
    <phoneticPr fontId="95"/>
  </si>
  <si>
    <t>ゴム（TSR20）先物
TSR20 Rubber Futures</t>
    <phoneticPr fontId="95"/>
  </si>
  <si>
    <t>とうもろこし先物
Corn Futures</t>
    <phoneticPr fontId="95"/>
  </si>
  <si>
    <t>一般大豆先物
Soybean Futures</t>
    <phoneticPr fontId="95"/>
  </si>
  <si>
    <t>小豆先物
Azuki (Red Bean) Futures</t>
    <phoneticPr fontId="95"/>
  </si>
  <si>
    <t>TOCOM</t>
    <phoneticPr fontId="95"/>
  </si>
  <si>
    <t>商品先物
Commodity Futures</t>
    <phoneticPr fontId="95"/>
  </si>
  <si>
    <t>バージガソリン先物
Gasoline Futures</t>
    <phoneticPr fontId="95"/>
  </si>
  <si>
    <t>バージ灯油先物
Kerosene Futures</t>
    <phoneticPr fontId="95"/>
  </si>
  <si>
    <t>バージ軽油先物
Gas Oil Futures</t>
    <phoneticPr fontId="95"/>
  </si>
  <si>
    <t>プラッツドバイ原油先物
Platts Dubai Crude Oil Futures</t>
    <phoneticPr fontId="95"/>
  </si>
  <si>
    <t>東エリア・ベースロード電力先物
East Area Baseload Electricity Futures</t>
    <phoneticPr fontId="95"/>
  </si>
  <si>
    <t>西エリア・ベースロード電力先物
West Area Baseload Electricity Futures</t>
    <phoneticPr fontId="95"/>
  </si>
  <si>
    <t>東エリア・日中ロード電力先物
East Area Peakload Electricity Futures</t>
    <phoneticPr fontId="95"/>
  </si>
  <si>
    <t>西エリア・日中ロード電力先物
West Area Peakload Electricity Futures</t>
    <phoneticPr fontId="95"/>
  </si>
  <si>
    <t>東エリア・週間ベースロード電力先物
East Area Baseload Electricity Futures
(Weekly)</t>
    <phoneticPr fontId="95"/>
  </si>
  <si>
    <t>西エリア・週間ベースロード電力先物
West Area Baseload Electricity Futures
(Weekly)</t>
    <phoneticPr fontId="95"/>
  </si>
  <si>
    <t>東エリア・週間日中ロード電力先物
East Area Peakload Electricity Futures
(Weekly)</t>
    <phoneticPr fontId="95"/>
  </si>
  <si>
    <t>西エリア・週間日中ロード電力先物
West Area Peakload Electricity Futures
(Weekly)</t>
    <phoneticPr fontId="10"/>
  </si>
  <si>
    <t>LNG（プラッツJKM）先物
LNG (Platts　JKM) Futures</t>
    <phoneticPr fontId="95"/>
  </si>
  <si>
    <t>中京ローリーガソリン先物
Chukyo Gasoline Futures</t>
    <phoneticPr fontId="95"/>
  </si>
  <si>
    <t>中京ローリー灯油先物
Chukyo Kerosene Futures</t>
    <phoneticPr fontId="95"/>
  </si>
  <si>
    <t>JPXデリバティブ取引市況(オプション取引)</t>
    <rPh sb="19" eb="21">
      <t>トリヒキ</t>
    </rPh>
    <phoneticPr fontId="95"/>
  </si>
  <si>
    <t>NOTE:　Total : Total of Auction and J-NET Market</t>
    <phoneticPr fontId="10"/>
  </si>
  <si>
    <t>プット　put</t>
    <phoneticPr fontId="95"/>
  </si>
  <si>
    <t>コール　call</t>
    <phoneticPr fontId="95"/>
  </si>
  <si>
    <t>合計　Total</t>
    <rPh sb="0" eb="2">
      <t>ゴウケイ</t>
    </rPh>
    <phoneticPr fontId="95"/>
  </si>
  <si>
    <t>うち立会外　J-NET</t>
    <rPh sb="2" eb="3">
      <t>タチア</t>
    </rPh>
    <rPh sb="3" eb="4">
      <t>ガイ</t>
    </rPh>
    <phoneticPr fontId="95"/>
  </si>
  <si>
    <t>総取引高　Total</t>
    <rPh sb="0" eb="1">
      <t>ソウ</t>
    </rPh>
    <rPh sb="1" eb="3">
      <t>トリヒキ</t>
    </rPh>
    <rPh sb="3" eb="4">
      <t>ダカ</t>
    </rPh>
    <phoneticPr fontId="95"/>
  </si>
  <si>
    <t>総取引代金　Total</t>
    <rPh sb="0" eb="1">
      <t>ソウ</t>
    </rPh>
    <rPh sb="1" eb="3">
      <t>トリヒキ</t>
    </rPh>
    <rPh sb="3" eb="5">
      <t>ダイキン</t>
    </rPh>
    <phoneticPr fontId="95"/>
  </si>
  <si>
    <t>日経225オプション
Nikkei 225 Options</t>
    <phoneticPr fontId="10"/>
  </si>
  <si>
    <t>日経225ミニオプション
Nikkei 225 mini Options</t>
    <rPh sb="0" eb="2">
      <t>ニッケイ</t>
    </rPh>
    <phoneticPr fontId="10"/>
  </si>
  <si>
    <t>TOPIXオプション
TOPIX Options</t>
    <phoneticPr fontId="10"/>
  </si>
  <si>
    <t>JPX日経インデックス400オプション
JPX-Nikkei Index 400 Options</t>
    <phoneticPr fontId="10"/>
  </si>
  <si>
    <t>東証銀行業株価指数オプション
TOPIX Banks Index Options</t>
    <rPh sb="0" eb="2">
      <t>トウショウ</t>
    </rPh>
    <rPh sb="2" eb="5">
      <t>ギンコウギョウ</t>
    </rPh>
    <rPh sb="5" eb="7">
      <t>カブカ</t>
    </rPh>
    <rPh sb="7" eb="9">
      <t>シスウ</t>
    </rPh>
    <phoneticPr fontId="10"/>
  </si>
  <si>
    <t>東証REIT指数オプション
TSE REIT Index Options</t>
    <rPh sb="0" eb="2">
      <t>トウショウ</t>
    </rPh>
    <rPh sb="6" eb="8">
      <t>シスウ</t>
    </rPh>
    <phoneticPr fontId="10"/>
  </si>
  <si>
    <t>長期国債先物オプション取引
Options on 10-year JGB Futures</t>
    <rPh sb="0" eb="2">
      <t>チョウキ</t>
    </rPh>
    <rPh sb="2" eb="4">
      <t>コクサイ</t>
    </rPh>
    <rPh sb="4" eb="6">
      <t>サキモノ</t>
    </rPh>
    <rPh sb="11" eb="13">
      <t>トリヒキ</t>
    </rPh>
    <phoneticPr fontId="10"/>
  </si>
  <si>
    <t>有価証券オプション取引
Securities Options</t>
    <rPh sb="0" eb="2">
      <t>ユウカ</t>
    </rPh>
    <rPh sb="2" eb="4">
      <t>ショウケン</t>
    </rPh>
    <rPh sb="9" eb="11">
      <t>トリヒキ</t>
    </rPh>
    <phoneticPr fontId="10"/>
  </si>
  <si>
    <t>金先物オプション取引
Options on Gold Futures</t>
    <rPh sb="0" eb="1">
      <t>キン</t>
    </rPh>
    <rPh sb="1" eb="3">
      <t>サキモノ</t>
    </rPh>
    <rPh sb="8" eb="10">
      <t>トリヒキ</t>
    </rPh>
    <phoneticPr fontId="10"/>
  </si>
  <si>
    <t>全体に占める比率
Market share of Total Value</t>
    <phoneticPr fontId="95"/>
  </si>
  <si>
    <t>総取引金額　Total</t>
    <rPh sb="0" eb="1">
      <t>ソウ</t>
    </rPh>
    <rPh sb="1" eb="3">
      <t>トリヒキ</t>
    </rPh>
    <rPh sb="3" eb="5">
      <t>キンガク</t>
    </rPh>
    <phoneticPr fontId="95"/>
  </si>
  <si>
    <t>中部エリア・ベースロード電力先物
Chubu Area Baseload Electricity Futures</t>
    <rPh sb="0" eb="2">
      <t>チュウブ</t>
    </rPh>
    <phoneticPr fontId="95"/>
  </si>
  <si>
    <t>中部エリア・日中ロード電力先物
Chubu Area Peakload Electricity Futures</t>
    <rPh sb="0" eb="2">
      <t>チュウブ</t>
    </rPh>
    <phoneticPr fontId="95"/>
  </si>
  <si>
    <t>東エリア・年度ベースロード電力先物
East Area Baseload Electricity Futures (Fiscal Year)</t>
    <phoneticPr fontId="95"/>
  </si>
  <si>
    <t>西エリア・年度ベースロード電力先物
West Area Baseload Electricity Futures (Fiscal Year)</t>
    <phoneticPr fontId="10"/>
  </si>
  <si>
    <t>東エリア・年度日中ロード電力先物
East Area Peakload Electricity Futures (Fiscal Year)</t>
    <phoneticPr fontId="95"/>
  </si>
  <si>
    <t>西エリア・年度日中ロード電力先物
West Area Peakload Electricity Futures (Fiscal Year)</t>
    <phoneticPr fontId="10"/>
  </si>
  <si>
    <t>中部エリア・年度ベースロード電力先物
Chubu Area Baseload Electricity Futures (Fiscal Year)</t>
    <rPh sb="0" eb="2">
      <t>チュウブ</t>
    </rPh>
    <rPh sb="6" eb="8">
      <t>ネンド</t>
    </rPh>
    <rPh sb="14" eb="16">
      <t>デンリョク</t>
    </rPh>
    <rPh sb="16" eb="18">
      <t>サキモノ</t>
    </rPh>
    <phoneticPr fontId="95"/>
  </si>
  <si>
    <t>中部エリア・年度日中ロード電力先物
Chubu Area Peakload Electricity Futures (Fiscal Year)</t>
    <rPh sb="0" eb="2">
      <t>チュウブ</t>
    </rPh>
    <rPh sb="6" eb="8">
      <t>ネンド</t>
    </rPh>
    <rPh sb="8" eb="10">
      <t>ニッチュウ</t>
    </rPh>
    <rPh sb="13" eb="15">
      <t>デンリョク</t>
    </rPh>
    <rPh sb="15" eb="17">
      <t>サキモノ</t>
    </rPh>
    <phoneticPr fontId="95"/>
  </si>
  <si>
    <t>米ドル/日本円先物
USD/JPY Futures</t>
    <phoneticPr fontId="95"/>
  </si>
  <si>
    <t>中国オフショア人民元/日本円先物
CNH/JPY Futures</t>
    <phoneticPr fontId="95"/>
  </si>
  <si>
    <t>ユーロ/日本円先物
EUR/JPY Futures</t>
    <phoneticPr fontId="95"/>
  </si>
  <si>
    <t>上海天然ゴム先物
Shanghai Natural Rubber Futures</t>
    <phoneticPr fontId="10"/>
  </si>
  <si>
    <t>ポケットゴールド100先物
Pocket Gold 100 Futures</t>
    <phoneticPr fontId="95"/>
  </si>
  <si>
    <t>ポケットプラチナ100先物
Pocket Platinum 100 Futures</t>
    <phoneticPr fontId="9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</si>
</sst>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yyyy&quot;年&quot;m&quot;月&quot;d&quot;日&quot;\(&quot;夜&quot;\ &quot;間&quot;\)"/>
    <numFmt numFmtId="190" formatCode="\(#,##0\);\(\-#,##0\)\ "/>
    <numFmt numFmtId="191" formatCode="0.0%__"/>
    <numFmt numFmtId="192" formatCode="#,##0_ "/>
    <numFmt numFmtId="193" formatCode="#,##0_);[Red]\(#,##0\)"/>
    <numFmt numFmtId="194" formatCode="yyyy&quot;年&quot;m&quot;月&quot;d&quot;日(日通し)&quot;"/>
    <numFmt numFmtId="195" formatCode="&quot;As of [&quot;mmm&quot;. &quot;dd&quot;, &quot;yyyy&quot;]（Whole Day）&quot;"/>
  </numFmts>
  <fonts count="14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2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sz val="11"/>
      <color indexed="10"/>
      <name val="明朝"/>
      <family val="1"/>
      <charset val="128"/>
    </font>
    <font>
      <b/>
      <sz val="9"/>
      <color indexed="9"/>
      <name val="ＭＳ Ｐゴシック"/>
      <family val="3"/>
      <charset val="128"/>
    </font>
    <font>
      <sz val="9"/>
      <color indexed="60"/>
      <name val="ＭＳ Ｐゴシック"/>
      <family val="3"/>
      <charset val="128"/>
    </font>
    <font>
      <sz val="11"/>
      <name val="MS UI Gothic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u/>
      <sz val="7.7"/>
      <color indexed="12"/>
      <name val="ＭＳ Ｐゴシック"/>
      <family val="3"/>
      <charset val="128"/>
    </font>
    <font>
      <sz val="9"/>
      <color indexed="52"/>
      <name val="ＭＳ Ｐゴシック"/>
      <family val="3"/>
      <charset val="128"/>
    </font>
    <font>
      <sz val="11"/>
      <name val="明朝"/>
      <family val="3"/>
      <charset val="128"/>
    </font>
    <font>
      <sz val="9"/>
      <color indexed="20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  <scheme val="minor"/>
    </font>
    <font>
      <b/>
      <sz val="9"/>
      <color indexed="52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9"/>
      <color indexed="8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  <scheme val="minor"/>
    </font>
    <font>
      <b/>
      <sz val="9"/>
      <color indexed="63"/>
      <name val="ＭＳ Ｐゴシック"/>
      <family val="3"/>
      <charset val="128"/>
    </font>
    <font>
      <i/>
      <sz val="9"/>
      <color indexed="23"/>
      <name val="ＭＳ Ｐゴシック"/>
      <family val="3"/>
      <charset val="128"/>
    </font>
    <font>
      <sz val="11"/>
      <color rgb="FF3F3F76"/>
      <name val="ＭＳ Ｐゴシック"/>
      <family val="3"/>
      <charset val="128"/>
      <scheme val="minor"/>
    </font>
    <font>
      <sz val="9"/>
      <color indexed="62"/>
      <name val="ＭＳ Ｐゴシック"/>
      <family val="3"/>
      <charset val="128"/>
    </font>
    <font>
      <sz val="10"/>
      <color theme="1"/>
      <name val="メイリオ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color indexed="17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</fonts>
  <fills count="6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</fills>
  <borders count="4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3071">
    <xf numFmtId="0" fontId="0" fillId="0" borderId="0"/>
    <xf numFmtId="38" fontId="9" fillId="0" borderId="0" applyFont="0" applyFill="0" applyBorder="0" applyAlignment="0" applyProtection="0"/>
    <xf numFmtId="176" fontId="12" fillId="0" borderId="0" applyFill="0" applyBorder="0" applyAlignment="0"/>
    <xf numFmtId="0" fontId="13" fillId="0" borderId="1" applyNumberFormat="0" applyAlignment="0" applyProtection="0">
      <alignment horizontal="left" vertical="center"/>
    </xf>
    <xf numFmtId="0" fontId="13" fillId="0" borderId="2">
      <alignment horizontal="left" vertical="center"/>
    </xf>
    <xf numFmtId="177" fontId="14" fillId="0" borderId="0"/>
    <xf numFmtId="0" fontId="15" fillId="0" borderId="0"/>
    <xf numFmtId="0" fontId="16" fillId="0" borderId="0"/>
    <xf numFmtId="49" fontId="17" fillId="2" borderId="3" applyNumberFormat="0" applyFill="0" applyBorder="0" applyProtection="0"/>
    <xf numFmtId="0" fontId="11" fillId="0" borderId="0">
      <alignment vertical="center"/>
    </xf>
    <xf numFmtId="0" fontId="18" fillId="0" borderId="0"/>
    <xf numFmtId="0" fontId="18" fillId="0" borderId="0">
      <alignment vertical="center"/>
    </xf>
    <xf numFmtId="178" fontId="20" fillId="0" borderId="0"/>
    <xf numFmtId="0" fontId="9" fillId="0" borderId="0"/>
    <xf numFmtId="0" fontId="9" fillId="0" borderId="0"/>
    <xf numFmtId="0" fontId="18" fillId="0" borderId="0">
      <alignment vertical="center"/>
    </xf>
    <xf numFmtId="0" fontId="8" fillId="0" borderId="0">
      <alignment vertical="center"/>
    </xf>
    <xf numFmtId="9" fontId="23" fillId="0" borderId="0" applyFont="0" applyFill="0" applyBorder="0" applyAlignment="0" applyProtection="0"/>
    <xf numFmtId="0" fontId="24" fillId="0" borderId="0"/>
    <xf numFmtId="0" fontId="9" fillId="0" borderId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20" borderId="0" applyNumberFormat="0" applyBorder="0" applyAlignment="0" applyProtection="0"/>
    <xf numFmtId="0" fontId="28" fillId="0" borderId="0">
      <alignment horizontal="center" wrapText="1"/>
      <protection locked="0"/>
    </xf>
    <xf numFmtId="0" fontId="29" fillId="0" borderId="0"/>
    <xf numFmtId="0" fontId="30" fillId="4" borderId="0" applyNumberFormat="0" applyBorder="0" applyAlignment="0" applyProtection="0"/>
    <xf numFmtId="0" fontId="31" fillId="0" borderId="0" applyNumberFormat="0" applyFill="0" applyBorder="0" applyAlignment="0" applyProtection="0"/>
    <xf numFmtId="179" fontId="11" fillId="0" borderId="0" applyFill="0" applyBorder="0" applyAlignment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3" fillId="22" borderId="9" applyNumberFormat="0" applyAlignment="0" applyProtection="0"/>
    <xf numFmtId="0" fontId="34" fillId="0" borderId="0">
      <alignment vertical="top" wrapText="1"/>
    </xf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0" fontId="35" fillId="0" borderId="0">
      <alignment horizontal="left"/>
    </xf>
    <xf numFmtId="0" fontId="36" fillId="0" borderId="0" applyNumberFormat="0" applyFill="0" applyBorder="0" applyAlignment="0" applyProtection="0"/>
    <xf numFmtId="0" fontId="37" fillId="5" borderId="0" applyNumberFormat="0" applyBorder="0" applyAlignment="0" applyProtection="0"/>
    <xf numFmtId="38" fontId="38" fillId="23" borderId="0" applyNumberFormat="0" applyBorder="0" applyAlignment="0" applyProtection="0"/>
    <xf numFmtId="0" fontId="39" fillId="24" borderId="0"/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40" fillId="0" borderId="10" applyNumberFormat="0" applyFill="0" applyAlignment="0" applyProtection="0"/>
    <xf numFmtId="0" fontId="41" fillId="0" borderId="11" applyNumberFormat="0" applyFill="0" applyAlignment="0" applyProtection="0"/>
    <xf numFmtId="0" fontId="42" fillId="0" borderId="12" applyNumberFormat="0" applyFill="0" applyAlignment="0" applyProtection="0"/>
    <xf numFmtId="0" fontId="42" fillId="0" borderId="0" applyNumberFormat="0" applyFill="0" applyBorder="0" applyAlignment="0" applyProtection="0"/>
    <xf numFmtId="0" fontId="11" fillId="0" borderId="0" applyBorder="0"/>
    <xf numFmtId="0" fontId="43" fillId="8" borderId="8" applyNumberFormat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11" fillId="0" borderId="0"/>
    <xf numFmtId="0" fontId="44" fillId="0" borderId="13" applyNumberFormat="0" applyFill="0" applyAlignment="0" applyProtection="0"/>
    <xf numFmtId="38" fontId="45" fillId="0" borderId="0" applyFont="0" applyFill="0" applyBorder="0" applyAlignment="0" applyProtection="0"/>
    <xf numFmtId="40" fontId="45" fillId="0" borderId="0" applyFont="0" applyFill="0" applyBorder="0" applyAlignment="0" applyProtection="0"/>
    <xf numFmtId="182" fontId="45" fillId="0" borderId="0" applyFont="0" applyFill="0" applyBorder="0" applyAlignment="0" applyProtection="0"/>
    <xf numFmtId="183" fontId="45" fillId="0" borderId="0" applyFont="0" applyFill="0" applyBorder="0" applyAlignment="0" applyProtection="0"/>
    <xf numFmtId="0" fontId="46" fillId="26" borderId="0" applyNumberFormat="0" applyBorder="0" applyAlignment="0" applyProtection="0"/>
    <xf numFmtId="37" fontId="47" fillId="0" borderId="0"/>
    <xf numFmtId="184" fontId="11" fillId="0" borderId="0"/>
    <xf numFmtId="184" fontId="11" fillId="0" borderId="0"/>
    <xf numFmtId="177" fontId="14" fillId="0" borderId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14" fontId="28" fillId="0" borderId="0">
      <alignment horizontal="center" wrapText="1"/>
      <protection locked="0"/>
    </xf>
    <xf numFmtId="10" fontId="15" fillId="0" borderId="0" applyFont="0" applyFill="0" applyBorder="0" applyAlignment="0" applyProtection="0"/>
    <xf numFmtId="4" fontId="35" fillId="0" borderId="0">
      <alignment horizontal="right"/>
    </xf>
    <xf numFmtId="0" fontId="49" fillId="0" borderId="0" applyNumberFormat="0" applyFont="0" applyFill="0" applyBorder="0" applyAlignment="0" applyProtection="0">
      <alignment horizontal="left"/>
    </xf>
    <xf numFmtId="0" fontId="50" fillId="0" borderId="16">
      <alignment horizontal="center"/>
    </xf>
    <xf numFmtId="0" fontId="51" fillId="0" borderId="0" applyNumberFormat="0" applyFont="0" applyFill="0" applyBorder="0" applyAlignment="0"/>
    <xf numFmtId="4" fontId="52" fillId="0" borderId="0">
      <alignment horizontal="right"/>
    </xf>
    <xf numFmtId="0" fontId="53" fillId="0" borderId="0">
      <alignment horizontal="left"/>
    </xf>
    <xf numFmtId="0" fontId="54" fillId="0" borderId="0"/>
    <xf numFmtId="0" fontId="55" fillId="0" borderId="0">
      <alignment horizontal="center"/>
    </xf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7" fillId="0" borderId="0" applyNumberFormat="0" applyFill="0" applyBorder="0" applyAlignment="0" applyProtection="0"/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58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1" fillId="0" borderId="0"/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/>
    <xf numFmtId="0" fontId="63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43" fontId="15" fillId="0" borderId="0" applyFont="0" applyFill="0" applyBorder="0" applyAlignment="0" applyProtection="0"/>
    <xf numFmtId="38" fontId="70" fillId="0" borderId="0" applyFont="0" applyFill="0" applyBorder="0" applyAlignment="0" applyProtection="0"/>
    <xf numFmtId="38" fontId="21" fillId="0" borderId="0" applyFont="0" applyFill="0" applyBorder="0" applyAlignment="0" applyProtection="0">
      <alignment vertical="center"/>
    </xf>
    <xf numFmtId="38" fontId="71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71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185" fontId="15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1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0" borderId="0"/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186" fontId="16" fillId="0" borderId="0"/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187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18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11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1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23" fillId="0" borderId="0"/>
    <xf numFmtId="0" fontId="21" fillId="0" borderId="0">
      <alignment vertical="center"/>
    </xf>
    <xf numFmtId="0" fontId="23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82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2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83" fillId="0" borderId="0">
      <alignment vertical="center"/>
    </xf>
    <xf numFmtId="0" fontId="18" fillId="0" borderId="0"/>
    <xf numFmtId="0" fontId="83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/>
    <xf numFmtId="0" fontId="84" fillId="0" borderId="0">
      <alignment vertical="center"/>
    </xf>
    <xf numFmtId="0" fontId="9" fillId="0" borderId="0"/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23" fillId="0" borderId="0"/>
    <xf numFmtId="0" fontId="18" fillId="0" borderId="0">
      <alignment vertical="center"/>
    </xf>
    <xf numFmtId="0" fontId="18" fillId="0" borderId="0">
      <alignment vertical="center"/>
    </xf>
    <xf numFmtId="0" fontId="23" fillId="0" borderId="0"/>
    <xf numFmtId="0" fontId="21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85" fillId="0" borderId="0"/>
    <xf numFmtId="0" fontId="18" fillId="0" borderId="0"/>
    <xf numFmtId="0" fontId="11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23" fillId="0" borderId="0"/>
    <xf numFmtId="0" fontId="82" fillId="0" borderId="0">
      <alignment vertical="center"/>
    </xf>
    <xf numFmtId="0" fontId="23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9" fillId="0" borderId="0"/>
    <xf numFmtId="0" fontId="9" fillId="0" borderId="0"/>
    <xf numFmtId="0" fontId="25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/>
    <xf numFmtId="0" fontId="18" fillId="0" borderId="0"/>
    <xf numFmtId="0" fontId="9" fillId="0" borderId="0"/>
    <xf numFmtId="0" fontId="9" fillId="0" borderId="0">
      <alignment vertical="center"/>
    </xf>
    <xf numFmtId="0" fontId="21" fillId="0" borderId="0">
      <alignment vertical="center"/>
    </xf>
    <xf numFmtId="0" fontId="85" fillId="0" borderId="0"/>
    <xf numFmtId="0" fontId="21" fillId="0" borderId="0">
      <alignment vertical="center"/>
    </xf>
    <xf numFmtId="0" fontId="9" fillId="0" borderId="0"/>
    <xf numFmtId="0" fontId="9" fillId="0" borderId="0">
      <alignment vertical="center"/>
    </xf>
    <xf numFmtId="0" fontId="85" fillId="0" borderId="0"/>
    <xf numFmtId="0" fontId="9" fillId="0" borderId="0"/>
    <xf numFmtId="0" fontId="9" fillId="0" borderId="0"/>
    <xf numFmtId="0" fontId="85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85" fillId="0" borderId="0"/>
    <xf numFmtId="0" fontId="85" fillId="0" borderId="0"/>
    <xf numFmtId="0" fontId="9" fillId="0" borderId="0"/>
    <xf numFmtId="0" fontId="85" fillId="0" borderId="0"/>
    <xf numFmtId="0" fontId="25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86" fillId="0" borderId="0">
      <alignment vertical="center"/>
    </xf>
    <xf numFmtId="0" fontId="9" fillId="0" borderId="0"/>
    <xf numFmtId="0" fontId="9" fillId="0" borderId="0"/>
    <xf numFmtId="0" fontId="18" fillId="0" borderId="0"/>
    <xf numFmtId="0" fontId="18" fillId="0" borderId="0"/>
    <xf numFmtId="0" fontId="9" fillId="0" borderId="0"/>
    <xf numFmtId="0" fontId="9" fillId="0" borderId="0"/>
    <xf numFmtId="0" fontId="11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21" fillId="0" borderId="0"/>
    <xf numFmtId="0" fontId="9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87" fillId="0" borderId="0">
      <alignment vertical="center"/>
    </xf>
    <xf numFmtId="0" fontId="18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8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8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8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8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4" fillId="0" borderId="0">
      <alignment vertical="center"/>
    </xf>
    <xf numFmtId="0" fontId="9" fillId="0" borderId="0"/>
    <xf numFmtId="0" fontId="9" fillId="0" borderId="0">
      <alignment vertical="center"/>
    </xf>
    <xf numFmtId="0" fontId="8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9" fillId="0" borderId="0">
      <alignment vertical="center"/>
    </xf>
    <xf numFmtId="0" fontId="8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23" fillId="0" borderId="0"/>
    <xf numFmtId="0" fontId="89" fillId="0" borderId="0">
      <alignment vertical="center"/>
    </xf>
    <xf numFmtId="0" fontId="23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0" fillId="0" borderId="0"/>
    <xf numFmtId="0" fontId="91" fillId="0" borderId="0"/>
    <xf numFmtId="0" fontId="61" fillId="0" borderId="0"/>
    <xf numFmtId="49" fontId="19" fillId="0" borderId="0" applyFill="0" applyBorder="0"/>
    <xf numFmtId="0" fontId="92" fillId="0" borderId="0"/>
    <xf numFmtId="0" fontId="93" fillId="0" borderId="0"/>
    <xf numFmtId="0" fontId="92" fillId="0" borderId="0"/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" fillId="0" borderId="0"/>
    <xf numFmtId="0" fontId="7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96" fillId="0" borderId="0">
      <alignment vertical="center"/>
    </xf>
    <xf numFmtId="0" fontId="18" fillId="0" borderId="0">
      <alignment vertical="center"/>
    </xf>
    <xf numFmtId="0" fontId="5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98" fillId="34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98" fillId="11" borderId="0" applyNumberFormat="0" applyBorder="0" applyAlignment="0" applyProtection="0">
      <alignment vertical="center"/>
    </xf>
    <xf numFmtId="0" fontId="98" fillId="14" borderId="0" applyNumberFormat="0" applyBorder="0" applyAlignment="0" applyProtection="0">
      <alignment vertical="center"/>
    </xf>
    <xf numFmtId="0" fontId="98" fillId="44" borderId="0" applyNumberFormat="0" applyBorder="0" applyAlignment="0" applyProtection="0">
      <alignment vertical="center"/>
    </xf>
    <xf numFmtId="0" fontId="98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98" fillId="32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98" fillId="38" borderId="0" applyNumberFormat="0" applyBorder="0" applyAlignment="0" applyProtection="0">
      <alignment vertical="center"/>
    </xf>
    <xf numFmtId="0" fontId="98" fillId="39" borderId="0" applyNumberFormat="0" applyBorder="0" applyAlignment="0" applyProtection="0">
      <alignment vertical="center"/>
    </xf>
    <xf numFmtId="0" fontId="98" fillId="41" borderId="0" applyNumberFormat="0" applyBorder="0" applyAlignment="0" applyProtection="0">
      <alignment vertical="center"/>
    </xf>
    <xf numFmtId="0" fontId="98" fillId="45" borderId="0" applyNumberFormat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100" fillId="31" borderId="24" applyNumberFormat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2" fillId="0" borderId="23" applyNumberFormat="0" applyFill="0" applyAlignment="0" applyProtection="0">
      <alignment vertical="center"/>
    </xf>
    <xf numFmtId="0" fontId="103" fillId="29" borderId="0" applyNumberFormat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5" fillId="0" borderId="20" applyNumberFormat="0" applyFill="0" applyAlignment="0" applyProtection="0">
      <alignment vertical="center"/>
    </xf>
    <xf numFmtId="0" fontId="106" fillId="0" borderId="21" applyNumberFormat="0" applyFill="0" applyAlignment="0" applyProtection="0">
      <alignment vertical="center"/>
    </xf>
    <xf numFmtId="0" fontId="107" fillId="0" borderId="22" applyNumberFormat="0" applyFill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09" fillId="28" borderId="0" applyNumberFormat="0" applyBorder="0" applyAlignment="0" applyProtection="0">
      <alignment vertical="center"/>
    </xf>
    <xf numFmtId="0" fontId="9" fillId="0" borderId="0"/>
    <xf numFmtId="9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18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11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9" fillId="0" borderId="0"/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98" fillId="34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98" fillId="34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98" fillId="34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98" fillId="55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98" fillId="55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98" fillId="55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98" fillId="57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98" fillId="57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98" fillId="57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98" fillId="44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98" fillId="44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98" fillId="44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8" fillId="58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98" fillId="58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98" fillId="58" borderId="0" applyNumberFormat="0" applyBorder="0" applyAlignment="0" applyProtection="0">
      <alignment vertical="center"/>
    </xf>
    <xf numFmtId="177" fontId="14" fillId="0" borderId="0"/>
    <xf numFmtId="0" fontId="114" fillId="0" borderId="0"/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8" fillId="32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98" fillId="32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98" fillId="3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98" fillId="38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98" fillId="38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98" fillId="3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98" fillId="39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98" fillId="39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98" fillId="39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98" fillId="41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98" fillId="41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98" fillId="41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98" fillId="45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98" fillId="45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98" fillId="45" borderId="0" applyNumberFormat="0" applyBorder="0" applyAlignment="0" applyProtection="0">
      <alignment vertical="center"/>
    </xf>
    <xf numFmtId="0" fontId="19" fillId="0" borderId="37">
      <alignment horizontal="center" vertical="center"/>
      <protection locked="0"/>
    </xf>
    <xf numFmtId="0" fontId="23" fillId="0" borderId="0" applyBorder="0" applyProtection="0"/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100" fillId="31" borderId="24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00" fillId="31" borderId="24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00" fillId="31" borderId="24" applyNumberFormat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9" fontId="9" fillId="0" borderId="0" applyFont="0" applyFill="0" applyBorder="0" applyAlignment="0" applyProtection="0"/>
    <xf numFmtId="9" fontId="117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18" fillId="0" borderId="0" applyNumberFormat="0" applyFill="0" applyBorder="0" applyAlignment="0" applyProtection="0"/>
    <xf numFmtId="0" fontId="119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118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/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102" fillId="0" borderId="2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02" fillId="0" borderId="2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02" fillId="0" borderId="23" applyNumberFormat="0" applyFill="0" applyAlignment="0" applyProtection="0">
      <alignment vertical="center"/>
    </xf>
    <xf numFmtId="0" fontId="16" fillId="0" borderId="0"/>
    <xf numFmtId="0" fontId="16" fillId="0" borderId="0"/>
    <xf numFmtId="0" fontId="12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21" fillId="0" borderId="0"/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103" fillId="29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03" fillId="29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03" fillId="29" borderId="0" applyNumberFormat="0" applyBorder="0" applyAlignment="0" applyProtection="0">
      <alignment vertical="center"/>
    </xf>
    <xf numFmtId="0" fontId="123" fillId="49" borderId="33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123" fillId="49" borderId="33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123" fillId="49" borderId="33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71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81" fillId="0" borderId="0" applyFont="0" applyFill="0" applyBorder="0" applyAlignment="0" applyProtection="0">
      <alignment vertical="center"/>
    </xf>
    <xf numFmtId="38" fontId="81" fillId="0" borderId="0" applyFont="0" applyFill="0" applyBorder="0" applyAlignment="0" applyProtection="0">
      <alignment vertical="center"/>
    </xf>
    <xf numFmtId="38" fontId="81" fillId="0" borderId="0" applyFont="0" applyFill="0" applyBorder="0" applyAlignment="0" applyProtection="0">
      <alignment vertical="center"/>
    </xf>
    <xf numFmtId="38" fontId="81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105" fillId="0" borderId="2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105" fillId="0" borderId="2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105" fillId="0" borderId="20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106" fillId="0" borderId="2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106" fillId="0" borderId="2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106" fillId="0" borderId="21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107" fillId="0" borderId="2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107" fillId="0" borderId="2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107" fillId="0" borderId="22" applyNumberFormat="0" applyFill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126" fillId="0" borderId="36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126" fillId="0" borderId="36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126" fillId="0" borderId="36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128" fillId="49" borderId="34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128" fillId="49" borderId="34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128" fillId="49" borderId="34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9" fillId="0" borderId="0"/>
    <xf numFmtId="186" fontId="121" fillId="0" borderId="0"/>
    <xf numFmtId="186" fontId="121" fillId="0" borderId="0"/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9" fillId="0" borderId="38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0" fontId="131" fillId="48" borderId="33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31" fillId="48" borderId="33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31" fillId="48" borderId="33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9" fillId="0" borderId="0"/>
    <xf numFmtId="0" fontId="9" fillId="0" borderId="0">
      <alignment vertical="center"/>
    </xf>
    <xf numFmtId="0" fontId="21" fillId="0" borderId="0">
      <alignment vertical="center"/>
    </xf>
    <xf numFmtId="0" fontId="9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8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2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23" fillId="0" borderId="0"/>
    <xf numFmtId="0" fontId="18" fillId="0" borderId="0"/>
    <xf numFmtId="0" fontId="18" fillId="0" borderId="0"/>
    <xf numFmtId="0" fontId="9" fillId="0" borderId="0">
      <alignment vertical="center"/>
    </xf>
    <xf numFmtId="0" fontId="9" fillId="0" borderId="0">
      <alignment vertical="center"/>
    </xf>
    <xf numFmtId="0" fontId="13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3" fillId="0" borderId="0"/>
    <xf numFmtId="0" fontId="11" fillId="0" borderId="0">
      <alignment vertical="center"/>
    </xf>
    <xf numFmtId="0" fontId="11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9" fillId="0" borderId="0"/>
    <xf numFmtId="0" fontId="18" fillId="0" borderId="0"/>
    <xf numFmtId="0" fontId="18" fillId="0" borderId="0">
      <alignment vertical="center"/>
    </xf>
    <xf numFmtId="0" fontId="134" fillId="0" borderId="0"/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2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85" fillId="0" borderId="0"/>
    <xf numFmtId="0" fontId="85" fillId="0" borderId="0"/>
    <xf numFmtId="0" fontId="9" fillId="0" borderId="0"/>
    <xf numFmtId="0" fontId="18" fillId="0" borderId="0">
      <alignment vertical="center"/>
    </xf>
    <xf numFmtId="0" fontId="21" fillId="0" borderId="0">
      <alignment vertical="center"/>
    </xf>
    <xf numFmtId="0" fontId="85" fillId="0" borderId="0"/>
    <xf numFmtId="0" fontId="85" fillId="0" borderId="0"/>
    <xf numFmtId="0" fontId="82" fillId="0" borderId="0">
      <alignment vertical="center"/>
    </xf>
    <xf numFmtId="0" fontId="9" fillId="0" borderId="0">
      <alignment vertical="center"/>
    </xf>
    <xf numFmtId="0" fontId="85" fillId="0" borderId="0"/>
    <xf numFmtId="0" fontId="85" fillId="0" borderId="0"/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5" fillId="0" borderId="0"/>
    <xf numFmtId="0" fontId="85" fillId="0" borderId="0"/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5" fillId="0" borderId="0"/>
    <xf numFmtId="0" fontId="86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8" fillId="0" borderId="0">
      <alignment vertical="center"/>
    </xf>
    <xf numFmtId="0" fontId="84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9" fillId="0" borderId="0">
      <alignment vertical="center"/>
    </xf>
    <xf numFmtId="0" fontId="8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88" fillId="0" borderId="0">
      <alignment vertical="center"/>
    </xf>
    <xf numFmtId="0" fontId="8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4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97" fillId="0" borderId="0">
      <alignment vertical="center"/>
    </xf>
    <xf numFmtId="0" fontId="9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9" fillId="0" borderId="0"/>
    <xf numFmtId="0" fontId="9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4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9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92" fontId="135" fillId="59" borderId="3">
      <alignment horizontal="left" vertical="top" wrapText="1"/>
    </xf>
    <xf numFmtId="0" fontId="136" fillId="0" borderId="0"/>
    <xf numFmtId="0" fontId="92" fillId="0" borderId="0"/>
    <xf numFmtId="0" fontId="93" fillId="0" borderId="0"/>
    <xf numFmtId="0" fontId="93" fillId="0" borderId="0"/>
    <xf numFmtId="0" fontId="93" fillId="0" borderId="0"/>
    <xf numFmtId="0" fontId="9" fillId="0" borderId="0"/>
    <xf numFmtId="178" fontId="20" fillId="0" borderId="0"/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109" fillId="28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09" fillId="28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09" fillId="28" borderId="0" applyNumberFormat="0" applyBorder="0" applyAlignment="0" applyProtection="0">
      <alignment vertical="center"/>
    </xf>
    <xf numFmtId="0" fontId="13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18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11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39" fillId="0" borderId="0" applyNumberFormat="0" applyFill="0" applyBorder="0" applyAlignment="0" applyProtection="0"/>
  </cellStyleXfs>
  <cellXfs count="67">
    <xf numFmtId="0" fontId="0" fillId="0" borderId="0" xfId="0"/>
    <xf numFmtId="193" fontId="0" fillId="0" borderId="41" xfId="3069" applyNumberFormat="1" applyFont="1" applyFill="1" applyBorder="1" applyAlignment="1">
      <alignment horizontal="right" vertical="center"/>
    </xf>
    <xf numFmtId="190" fontId="0" fillId="0" borderId="42" xfId="3069" applyNumberFormat="1" applyFont="1" applyFill="1" applyBorder="1" applyAlignment="1">
      <alignment horizontal="right" vertical="center"/>
    </xf>
    <xf numFmtId="191" fontId="0" fillId="0" borderId="32" xfId="3069" applyNumberFormat="1" applyFont="1" applyFill="1" applyBorder="1" applyAlignment="1">
      <alignment horizontal="right" vertical="center"/>
    </xf>
    <xf numFmtId="0" fontId="9" fillId="0" borderId="0" xfId="0" applyFont="1" applyFill="1"/>
    <xf numFmtId="178" fontId="71" fillId="0" borderId="0" xfId="12" applyFont="1" applyFill="1" applyAlignment="1">
      <alignment horizontal="center" vertical="center"/>
    </xf>
    <xf numFmtId="189" fontId="111" fillId="0" borderId="0" xfId="1980" applyNumberFormat="1" applyFont="1" applyFill="1" applyAlignment="1">
      <alignment vertical="top"/>
    </xf>
    <xf numFmtId="178" fontId="19" fillId="0" borderId="0" xfId="12" applyFont="1" applyFill="1" applyAlignment="1">
      <alignment vertical="top"/>
    </xf>
    <xf numFmtId="0" fontId="9" fillId="0" borderId="0" xfId="1980" applyFont="1" applyFill="1" applyAlignment="1">
      <alignment vertical="top"/>
    </xf>
    <xf numFmtId="178" fontId="71" fillId="0" borderId="0" xfId="12" applyFont="1" applyFill="1" applyAlignment="1">
      <alignment vertical="top"/>
    </xf>
    <xf numFmtId="0" fontId="19" fillId="0" borderId="0" xfId="1980" applyFont="1" applyFill="1" applyAlignment="1">
      <alignment vertical="center"/>
    </xf>
    <xf numFmtId="189" fontId="111" fillId="0" borderId="0" xfId="1980" applyNumberFormat="1" applyFont="1" applyFill="1" applyAlignment="1">
      <alignment horizontal="center" vertical="top"/>
    </xf>
    <xf numFmtId="49" fontId="9" fillId="0" borderId="25" xfId="1942" applyNumberFormat="1" applyFont="1" applyFill="1" applyBorder="1" applyAlignment="1">
      <alignment horizontal="center" vertical="center" wrapText="1"/>
    </xf>
    <xf numFmtId="49" fontId="9" fillId="0" borderId="3" xfId="1942" applyNumberFormat="1" applyFont="1" applyFill="1" applyBorder="1" applyAlignment="1">
      <alignment horizontal="center" vertical="center" wrapText="1"/>
    </xf>
    <xf numFmtId="49" fontId="9" fillId="0" borderId="39" xfId="1942" quotePrefix="1" applyNumberFormat="1" applyFont="1" applyFill="1" applyBorder="1" applyAlignment="1">
      <alignment horizontal="center" vertical="center"/>
    </xf>
    <xf numFmtId="49" fontId="9" fillId="0" borderId="40" xfId="1942" quotePrefix="1" applyNumberFormat="1" applyFont="1" applyFill="1" applyBorder="1" applyAlignment="1">
      <alignment horizontal="center" vertical="center"/>
    </xf>
    <xf numFmtId="49" fontId="9" fillId="0" borderId="32" xfId="1942" quotePrefix="1" applyNumberFormat="1" applyFont="1" applyFill="1" applyBorder="1" applyAlignment="1">
      <alignment horizontal="left" vertical="center" wrapText="1"/>
    </xf>
    <xf numFmtId="193" fontId="9" fillId="0" borderId="41" xfId="3069" applyNumberFormat="1" applyFont="1" applyFill="1" applyBorder="1" applyAlignment="1">
      <alignment horizontal="right" vertical="center"/>
    </xf>
    <xf numFmtId="190" fontId="9" fillId="0" borderId="42" xfId="3069" applyNumberFormat="1" applyFont="1" applyFill="1" applyBorder="1" applyAlignment="1">
      <alignment horizontal="right" vertical="center"/>
    </xf>
    <xf numFmtId="191" fontId="9" fillId="0" borderId="32" xfId="3069" applyNumberFormat="1" applyFont="1" applyFill="1" applyBorder="1" applyAlignment="1">
      <alignment horizontal="right" vertical="center"/>
    </xf>
    <xf numFmtId="49" fontId="9" fillId="0" borderId="31" xfId="1942" quotePrefix="1" applyNumberFormat="1" applyFont="1" applyFill="1" applyBorder="1" applyAlignment="1">
      <alignment horizontal="left" vertical="center" wrapText="1"/>
    </xf>
    <xf numFmtId="193" fontId="9" fillId="0" borderId="43" xfId="3069" applyNumberFormat="1" applyFont="1" applyFill="1" applyBorder="1" applyAlignment="1">
      <alignment horizontal="right" vertical="center"/>
    </xf>
    <xf numFmtId="190" fontId="9" fillId="0" borderId="44" xfId="3069" applyNumberFormat="1" applyFont="1" applyFill="1" applyBorder="1" applyAlignment="1">
      <alignment horizontal="right" vertical="center"/>
    </xf>
    <xf numFmtId="191" fontId="9" fillId="0" borderId="31" xfId="3069" applyNumberFormat="1" applyFont="1" applyFill="1" applyBorder="1" applyAlignment="1">
      <alignment horizontal="right" vertical="center"/>
    </xf>
    <xf numFmtId="49" fontId="9" fillId="0" borderId="29" xfId="1942" quotePrefix="1" applyNumberFormat="1" applyFont="1" applyFill="1" applyBorder="1" applyAlignment="1">
      <alignment horizontal="left" vertical="center" wrapText="1"/>
    </xf>
    <xf numFmtId="193" fontId="9" fillId="0" borderId="45" xfId="3069" applyNumberFormat="1" applyFont="1" applyFill="1" applyBorder="1" applyAlignment="1">
      <alignment horizontal="right" vertical="center"/>
    </xf>
    <xf numFmtId="190" fontId="9" fillId="0" borderId="46" xfId="3069" applyNumberFormat="1" applyFont="1" applyFill="1" applyBorder="1" applyAlignment="1">
      <alignment horizontal="right" vertical="center"/>
    </xf>
    <xf numFmtId="191" fontId="9" fillId="0" borderId="29" xfId="3069" applyNumberFormat="1" applyFont="1" applyFill="1" applyBorder="1" applyAlignment="1">
      <alignment horizontal="right" vertical="center"/>
    </xf>
    <xf numFmtId="0" fontId="0" fillId="0" borderId="0" xfId="0" applyFill="1"/>
    <xf numFmtId="0" fontId="9" fillId="0" borderId="0" xfId="1980" applyFont="1" applyFill="1"/>
    <xf numFmtId="0" fontId="9" fillId="0" borderId="5" xfId="3069" applyFont="1" applyFill="1" applyBorder="1">
      <alignment vertical="center"/>
    </xf>
    <xf numFmtId="49" fontId="9" fillId="0" borderId="47" xfId="1942" applyNumberFormat="1" applyFont="1" applyFill="1" applyBorder="1" applyAlignment="1">
      <alignment horizontal="center" vertical="center" wrapText="1"/>
    </xf>
    <xf numFmtId="0" fontId="9" fillId="0" borderId="6" xfId="3069" applyFont="1" applyFill="1" applyBorder="1">
      <alignment vertical="center"/>
    </xf>
    <xf numFmtId="49" fontId="9" fillId="0" borderId="7" xfId="1942" applyNumberFormat="1" applyFont="1" applyFill="1" applyBorder="1" applyAlignment="1">
      <alignment horizontal="center" vertical="center" wrapText="1"/>
    </xf>
    <xf numFmtId="49" fontId="9" fillId="0" borderId="26" xfId="1942" applyNumberFormat="1" applyFont="1" applyFill="1" applyBorder="1" applyAlignment="1">
      <alignment horizontal="center" vertical="center" wrapText="1"/>
    </xf>
    <xf numFmtId="190" fontId="9" fillId="0" borderId="28" xfId="3069" applyNumberFormat="1" applyFont="1" applyFill="1" applyBorder="1" applyAlignment="1">
      <alignment horizontal="right" vertical="center"/>
    </xf>
    <xf numFmtId="190" fontId="9" fillId="0" borderId="30" xfId="3069" applyNumberFormat="1" applyFont="1" applyFill="1" applyBorder="1" applyAlignment="1">
      <alignment horizontal="right" vertical="center"/>
    </xf>
    <xf numFmtId="190" fontId="9" fillId="0" borderId="27" xfId="3069" applyNumberFormat="1" applyFont="1" applyFill="1" applyBorder="1" applyAlignment="1">
      <alignment horizontal="right" vertical="center"/>
    </xf>
    <xf numFmtId="49" fontId="9" fillId="0" borderId="4" xfId="1100" applyNumberFormat="1" applyFont="1" applyFill="1" applyBorder="1" applyAlignment="1">
      <alignment horizontal="center" vertical="center" textRotation="255"/>
    </xf>
    <xf numFmtId="49" fontId="9" fillId="0" borderId="4" xfId="1100" applyNumberFormat="1" applyFont="1" applyFill="1" applyBorder="1" applyAlignment="1">
      <alignment horizontal="center" vertical="center" wrapText="1"/>
    </xf>
    <xf numFmtId="49" fontId="9" fillId="0" borderId="25" xfId="1100" applyNumberFormat="1" applyFont="1" applyFill="1" applyBorder="1" applyAlignment="1">
      <alignment horizontal="center" vertical="center" textRotation="255"/>
    </xf>
    <xf numFmtId="49" fontId="9" fillId="0" borderId="26" xfId="1100" applyNumberFormat="1" applyFont="1" applyFill="1" applyBorder="1" applyAlignment="1">
      <alignment horizontal="center" vertical="center" textRotation="255"/>
    </xf>
    <xf numFmtId="49" fontId="9" fillId="0" borderId="3" xfId="1100" applyNumberFormat="1" applyFont="1" applyFill="1" applyBorder="1" applyAlignment="1">
      <alignment horizontal="center" vertical="center" textRotation="255"/>
    </xf>
    <xf numFmtId="178" fontId="110" fillId="0" borderId="0" xfId="12" applyFont="1" applyFill="1" applyAlignment="1">
      <alignment horizontal="center" vertical="center"/>
    </xf>
    <xf numFmtId="194" fontId="71" fillId="0" borderId="0" xfId="12" applyNumberFormat="1" applyFont="1" applyFill="1" applyAlignment="1">
      <alignment horizontal="center" vertical="center"/>
    </xf>
    <xf numFmtId="195" fontId="71" fillId="0" borderId="0" xfId="12" applyNumberFormat="1" applyFont="1" applyFill="1" applyAlignment="1">
      <alignment horizontal="center" vertical="center"/>
    </xf>
    <xf numFmtId="0" fontId="9" fillId="0" borderId="18" xfId="1942" applyFont="1" applyFill="1" applyBorder="1" applyAlignment="1">
      <alignment horizontal="center" vertical="center" wrapText="1"/>
    </xf>
    <xf numFmtId="0" fontId="9" fillId="0" borderId="19" xfId="1942" applyFont="1" applyFill="1" applyBorder="1" applyAlignment="1">
      <alignment horizontal="center" vertical="center"/>
    </xf>
    <xf numFmtId="49" fontId="9" fillId="0" borderId="25" xfId="1942" quotePrefix="1" applyNumberFormat="1" applyFont="1" applyFill="1" applyBorder="1" applyAlignment="1">
      <alignment horizontal="center" vertical="center" wrapText="1"/>
    </xf>
    <xf numFmtId="49" fontId="9" fillId="0" borderId="3" xfId="1942" quotePrefix="1" applyNumberFormat="1" applyFont="1" applyFill="1" applyBorder="1" applyAlignment="1">
      <alignment horizontal="center" vertical="center"/>
    </xf>
    <xf numFmtId="0" fontId="9" fillId="0" borderId="18" xfId="1942" applyFont="1" applyFill="1" applyBorder="1" applyAlignment="1">
      <alignment horizontal="center" vertical="center"/>
    </xf>
    <xf numFmtId="0" fontId="9" fillId="0" borderId="4" xfId="3069" applyFont="1" applyFill="1" applyBorder="1" applyAlignment="1">
      <alignment horizontal="center" vertical="center" textRotation="255"/>
    </xf>
    <xf numFmtId="0" fontId="9" fillId="0" borderId="25" xfId="3069" applyFont="1" applyFill="1" applyBorder="1" applyAlignment="1">
      <alignment horizontal="center" vertical="center" textRotation="255"/>
    </xf>
    <xf numFmtId="49" fontId="10" fillId="0" borderId="25" xfId="1100" applyNumberFormat="1" applyFont="1" applyFill="1" applyBorder="1" applyAlignment="1">
      <alignment horizontal="center" vertical="center" textRotation="255" wrapText="1"/>
    </xf>
    <xf numFmtId="49" fontId="10" fillId="0" borderId="26" xfId="1100" applyNumberFormat="1" applyFont="1" applyFill="1" applyBorder="1" applyAlignment="1">
      <alignment horizontal="center" vertical="center" textRotation="255" wrapText="1"/>
    </xf>
    <xf numFmtId="49" fontId="10" fillId="0" borderId="3" xfId="1100" applyNumberFormat="1" applyFont="1" applyFill="1" applyBorder="1" applyAlignment="1">
      <alignment horizontal="center" vertical="center" textRotation="255" wrapText="1"/>
    </xf>
    <xf numFmtId="49" fontId="9" fillId="0" borderId="25" xfId="1100" applyNumberFormat="1" applyFont="1" applyFill="1" applyBorder="1" applyAlignment="1">
      <alignment horizontal="center" vertical="center" textRotation="255" wrapText="1"/>
    </xf>
    <xf numFmtId="49" fontId="9" fillId="0" borderId="26" xfId="1100" applyNumberFormat="1" applyFont="1" applyFill="1" applyBorder="1" applyAlignment="1">
      <alignment horizontal="center" vertical="center" textRotation="255" wrapText="1"/>
    </xf>
    <xf numFmtId="49" fontId="9" fillId="0" borderId="3" xfId="1100" applyNumberFormat="1" applyFont="1" applyFill="1" applyBorder="1" applyAlignment="1">
      <alignment horizontal="center" vertical="center" textRotation="255" wrapText="1"/>
    </xf>
    <xf numFmtId="49" fontId="9" fillId="0" borderId="4" xfId="1100" applyNumberFormat="1" applyFont="1" applyFill="1" applyBorder="1" applyAlignment="1">
      <alignment horizontal="center" vertical="center" textRotation="255" wrapText="1"/>
    </xf>
    <xf numFmtId="194" fontId="71" fillId="0" borderId="0" xfId="3070" applyNumberFormat="1" applyFont="1" applyFill="1" applyAlignment="1">
      <alignment horizontal="center" vertical="center"/>
    </xf>
    <xf numFmtId="49" fontId="9" fillId="0" borderId="25" xfId="1100" applyNumberFormat="1" applyFont="1" applyFill="1" applyBorder="1" applyAlignment="1">
      <alignment horizontal="center" vertical="center" wrapText="1"/>
    </xf>
    <xf numFmtId="49" fontId="9" fillId="0" borderId="26" xfId="1100" applyNumberFormat="1" applyFont="1" applyFill="1" applyBorder="1" applyAlignment="1">
      <alignment horizontal="center" vertical="center" wrapText="1"/>
    </xf>
    <xf numFmtId="49" fontId="9" fillId="0" borderId="18" xfId="1942" quotePrefix="1" applyNumberFormat="1" applyFont="1" applyFill="1" applyBorder="1" applyAlignment="1">
      <alignment horizontal="center" vertical="center"/>
    </xf>
    <xf numFmtId="49" fontId="9" fillId="0" borderId="19" xfId="1942" quotePrefix="1" applyNumberFormat="1" applyFont="1" applyFill="1" applyBorder="1" applyAlignment="1">
      <alignment horizontal="center" vertical="center"/>
    </xf>
    <xf numFmtId="0" fontId="9" fillId="0" borderId="2" xfId="1942" applyFont="1" applyFill="1" applyBorder="1" applyAlignment="1">
      <alignment horizontal="center" vertical="center"/>
    </xf>
    <xf numFmtId="49" fontId="9" fillId="0" borderId="2" xfId="1942" quotePrefix="1" applyNumberFormat="1" applyFont="1" applyFill="1" applyBorder="1" applyAlignment="1">
      <alignment horizontal="center" vertical="center"/>
    </xf>
  </cellXfs>
  <cellStyles count="3071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0,0_x000d__x000a_NA_x000d__x000a_ 2" xfId="2000" xr:uid="{CCFFE9F4-3AEA-4C7D-A0D4-B1C8029465FD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2 2" xfId="1943" xr:uid="{00000000-0005-0000-0000-00000A000000}"/>
    <cellStyle name="20% - アクセント 1 2 2 2" xfId="2001" xr:uid="{54B60357-ECA6-4A0A-A9D6-16D6466E1F83}"/>
    <cellStyle name="20% - アクセント 1 2 3" xfId="2002" xr:uid="{291C44F2-1C18-4DC3-AD38-03C7B06CF430}"/>
    <cellStyle name="20% - アクセント 1 3" xfId="27" xr:uid="{00000000-0005-0000-0000-00000B000000}"/>
    <cellStyle name="20% - アクセント 1 3 2" xfId="2003" xr:uid="{4DD707AF-F040-4B08-82E4-7580BE1B2045}"/>
    <cellStyle name="20% - アクセント 1 3 2 2" xfId="2004" xr:uid="{DF49DC08-2A51-40E9-AEA6-57028BDB6E42}"/>
    <cellStyle name="20% - アクセント 1 3 3" xfId="2005" xr:uid="{3E32F9B2-16CB-4461-8100-0C98C486CF9F}"/>
    <cellStyle name="20% - アクセント 1 4" xfId="28" xr:uid="{00000000-0005-0000-0000-00000C000000}"/>
    <cellStyle name="20% - アクセント 1 4 2" xfId="2006" xr:uid="{D3846040-0E3D-430F-A98B-46F7D78189C4}"/>
    <cellStyle name="20% - アクセント 1 5" xfId="29" xr:uid="{00000000-0005-0000-0000-00000D000000}"/>
    <cellStyle name="20% - アクセント 1 5 2" xfId="2007" xr:uid="{318FA72A-20C9-420A-8B52-C57078ADB2F5}"/>
    <cellStyle name="20% - アクセント 1 5 3" xfId="2008" xr:uid="{597DC807-1115-444E-A05D-A6F6A1CA13CC}"/>
    <cellStyle name="20% - アクセント 1 5 4" xfId="2009" xr:uid="{DA12F37A-738F-41B1-BCDB-3DB20B073AAA}"/>
    <cellStyle name="20% - アクセント 1 6" xfId="30" xr:uid="{00000000-0005-0000-0000-00000E000000}"/>
    <cellStyle name="20% - アクセント 1 6 2" xfId="2010" xr:uid="{BA8AFB5D-624C-4B8D-A11A-CC98CD3DF6E3}"/>
    <cellStyle name="20% - アクセント 1 6 3" xfId="2011" xr:uid="{3DB79F50-0074-4B85-937C-9EEBE342E9EF}"/>
    <cellStyle name="20% - アクセント 1 6 4" xfId="2012" xr:uid="{9A16B2C7-92C1-4DF9-B6EF-D2291A0E1917}"/>
    <cellStyle name="20% - アクセント 1 7" xfId="31" xr:uid="{00000000-0005-0000-0000-00000F000000}"/>
    <cellStyle name="20% - アクセント 1 7 2" xfId="2013" xr:uid="{5FA96BCC-7E98-444C-958E-2BA743F849CE}"/>
    <cellStyle name="20% - アクセント 1 8" xfId="32" xr:uid="{00000000-0005-0000-0000-000010000000}"/>
    <cellStyle name="20% - アクセント 1 8 2" xfId="2014" xr:uid="{1261A4D7-D173-47A1-8557-708937B722E2}"/>
    <cellStyle name="20% - アクセント 1 9" xfId="33" xr:uid="{00000000-0005-0000-0000-000011000000}"/>
    <cellStyle name="20% - アクセント 1 9 2" xfId="2015" xr:uid="{34C82A92-DFCA-4C2F-B25D-847EBC47CC6F}"/>
    <cellStyle name="20% - アクセント 2 2" xfId="34" xr:uid="{00000000-0005-0000-0000-000012000000}"/>
    <cellStyle name="20% - アクセント 2 2 2" xfId="1944" xr:uid="{00000000-0005-0000-0000-000013000000}"/>
    <cellStyle name="20% - アクセント 2 2 2 2" xfId="2016" xr:uid="{CA581E6C-D604-42EC-9FDE-E62EF873533B}"/>
    <cellStyle name="20% - アクセント 2 2 3" xfId="2017" xr:uid="{67F2A679-198E-4144-943B-512ED53C4C16}"/>
    <cellStyle name="20% - アクセント 2 3" xfId="35" xr:uid="{00000000-0005-0000-0000-000014000000}"/>
    <cellStyle name="20% - アクセント 2 3 2" xfId="2018" xr:uid="{1D80BEFC-613C-4AC8-BBF7-7DE79FB08A34}"/>
    <cellStyle name="20% - アクセント 2 3 2 2" xfId="2019" xr:uid="{FD7012F3-A5F6-43F5-B34A-AD39D8815269}"/>
    <cellStyle name="20% - アクセント 2 3 3" xfId="2020" xr:uid="{FA8D8EFE-832B-4292-80EB-A9236BCDDE7C}"/>
    <cellStyle name="20% - アクセント 2 4" xfId="36" xr:uid="{00000000-0005-0000-0000-000015000000}"/>
    <cellStyle name="20% - アクセント 2 4 2" xfId="2021" xr:uid="{64E63CCF-D490-4420-97CB-33F7E9ED0F83}"/>
    <cellStyle name="20% - アクセント 2 5" xfId="37" xr:uid="{00000000-0005-0000-0000-000016000000}"/>
    <cellStyle name="20% - アクセント 2 5 2" xfId="2022" xr:uid="{483C5C00-1E38-4880-A38F-990C5827F995}"/>
    <cellStyle name="20% - アクセント 2 5 3" xfId="2023" xr:uid="{D7558EAE-449B-48C8-A913-D3A3819FCED5}"/>
    <cellStyle name="20% - アクセント 2 5 4" xfId="2024" xr:uid="{824321E8-6923-423F-B915-B009A85F38D0}"/>
    <cellStyle name="20% - アクセント 2 6" xfId="38" xr:uid="{00000000-0005-0000-0000-000017000000}"/>
    <cellStyle name="20% - アクセント 2 6 2" xfId="2025" xr:uid="{78DD58FE-0C9D-4E6E-9AF5-32B9D38BAE5C}"/>
    <cellStyle name="20% - アクセント 2 6 3" xfId="2026" xr:uid="{55529D1F-87DB-4104-AFD1-DFB786131148}"/>
    <cellStyle name="20% - アクセント 2 6 4" xfId="2027" xr:uid="{A323D2B4-5624-4413-9276-3507E26FC4F1}"/>
    <cellStyle name="20% - アクセント 2 7" xfId="39" xr:uid="{00000000-0005-0000-0000-000018000000}"/>
    <cellStyle name="20% - アクセント 2 7 2" xfId="2028" xr:uid="{8E80C5B4-FA34-4D3F-BE7A-ABA344D03D77}"/>
    <cellStyle name="20% - アクセント 2 8" xfId="40" xr:uid="{00000000-0005-0000-0000-000019000000}"/>
    <cellStyle name="20% - アクセント 2 8 2" xfId="2029" xr:uid="{A17D8265-62FF-491F-AD83-F341B70BB5F4}"/>
    <cellStyle name="20% - アクセント 2 9" xfId="41" xr:uid="{00000000-0005-0000-0000-00001A000000}"/>
    <cellStyle name="20% - アクセント 2 9 2" xfId="2030" xr:uid="{379CB492-6F96-4D5B-B2A0-F8CA5AD12035}"/>
    <cellStyle name="20% - アクセント 3 2" xfId="42" xr:uid="{00000000-0005-0000-0000-00001B000000}"/>
    <cellStyle name="20% - アクセント 3 2 2" xfId="1945" xr:uid="{00000000-0005-0000-0000-00001C000000}"/>
    <cellStyle name="20% - アクセント 3 2 2 2" xfId="2031" xr:uid="{28B41EBE-D53C-4F0A-A9F6-4718FCFDB18F}"/>
    <cellStyle name="20% - アクセント 3 2 3" xfId="2032" xr:uid="{57E17269-5BC1-4C00-8400-E10CF43DFDD2}"/>
    <cellStyle name="20% - アクセント 3 3" xfId="43" xr:uid="{00000000-0005-0000-0000-00001D000000}"/>
    <cellStyle name="20% - アクセント 3 3 2" xfId="2033" xr:uid="{5C29BA43-1ABA-4FC9-8306-BF474F6C4169}"/>
    <cellStyle name="20% - アクセント 3 3 2 2" xfId="2034" xr:uid="{8207FBDD-1A31-42BD-BFE5-48DC82B106D8}"/>
    <cellStyle name="20% - アクセント 3 3 3" xfId="2035" xr:uid="{8DA50352-760F-4626-AF0F-6A23F4A4FF2A}"/>
    <cellStyle name="20% - アクセント 3 4" xfId="44" xr:uid="{00000000-0005-0000-0000-00001E000000}"/>
    <cellStyle name="20% - アクセント 3 4 2" xfId="2036" xr:uid="{90708504-7C8E-492C-BDB3-CA18F9AF01A5}"/>
    <cellStyle name="20% - アクセント 3 5" xfId="45" xr:uid="{00000000-0005-0000-0000-00001F000000}"/>
    <cellStyle name="20% - アクセント 3 5 2" xfId="2037" xr:uid="{99EC1CB3-702F-4C6F-B1CD-CB2D1779B470}"/>
    <cellStyle name="20% - アクセント 3 5 3" xfId="2038" xr:uid="{22627CE0-C0BB-42A0-BF51-27E1BD47B7E9}"/>
    <cellStyle name="20% - アクセント 3 5 4" xfId="2039" xr:uid="{E21523C7-B2E5-4E7D-9A27-E12E8CE80876}"/>
    <cellStyle name="20% - アクセント 3 6" xfId="46" xr:uid="{00000000-0005-0000-0000-000020000000}"/>
    <cellStyle name="20% - アクセント 3 6 2" xfId="2040" xr:uid="{AF9AAAF9-4E84-489D-8290-8B094AC8F8E6}"/>
    <cellStyle name="20% - アクセント 3 6 3" xfId="2041" xr:uid="{2CA71235-EDC3-4F49-A244-5EFDCDEBE643}"/>
    <cellStyle name="20% - アクセント 3 6 4" xfId="2042" xr:uid="{046EDF3D-BA3B-44F4-ABF0-3FC0516D8F29}"/>
    <cellStyle name="20% - アクセント 3 7" xfId="47" xr:uid="{00000000-0005-0000-0000-000021000000}"/>
    <cellStyle name="20% - アクセント 3 7 2" xfId="2043" xr:uid="{2A568311-C7FC-444C-BA76-2503E56E2F62}"/>
    <cellStyle name="20% - アクセント 3 8" xfId="48" xr:uid="{00000000-0005-0000-0000-000022000000}"/>
    <cellStyle name="20% - アクセント 3 8 2" xfId="2044" xr:uid="{84CA854B-97A6-4CF4-86E5-F31D1FFD3326}"/>
    <cellStyle name="20% - アクセント 3 9" xfId="49" xr:uid="{00000000-0005-0000-0000-000023000000}"/>
    <cellStyle name="20% - アクセント 3 9 2" xfId="2045" xr:uid="{C1A48F1C-6510-4476-826E-3FEF1387425C}"/>
    <cellStyle name="20% - アクセント 4 2" xfId="50" xr:uid="{00000000-0005-0000-0000-000024000000}"/>
    <cellStyle name="20% - アクセント 4 2 2" xfId="1946" xr:uid="{00000000-0005-0000-0000-000025000000}"/>
    <cellStyle name="20% - アクセント 4 2 2 2" xfId="2046" xr:uid="{10512D14-D785-4938-AF10-8837B3012136}"/>
    <cellStyle name="20% - アクセント 4 2 3" xfId="2047" xr:uid="{B40E7246-FB72-4CA8-8CF1-B97FD6ECB82A}"/>
    <cellStyle name="20% - アクセント 4 3" xfId="51" xr:uid="{00000000-0005-0000-0000-000026000000}"/>
    <cellStyle name="20% - アクセント 4 3 2" xfId="2048" xr:uid="{E760E488-5D5E-4BA0-A78D-007CB5DD186D}"/>
    <cellStyle name="20% - アクセント 4 3 2 2" xfId="2049" xr:uid="{3078AB24-EDBA-44BA-A8C9-7A18C1E0ADDA}"/>
    <cellStyle name="20% - アクセント 4 3 3" xfId="2050" xr:uid="{D9183A2F-48E7-42B6-B982-395F467806A2}"/>
    <cellStyle name="20% - アクセント 4 4" xfId="52" xr:uid="{00000000-0005-0000-0000-000027000000}"/>
    <cellStyle name="20% - アクセント 4 4 2" xfId="2051" xr:uid="{BA3E50C5-D011-438C-983E-DB2C4DB9FD67}"/>
    <cellStyle name="20% - アクセント 4 5" xfId="53" xr:uid="{00000000-0005-0000-0000-000028000000}"/>
    <cellStyle name="20% - アクセント 4 5 2" xfId="2052" xr:uid="{E0D0D926-569C-47C0-A468-707C1DAB3AED}"/>
    <cellStyle name="20% - アクセント 4 5 3" xfId="2053" xr:uid="{967A11F4-A37D-4A4B-998C-09EF73A3C6E5}"/>
    <cellStyle name="20% - アクセント 4 5 4" xfId="2054" xr:uid="{3AD92A27-6088-45CF-8870-69F3A76F6812}"/>
    <cellStyle name="20% - アクセント 4 6" xfId="54" xr:uid="{00000000-0005-0000-0000-000029000000}"/>
    <cellStyle name="20% - アクセント 4 6 2" xfId="2055" xr:uid="{AEBFAB81-8E67-4995-9185-B60847D31768}"/>
    <cellStyle name="20% - アクセント 4 6 3" xfId="2056" xr:uid="{D7119EB4-5920-4A88-8322-D703DA426DC2}"/>
    <cellStyle name="20% - アクセント 4 6 4" xfId="2057" xr:uid="{AF011CA2-B5F7-4B9B-81B4-B02A7EADFF93}"/>
    <cellStyle name="20% - アクセント 4 7" xfId="55" xr:uid="{00000000-0005-0000-0000-00002A000000}"/>
    <cellStyle name="20% - アクセント 4 7 2" xfId="2058" xr:uid="{DCFDFE95-5478-4786-9C5E-35B275F37DF3}"/>
    <cellStyle name="20% - アクセント 4 8" xfId="56" xr:uid="{00000000-0005-0000-0000-00002B000000}"/>
    <cellStyle name="20% - アクセント 4 8 2" xfId="2059" xr:uid="{3B97BF00-9059-46D8-B16D-5FEA2BDC9365}"/>
    <cellStyle name="20% - アクセント 4 9" xfId="57" xr:uid="{00000000-0005-0000-0000-00002C000000}"/>
    <cellStyle name="20% - アクセント 4 9 2" xfId="2060" xr:uid="{5006B0CA-A57C-4961-B254-6E691E0BA230}"/>
    <cellStyle name="20% - アクセント 5 2" xfId="58" xr:uid="{00000000-0005-0000-0000-00002D000000}"/>
    <cellStyle name="20% - アクセント 5 2 2" xfId="1947" xr:uid="{00000000-0005-0000-0000-00002E000000}"/>
    <cellStyle name="20% - アクセント 5 2 2 2" xfId="2061" xr:uid="{E4E0FB7F-2654-4BB8-AB1A-7A583EF00EAA}"/>
    <cellStyle name="20% - アクセント 5 2 3" xfId="2062" xr:uid="{55C659B7-7874-4C01-866C-05CA3523B3DE}"/>
    <cellStyle name="20% - アクセント 5 3" xfId="59" xr:uid="{00000000-0005-0000-0000-00002F000000}"/>
    <cellStyle name="20% - アクセント 5 3 2" xfId="2063" xr:uid="{78545281-5B50-4EF8-82D4-F43D604FFAC6}"/>
    <cellStyle name="20% - アクセント 5 3 2 2" xfId="2064" xr:uid="{482185B5-4549-49C4-964E-42009E0FF29B}"/>
    <cellStyle name="20% - アクセント 5 3 3" xfId="2065" xr:uid="{A4D41BA9-2211-4474-A16C-71F216133333}"/>
    <cellStyle name="20% - アクセント 5 4" xfId="60" xr:uid="{00000000-0005-0000-0000-000030000000}"/>
    <cellStyle name="20% - アクセント 5 4 2" xfId="2066" xr:uid="{EDBF1861-EEC9-4073-9E64-C5A66A2830F6}"/>
    <cellStyle name="20% - アクセント 5 5" xfId="61" xr:uid="{00000000-0005-0000-0000-000031000000}"/>
    <cellStyle name="20% - アクセント 5 5 2" xfId="2067" xr:uid="{C453ED6C-5EFE-46FC-A01A-13DE4C5ACE72}"/>
    <cellStyle name="20% - アクセント 5 5 3" xfId="2068" xr:uid="{2BD0330E-5C78-4499-88E4-C52CB1BDB00A}"/>
    <cellStyle name="20% - アクセント 5 5 4" xfId="2069" xr:uid="{76A3B643-6ECB-4E43-B344-15FDC3C9CE23}"/>
    <cellStyle name="20% - アクセント 5 6" xfId="62" xr:uid="{00000000-0005-0000-0000-000032000000}"/>
    <cellStyle name="20% - アクセント 5 6 2" xfId="2070" xr:uid="{5C31B188-AF9E-4FF1-B78F-2C19EE8A1216}"/>
    <cellStyle name="20% - アクセント 5 6 3" xfId="2071" xr:uid="{2A3E5331-1237-4BFC-84E1-DE32AEBD3139}"/>
    <cellStyle name="20% - アクセント 5 6 4" xfId="2072" xr:uid="{4E52B732-EE1D-43C0-925B-998CDE14AEA8}"/>
    <cellStyle name="20% - アクセント 5 7" xfId="63" xr:uid="{00000000-0005-0000-0000-000033000000}"/>
    <cellStyle name="20% - アクセント 5 7 2" xfId="2073" xr:uid="{2A94A088-DA51-42DB-BE31-008E1333F5DA}"/>
    <cellStyle name="20% - アクセント 5 8" xfId="64" xr:uid="{00000000-0005-0000-0000-000034000000}"/>
    <cellStyle name="20% - アクセント 5 8 2" xfId="2074" xr:uid="{FAF88480-7092-4E24-867A-94D595A0CFED}"/>
    <cellStyle name="20% - アクセント 5 9" xfId="65" xr:uid="{00000000-0005-0000-0000-000035000000}"/>
    <cellStyle name="20% - アクセント 5 9 2" xfId="2075" xr:uid="{4EDA8515-A4F9-4298-B932-C1124C2735DA}"/>
    <cellStyle name="20% - アクセント 6 2" xfId="66" xr:uid="{00000000-0005-0000-0000-000036000000}"/>
    <cellStyle name="20% - アクセント 6 2 2" xfId="1948" xr:uid="{00000000-0005-0000-0000-000037000000}"/>
    <cellStyle name="20% - アクセント 6 2 2 2" xfId="2076" xr:uid="{4268DB1E-59BB-4762-8BA4-BBD91EDF15D5}"/>
    <cellStyle name="20% - アクセント 6 2 3" xfId="2077" xr:uid="{49AF49D2-7B54-4898-B922-A3211F2B68E3}"/>
    <cellStyle name="20% - アクセント 6 3" xfId="67" xr:uid="{00000000-0005-0000-0000-000038000000}"/>
    <cellStyle name="20% - アクセント 6 3 2" xfId="2078" xr:uid="{B47E7F3E-8692-4D60-9742-A69F665BC5E6}"/>
    <cellStyle name="20% - アクセント 6 3 2 2" xfId="2079" xr:uid="{91B5A4FB-D0CE-4747-A181-2FFB4B89F2E3}"/>
    <cellStyle name="20% - アクセント 6 3 3" xfId="2080" xr:uid="{B0783AA1-9083-4E52-8679-525EBB48AD06}"/>
    <cellStyle name="20% - アクセント 6 4" xfId="68" xr:uid="{00000000-0005-0000-0000-000039000000}"/>
    <cellStyle name="20% - アクセント 6 4 2" xfId="2081" xr:uid="{1711DD74-40F1-4CB2-B8A2-887762F12441}"/>
    <cellStyle name="20% - アクセント 6 5" xfId="69" xr:uid="{00000000-0005-0000-0000-00003A000000}"/>
    <cellStyle name="20% - アクセント 6 5 2" xfId="2082" xr:uid="{998A6ACD-C8E2-47B6-A887-C3FDBDF52247}"/>
    <cellStyle name="20% - アクセント 6 5 3" xfId="2083" xr:uid="{DB23C4DC-9903-48AE-80C6-92CB26D741D6}"/>
    <cellStyle name="20% - アクセント 6 5 4" xfId="2084" xr:uid="{15E3AC47-3C68-4A86-8853-B48326B383C8}"/>
    <cellStyle name="20% - アクセント 6 6" xfId="70" xr:uid="{00000000-0005-0000-0000-00003B000000}"/>
    <cellStyle name="20% - アクセント 6 6 2" xfId="2085" xr:uid="{77A5B83C-59EE-494B-B4FC-870C732319E8}"/>
    <cellStyle name="20% - アクセント 6 6 3" xfId="2086" xr:uid="{6023D4F0-A9FC-49EB-90E7-06E938BEE8D0}"/>
    <cellStyle name="20% - アクセント 6 6 4" xfId="2087" xr:uid="{D5EF6CF8-33E7-4E20-B3CB-307B80B8D38D}"/>
    <cellStyle name="20% - アクセント 6 7" xfId="71" xr:uid="{00000000-0005-0000-0000-00003C000000}"/>
    <cellStyle name="20% - アクセント 6 7 2" xfId="2088" xr:uid="{C483B535-8D66-489F-B414-13187F31FCD1}"/>
    <cellStyle name="20% - アクセント 6 8" xfId="72" xr:uid="{00000000-0005-0000-0000-00003D000000}"/>
    <cellStyle name="20% - アクセント 6 8 2" xfId="2089" xr:uid="{CD707252-F4A0-4E17-B96A-C433943B8AC9}"/>
    <cellStyle name="20% - アクセント 6 9" xfId="73" xr:uid="{00000000-0005-0000-0000-00003E000000}"/>
    <cellStyle name="20% - アクセント 6 9 2" xfId="2090" xr:uid="{0FD315A3-49A3-45CA-97B6-DD62A798F425}"/>
    <cellStyle name="40% - Accent1" xfId="74" xr:uid="{00000000-0005-0000-0000-00003F000000}"/>
    <cellStyle name="40% - Accent2" xfId="75" xr:uid="{00000000-0005-0000-0000-000040000000}"/>
    <cellStyle name="40% - Accent3" xfId="76" xr:uid="{00000000-0005-0000-0000-000041000000}"/>
    <cellStyle name="40% - Accent4" xfId="77" xr:uid="{00000000-0005-0000-0000-000042000000}"/>
    <cellStyle name="40% - Accent5" xfId="78" xr:uid="{00000000-0005-0000-0000-000043000000}"/>
    <cellStyle name="40% - Accent6" xfId="79" xr:uid="{00000000-0005-0000-0000-000044000000}"/>
    <cellStyle name="40% - アクセント 1 2" xfId="80" xr:uid="{00000000-0005-0000-0000-000045000000}"/>
    <cellStyle name="40% - アクセント 1 2 2" xfId="1949" xr:uid="{00000000-0005-0000-0000-000046000000}"/>
    <cellStyle name="40% - アクセント 1 2 2 2" xfId="2091" xr:uid="{E9946EE0-923D-41C1-BFB5-07166564BD07}"/>
    <cellStyle name="40% - アクセント 1 2 3" xfId="2092" xr:uid="{B83E27F5-A018-463C-8AA3-A188172AA414}"/>
    <cellStyle name="40% - アクセント 1 3" xfId="81" xr:uid="{00000000-0005-0000-0000-000047000000}"/>
    <cellStyle name="40% - アクセント 1 3 2" xfId="2093" xr:uid="{82D46C9F-6B6B-46D8-87BC-C0AB10EBC695}"/>
    <cellStyle name="40% - アクセント 1 3 2 2" xfId="2094" xr:uid="{40311A81-4314-4E48-A55B-CC08EFA8CF6D}"/>
    <cellStyle name="40% - アクセント 1 3 3" xfId="2095" xr:uid="{0133DE6B-1396-4744-BF42-E317DC503DD0}"/>
    <cellStyle name="40% - アクセント 1 4" xfId="82" xr:uid="{00000000-0005-0000-0000-000048000000}"/>
    <cellStyle name="40% - アクセント 1 4 2" xfId="2096" xr:uid="{B5285F9A-BA57-40C0-881E-F98763AD9432}"/>
    <cellStyle name="40% - アクセント 1 5" xfId="83" xr:uid="{00000000-0005-0000-0000-000049000000}"/>
    <cellStyle name="40% - アクセント 1 5 2" xfId="2097" xr:uid="{F9F1000B-AC66-4C32-882A-D7F045904D2C}"/>
    <cellStyle name="40% - アクセント 1 5 3" xfId="2098" xr:uid="{17A81B52-B3B6-4C22-8223-35ECEF485690}"/>
    <cellStyle name="40% - アクセント 1 5 4" xfId="2099" xr:uid="{73389DA2-F004-415E-BF55-103D4C9BA1C6}"/>
    <cellStyle name="40% - アクセント 1 6" xfId="84" xr:uid="{00000000-0005-0000-0000-00004A000000}"/>
    <cellStyle name="40% - アクセント 1 6 2" xfId="2100" xr:uid="{3A81168F-0781-4D77-BE08-ED7D70B35D72}"/>
    <cellStyle name="40% - アクセント 1 6 3" xfId="2101" xr:uid="{58A94C58-892B-49AA-BB92-155353C3CED9}"/>
    <cellStyle name="40% - アクセント 1 6 4" xfId="2102" xr:uid="{985F2FF1-8A01-463F-A9D1-D8E8AD0A1690}"/>
    <cellStyle name="40% - アクセント 1 7" xfId="85" xr:uid="{00000000-0005-0000-0000-00004B000000}"/>
    <cellStyle name="40% - アクセント 1 7 2" xfId="2103" xr:uid="{CFF3A203-147D-4D18-84BB-359DE1E7A802}"/>
    <cellStyle name="40% - アクセント 1 8" xfId="86" xr:uid="{00000000-0005-0000-0000-00004C000000}"/>
    <cellStyle name="40% - アクセント 1 8 2" xfId="2104" xr:uid="{73BD2392-2BD2-408D-8899-C8AA7753B18E}"/>
    <cellStyle name="40% - アクセント 1 9" xfId="87" xr:uid="{00000000-0005-0000-0000-00004D000000}"/>
    <cellStyle name="40% - アクセント 1 9 2" xfId="2105" xr:uid="{2796CB53-1454-488B-9EB6-2347CDD5CEB3}"/>
    <cellStyle name="40% - アクセント 2 2" xfId="88" xr:uid="{00000000-0005-0000-0000-00004E000000}"/>
    <cellStyle name="40% - アクセント 2 2 2" xfId="1950" xr:uid="{00000000-0005-0000-0000-00004F000000}"/>
    <cellStyle name="40% - アクセント 2 2 2 2" xfId="2106" xr:uid="{A1CC26A8-91B9-4793-99A0-D28746E3909C}"/>
    <cellStyle name="40% - アクセント 2 2 3" xfId="2107" xr:uid="{ED135469-8FF6-4A6F-83E4-CDC1ECC01834}"/>
    <cellStyle name="40% - アクセント 2 3" xfId="89" xr:uid="{00000000-0005-0000-0000-000050000000}"/>
    <cellStyle name="40% - アクセント 2 3 2" xfId="2108" xr:uid="{70937EBB-739C-4D5D-A3D8-33631A6BAB72}"/>
    <cellStyle name="40% - アクセント 2 3 2 2" xfId="2109" xr:uid="{96566EE2-BA3C-46C5-BDBA-3583D32B6F8C}"/>
    <cellStyle name="40% - アクセント 2 3 3" xfId="2110" xr:uid="{0ECE1D37-0C73-48A2-90C5-E365B2C1D94C}"/>
    <cellStyle name="40% - アクセント 2 4" xfId="90" xr:uid="{00000000-0005-0000-0000-000051000000}"/>
    <cellStyle name="40% - アクセント 2 4 2" xfId="2111" xr:uid="{17DA8D9C-D642-4D91-8C3D-DD2E248DF3CF}"/>
    <cellStyle name="40% - アクセント 2 5" xfId="91" xr:uid="{00000000-0005-0000-0000-000052000000}"/>
    <cellStyle name="40% - アクセント 2 5 2" xfId="2112" xr:uid="{C104A659-6036-47C2-B3DD-EF2A15594A3F}"/>
    <cellStyle name="40% - アクセント 2 5 3" xfId="2113" xr:uid="{73E05547-BB91-41E4-9BE7-6974DCC395D1}"/>
    <cellStyle name="40% - アクセント 2 5 4" xfId="2114" xr:uid="{72BFC362-C60B-4B8A-B104-A095218DB05A}"/>
    <cellStyle name="40% - アクセント 2 6" xfId="92" xr:uid="{00000000-0005-0000-0000-000053000000}"/>
    <cellStyle name="40% - アクセント 2 6 2" xfId="2115" xr:uid="{50C932BB-43B4-43EA-A73E-38A7AE86A605}"/>
    <cellStyle name="40% - アクセント 2 6 3" xfId="2116" xr:uid="{08CFEAB9-D73A-41B3-BF38-A31F02F08963}"/>
    <cellStyle name="40% - アクセント 2 6 4" xfId="2117" xr:uid="{288748B0-9F02-4141-935A-F186C90E8EBE}"/>
    <cellStyle name="40% - アクセント 2 7" xfId="93" xr:uid="{00000000-0005-0000-0000-000054000000}"/>
    <cellStyle name="40% - アクセント 2 7 2" xfId="2118" xr:uid="{E6725831-27AD-4885-8131-46EA67EC1EDC}"/>
    <cellStyle name="40% - アクセント 2 8" xfId="94" xr:uid="{00000000-0005-0000-0000-000055000000}"/>
    <cellStyle name="40% - アクセント 2 8 2" xfId="2119" xr:uid="{82AE568A-3ED3-4147-96AC-EB10E9EFA3D6}"/>
    <cellStyle name="40% - アクセント 2 9" xfId="95" xr:uid="{00000000-0005-0000-0000-000056000000}"/>
    <cellStyle name="40% - アクセント 2 9 2" xfId="2120" xr:uid="{29180D88-B049-432D-9834-2860253C9B43}"/>
    <cellStyle name="40% - アクセント 3 2" xfId="96" xr:uid="{00000000-0005-0000-0000-000057000000}"/>
    <cellStyle name="40% - アクセント 3 2 2" xfId="1951" xr:uid="{00000000-0005-0000-0000-000058000000}"/>
    <cellStyle name="40% - アクセント 3 2 2 2" xfId="2121" xr:uid="{08052F88-3D37-4DF8-BA67-A499A62F86B5}"/>
    <cellStyle name="40% - アクセント 3 2 3" xfId="2122" xr:uid="{C8BA8833-2102-4D89-BE70-7CD16192AB5D}"/>
    <cellStyle name="40% - アクセント 3 3" xfId="97" xr:uid="{00000000-0005-0000-0000-000059000000}"/>
    <cellStyle name="40% - アクセント 3 3 2" xfId="2123" xr:uid="{A749E3B8-5B8B-4620-A757-2E1CF2F32EEB}"/>
    <cellStyle name="40% - アクセント 3 3 2 2" xfId="2124" xr:uid="{968F89F6-7777-4230-8988-5E3C12C567F5}"/>
    <cellStyle name="40% - アクセント 3 3 3" xfId="2125" xr:uid="{E6203F70-E4B6-4C88-A1A3-1673D50E6E3A}"/>
    <cellStyle name="40% - アクセント 3 4" xfId="98" xr:uid="{00000000-0005-0000-0000-00005A000000}"/>
    <cellStyle name="40% - アクセント 3 4 2" xfId="2126" xr:uid="{DC33DBCC-6AFF-42DA-ACB8-563B7E33D5DD}"/>
    <cellStyle name="40% - アクセント 3 5" xfId="99" xr:uid="{00000000-0005-0000-0000-00005B000000}"/>
    <cellStyle name="40% - アクセント 3 5 2" xfId="2127" xr:uid="{8779BFD9-0754-46A5-B5EC-8AAAB43A74E9}"/>
    <cellStyle name="40% - アクセント 3 5 3" xfId="2128" xr:uid="{3D223124-CD43-4B22-BE9C-AB52DF940B83}"/>
    <cellStyle name="40% - アクセント 3 5 4" xfId="2129" xr:uid="{AD6B4913-DF48-4A15-A6B2-A2DBE74AFCE7}"/>
    <cellStyle name="40% - アクセント 3 6" xfId="100" xr:uid="{00000000-0005-0000-0000-00005C000000}"/>
    <cellStyle name="40% - アクセント 3 6 2" xfId="2130" xr:uid="{1C9124AB-7E9E-4656-9ED2-46E20E01A982}"/>
    <cellStyle name="40% - アクセント 3 6 3" xfId="2131" xr:uid="{EBAFE390-A7EE-4F78-9337-69B5D5CCB00B}"/>
    <cellStyle name="40% - アクセント 3 6 4" xfId="2132" xr:uid="{08158BBD-8A13-4076-BA42-F1C4B893DE87}"/>
    <cellStyle name="40% - アクセント 3 7" xfId="101" xr:uid="{00000000-0005-0000-0000-00005D000000}"/>
    <cellStyle name="40% - アクセント 3 7 2" xfId="2133" xr:uid="{7B4C431F-40C0-4663-807E-6960815878DB}"/>
    <cellStyle name="40% - アクセント 3 8" xfId="102" xr:uid="{00000000-0005-0000-0000-00005E000000}"/>
    <cellStyle name="40% - アクセント 3 8 2" xfId="2134" xr:uid="{9B84DBBA-BE4E-4D27-9897-9FBA11D599EA}"/>
    <cellStyle name="40% - アクセント 3 9" xfId="103" xr:uid="{00000000-0005-0000-0000-00005F000000}"/>
    <cellStyle name="40% - アクセント 3 9 2" xfId="2135" xr:uid="{BAD90330-7B35-4D0E-9FE3-80F7578BC8A8}"/>
    <cellStyle name="40% - アクセント 4 2" xfId="104" xr:uid="{00000000-0005-0000-0000-000060000000}"/>
    <cellStyle name="40% - アクセント 4 2 2" xfId="1952" xr:uid="{00000000-0005-0000-0000-000061000000}"/>
    <cellStyle name="40% - アクセント 4 2 2 2" xfId="2136" xr:uid="{92F54CCE-80A4-448C-AF2D-55D087FB46C2}"/>
    <cellStyle name="40% - アクセント 4 2 3" xfId="2137" xr:uid="{020F3C51-74AF-4460-913B-72F7B7DE0267}"/>
    <cellStyle name="40% - アクセント 4 3" xfId="105" xr:uid="{00000000-0005-0000-0000-000062000000}"/>
    <cellStyle name="40% - アクセント 4 3 2" xfId="2138" xr:uid="{CA8D3C04-7D20-4DCE-A396-B053C3AC276B}"/>
    <cellStyle name="40% - アクセント 4 3 2 2" xfId="2139" xr:uid="{88026AB1-386A-4128-B002-AF9F20934FA9}"/>
    <cellStyle name="40% - アクセント 4 3 3" xfId="2140" xr:uid="{73F8BE53-D072-4321-94E3-CC21096FDB9A}"/>
    <cellStyle name="40% - アクセント 4 4" xfId="106" xr:uid="{00000000-0005-0000-0000-000063000000}"/>
    <cellStyle name="40% - アクセント 4 4 2" xfId="2141" xr:uid="{16D24BC2-0872-4103-9E0A-5C5CA29CCFC4}"/>
    <cellStyle name="40% - アクセント 4 5" xfId="107" xr:uid="{00000000-0005-0000-0000-000064000000}"/>
    <cellStyle name="40% - アクセント 4 5 2" xfId="2142" xr:uid="{6329E02D-FDBE-421A-A4C0-B3FECEEA12C7}"/>
    <cellStyle name="40% - アクセント 4 5 3" xfId="2143" xr:uid="{68A5A13F-5704-4975-8544-1CD5642E8EC9}"/>
    <cellStyle name="40% - アクセント 4 5 4" xfId="2144" xr:uid="{CB852A09-2744-4044-97C0-D85399482217}"/>
    <cellStyle name="40% - アクセント 4 6" xfId="108" xr:uid="{00000000-0005-0000-0000-000065000000}"/>
    <cellStyle name="40% - アクセント 4 6 2" xfId="2145" xr:uid="{21A692EF-6273-44D4-84E4-C0B4AAECE87C}"/>
    <cellStyle name="40% - アクセント 4 6 3" xfId="2146" xr:uid="{0D2CD126-4AD3-460F-90BE-635B28DCD5AC}"/>
    <cellStyle name="40% - アクセント 4 6 4" xfId="2147" xr:uid="{4FEEFE40-DFF5-443F-9A83-5E32F301C28F}"/>
    <cellStyle name="40% - アクセント 4 7" xfId="109" xr:uid="{00000000-0005-0000-0000-000066000000}"/>
    <cellStyle name="40% - アクセント 4 7 2" xfId="2148" xr:uid="{C184441B-3932-4496-991B-C8DDB2F422A8}"/>
    <cellStyle name="40% - アクセント 4 8" xfId="110" xr:uid="{00000000-0005-0000-0000-000067000000}"/>
    <cellStyle name="40% - アクセント 4 8 2" xfId="2149" xr:uid="{BC87D735-266E-465F-AF77-64208FA5495D}"/>
    <cellStyle name="40% - アクセント 4 9" xfId="111" xr:uid="{00000000-0005-0000-0000-000068000000}"/>
    <cellStyle name="40% - アクセント 4 9 2" xfId="2150" xr:uid="{5CDA3A0F-ED35-4509-9F29-CBA01E2840B9}"/>
    <cellStyle name="40% - アクセント 5 2" xfId="112" xr:uid="{00000000-0005-0000-0000-000069000000}"/>
    <cellStyle name="40% - アクセント 5 2 2" xfId="1953" xr:uid="{00000000-0005-0000-0000-00006A000000}"/>
    <cellStyle name="40% - アクセント 5 2 2 2" xfId="2151" xr:uid="{F3822CB8-1A07-4183-8AFB-7EAD3A0BA72D}"/>
    <cellStyle name="40% - アクセント 5 2 3" xfId="2152" xr:uid="{C395B50C-8184-4009-A802-975236CA9A26}"/>
    <cellStyle name="40% - アクセント 5 3" xfId="113" xr:uid="{00000000-0005-0000-0000-00006B000000}"/>
    <cellStyle name="40% - アクセント 5 3 2" xfId="2153" xr:uid="{3416DF58-3772-4BC1-8A4C-C41510B061FE}"/>
    <cellStyle name="40% - アクセント 5 3 2 2" xfId="2154" xr:uid="{144A014C-A94E-49DC-97FF-0192670E0548}"/>
    <cellStyle name="40% - アクセント 5 3 3" xfId="2155" xr:uid="{5132A7A1-0CBD-4186-8286-403CB1CC8BA9}"/>
    <cellStyle name="40% - アクセント 5 4" xfId="114" xr:uid="{00000000-0005-0000-0000-00006C000000}"/>
    <cellStyle name="40% - アクセント 5 4 2" xfId="2156" xr:uid="{611B88AA-30E3-49C0-8992-963D2A1169ED}"/>
    <cellStyle name="40% - アクセント 5 5" xfId="115" xr:uid="{00000000-0005-0000-0000-00006D000000}"/>
    <cellStyle name="40% - アクセント 5 5 2" xfId="2157" xr:uid="{368FFD97-3B68-4D33-9843-C2BE23A49144}"/>
    <cellStyle name="40% - アクセント 5 5 3" xfId="2158" xr:uid="{80519B86-544E-42B4-84D4-6276DDB4B1EB}"/>
    <cellStyle name="40% - アクセント 5 5 4" xfId="2159" xr:uid="{B4F3BB47-A84C-464F-90A6-2216805ED5FA}"/>
    <cellStyle name="40% - アクセント 5 6" xfId="116" xr:uid="{00000000-0005-0000-0000-00006E000000}"/>
    <cellStyle name="40% - アクセント 5 6 2" xfId="2160" xr:uid="{E63C5D67-27E1-42CC-8C2C-9B0280CF2D19}"/>
    <cellStyle name="40% - アクセント 5 6 3" xfId="2161" xr:uid="{88C3426E-C5EA-4DE3-9E28-CDF7C904779B}"/>
    <cellStyle name="40% - アクセント 5 6 4" xfId="2162" xr:uid="{99E24652-10EB-43C8-A40B-82D3D2EC9A35}"/>
    <cellStyle name="40% - アクセント 5 7" xfId="117" xr:uid="{00000000-0005-0000-0000-00006F000000}"/>
    <cellStyle name="40% - アクセント 5 7 2" xfId="2163" xr:uid="{B27E885D-21F1-4240-A454-494F59829CB3}"/>
    <cellStyle name="40% - アクセント 5 8" xfId="118" xr:uid="{00000000-0005-0000-0000-000070000000}"/>
    <cellStyle name="40% - アクセント 5 8 2" xfId="2164" xr:uid="{F346A775-67D2-4620-8EEC-1871779F9103}"/>
    <cellStyle name="40% - アクセント 5 9" xfId="119" xr:uid="{00000000-0005-0000-0000-000071000000}"/>
    <cellStyle name="40% - アクセント 5 9 2" xfId="2165" xr:uid="{6FFAE89C-4CB1-4933-91D7-D2B16B4D3AC4}"/>
    <cellStyle name="40% - アクセント 6 2" xfId="120" xr:uid="{00000000-0005-0000-0000-000072000000}"/>
    <cellStyle name="40% - アクセント 6 2 2" xfId="1954" xr:uid="{00000000-0005-0000-0000-000073000000}"/>
    <cellStyle name="40% - アクセント 6 2 2 2" xfId="2166" xr:uid="{8EA3FF11-3EF7-4047-B6FD-84D5C30799A2}"/>
    <cellStyle name="40% - アクセント 6 2 3" xfId="2167" xr:uid="{C2C47AD7-172B-40B7-A9AA-3CBE3314B051}"/>
    <cellStyle name="40% - アクセント 6 3" xfId="121" xr:uid="{00000000-0005-0000-0000-000074000000}"/>
    <cellStyle name="40% - アクセント 6 3 2" xfId="2168" xr:uid="{7D17ECD8-7966-4981-885D-E6A42F12605D}"/>
    <cellStyle name="40% - アクセント 6 3 2 2" xfId="2169" xr:uid="{5C0F1E60-79F6-49BD-BE7A-F7D30A430665}"/>
    <cellStyle name="40% - アクセント 6 3 3" xfId="2170" xr:uid="{D35D29AD-C679-432D-8DE2-C7C23AAB9258}"/>
    <cellStyle name="40% - アクセント 6 4" xfId="122" xr:uid="{00000000-0005-0000-0000-000075000000}"/>
    <cellStyle name="40% - アクセント 6 4 2" xfId="2171" xr:uid="{B552768D-A248-4104-B8F7-EF7040017849}"/>
    <cellStyle name="40% - アクセント 6 5" xfId="123" xr:uid="{00000000-0005-0000-0000-000076000000}"/>
    <cellStyle name="40% - アクセント 6 5 2" xfId="2172" xr:uid="{00EA8303-F3B8-4D0E-B7AB-2C5CD229E5C0}"/>
    <cellStyle name="40% - アクセント 6 5 3" xfId="2173" xr:uid="{C1FC4B2B-0059-4109-A112-0A8CD627817D}"/>
    <cellStyle name="40% - アクセント 6 5 4" xfId="2174" xr:uid="{2EAE765B-53D8-49D5-83BD-751200855356}"/>
    <cellStyle name="40% - アクセント 6 6" xfId="124" xr:uid="{00000000-0005-0000-0000-000077000000}"/>
    <cellStyle name="40% - アクセント 6 6 2" xfId="2175" xr:uid="{A87ED357-24D6-459A-BC6D-22B8EE218A6F}"/>
    <cellStyle name="40% - アクセント 6 6 3" xfId="2176" xr:uid="{70D50D43-2976-4DF9-81EB-7C48D364A215}"/>
    <cellStyle name="40% - アクセント 6 6 4" xfId="2177" xr:uid="{BA3E8FB5-16D9-4C3B-B98C-FA2DD65899AA}"/>
    <cellStyle name="40% - アクセント 6 7" xfId="125" xr:uid="{00000000-0005-0000-0000-000078000000}"/>
    <cellStyle name="40% - アクセント 6 7 2" xfId="2178" xr:uid="{B381775C-8C34-455C-8D94-0A0575B5D4FB}"/>
    <cellStyle name="40% - アクセント 6 8" xfId="126" xr:uid="{00000000-0005-0000-0000-000079000000}"/>
    <cellStyle name="40% - アクセント 6 8 2" xfId="2179" xr:uid="{8F80D410-6D96-4BDA-BC21-C9982B7193A2}"/>
    <cellStyle name="40% - アクセント 6 9" xfId="127" xr:uid="{00000000-0005-0000-0000-00007A000000}"/>
    <cellStyle name="40% - アクセント 6 9 2" xfId="2180" xr:uid="{8CA583F1-11C6-40A0-99E8-76C2F6195857}"/>
    <cellStyle name="60% - Accent1" xfId="128" xr:uid="{00000000-0005-0000-0000-00007B000000}"/>
    <cellStyle name="60% - Accent2" xfId="129" xr:uid="{00000000-0005-0000-0000-00007C000000}"/>
    <cellStyle name="60% - Accent3" xfId="130" xr:uid="{00000000-0005-0000-0000-00007D000000}"/>
    <cellStyle name="60% - Accent4" xfId="131" xr:uid="{00000000-0005-0000-0000-00007E000000}"/>
    <cellStyle name="60% - Accent5" xfId="132" xr:uid="{00000000-0005-0000-0000-00007F000000}"/>
    <cellStyle name="60% - Accent6" xfId="133" xr:uid="{00000000-0005-0000-0000-000080000000}"/>
    <cellStyle name="60% - アクセント 1 2" xfId="134" xr:uid="{00000000-0005-0000-0000-000081000000}"/>
    <cellStyle name="60% - アクセント 1 2 2" xfId="1955" xr:uid="{00000000-0005-0000-0000-000082000000}"/>
    <cellStyle name="60% - アクセント 1 3" xfId="135" xr:uid="{00000000-0005-0000-0000-000083000000}"/>
    <cellStyle name="60% - アクセント 1 3 2" xfId="2181" xr:uid="{4B564ED6-4A84-4A4F-9BE0-7193E57BA3C4}"/>
    <cellStyle name="60% - アクセント 1 4" xfId="136" xr:uid="{00000000-0005-0000-0000-000084000000}"/>
    <cellStyle name="60% - アクセント 1 4 2" xfId="2182" xr:uid="{E1B397EB-A152-411B-97B6-2BDACAA6A1BC}"/>
    <cellStyle name="60% - アクセント 1 5" xfId="137" xr:uid="{00000000-0005-0000-0000-000085000000}"/>
    <cellStyle name="60% - アクセント 1 5 2" xfId="2183" xr:uid="{652CED89-93AC-4720-8F6B-DDAF69118E8D}"/>
    <cellStyle name="60% - アクセント 1 5 3" xfId="2184" xr:uid="{AAF5B291-4D62-402A-8245-E2F1D20B588A}"/>
    <cellStyle name="60% - アクセント 1 5 4" xfId="2185" xr:uid="{C05570F1-7E22-4067-AD00-8811539669BD}"/>
    <cellStyle name="60% - アクセント 1 6" xfId="138" xr:uid="{00000000-0005-0000-0000-000086000000}"/>
    <cellStyle name="60% - アクセント 1 6 2" xfId="2186" xr:uid="{C6DF794F-C04E-4168-BAE2-6349DE6CF710}"/>
    <cellStyle name="60% - アクセント 1 6 3" xfId="2187" xr:uid="{85EAFA7E-B18F-4888-81C1-9CB2B80F23D5}"/>
    <cellStyle name="60% - アクセント 1 6 4" xfId="2188" xr:uid="{8056974B-27F1-428A-B642-9608C3A24740}"/>
    <cellStyle name="60% - アクセント 1 7" xfId="139" xr:uid="{00000000-0005-0000-0000-000087000000}"/>
    <cellStyle name="60% - アクセント 1 7 2" xfId="2189" xr:uid="{1A2FA883-0A17-4DAD-83E5-67D7C2E260F6}"/>
    <cellStyle name="60% - アクセント 1 8" xfId="140" xr:uid="{00000000-0005-0000-0000-000088000000}"/>
    <cellStyle name="60% - アクセント 1 8 2" xfId="2190" xr:uid="{C4D69092-9EBE-4320-B699-FD03F8E0B27C}"/>
    <cellStyle name="60% - アクセント 1 9" xfId="141" xr:uid="{00000000-0005-0000-0000-000089000000}"/>
    <cellStyle name="60% - アクセント 1 9 2" xfId="2191" xr:uid="{7600359D-893C-4475-978F-F375D6176FD7}"/>
    <cellStyle name="60% - アクセント 2 2" xfId="142" xr:uid="{00000000-0005-0000-0000-00008A000000}"/>
    <cellStyle name="60% - アクセント 2 2 2" xfId="1956" xr:uid="{00000000-0005-0000-0000-00008B000000}"/>
    <cellStyle name="60% - アクセント 2 3" xfId="143" xr:uid="{00000000-0005-0000-0000-00008C000000}"/>
    <cellStyle name="60% - アクセント 2 3 2" xfId="2192" xr:uid="{87F4359A-6159-4043-88E8-864B9928E0E3}"/>
    <cellStyle name="60% - アクセント 2 4" xfId="144" xr:uid="{00000000-0005-0000-0000-00008D000000}"/>
    <cellStyle name="60% - アクセント 2 4 2" xfId="2193" xr:uid="{A17B8E30-09B5-4F99-A9A8-D9208EDCBAB7}"/>
    <cellStyle name="60% - アクセント 2 5" xfId="145" xr:uid="{00000000-0005-0000-0000-00008E000000}"/>
    <cellStyle name="60% - アクセント 2 5 2" xfId="2194" xr:uid="{6333F74C-76F4-4B4B-88CC-9C028FC32BBF}"/>
    <cellStyle name="60% - アクセント 2 5 3" xfId="2195" xr:uid="{9C3E3CBF-2635-454E-9D0E-1ED0219CBD67}"/>
    <cellStyle name="60% - アクセント 2 5 4" xfId="2196" xr:uid="{F49F794D-32EB-42F8-8EDE-03B83AC1DFAF}"/>
    <cellStyle name="60% - アクセント 2 6" xfId="146" xr:uid="{00000000-0005-0000-0000-00008F000000}"/>
    <cellStyle name="60% - アクセント 2 6 2" xfId="2197" xr:uid="{8C82E713-033C-4B98-B009-405D7533AB42}"/>
    <cellStyle name="60% - アクセント 2 6 3" xfId="2198" xr:uid="{4BF972F2-30FF-4433-A65B-5BDC2BED1D0A}"/>
    <cellStyle name="60% - アクセント 2 6 4" xfId="2199" xr:uid="{1DEA46F7-AEEA-4D99-AA3A-EF6759EEEA1A}"/>
    <cellStyle name="60% - アクセント 2 7" xfId="147" xr:uid="{00000000-0005-0000-0000-000090000000}"/>
    <cellStyle name="60% - アクセント 2 7 2" xfId="2200" xr:uid="{8FAB03D2-9244-4FEE-97F8-B9CAEBCC689E}"/>
    <cellStyle name="60% - アクセント 2 8" xfId="148" xr:uid="{00000000-0005-0000-0000-000091000000}"/>
    <cellStyle name="60% - アクセント 2 8 2" xfId="2201" xr:uid="{B86603B2-AEA0-46B7-B737-64534D4B0F72}"/>
    <cellStyle name="60% - アクセント 2 9" xfId="149" xr:uid="{00000000-0005-0000-0000-000092000000}"/>
    <cellStyle name="60% - アクセント 2 9 2" xfId="2202" xr:uid="{F65269A8-BE2A-4826-B51F-9AD74270696A}"/>
    <cellStyle name="60% - アクセント 3 2" xfId="150" xr:uid="{00000000-0005-0000-0000-000093000000}"/>
    <cellStyle name="60% - アクセント 3 2 2" xfId="1957" xr:uid="{00000000-0005-0000-0000-000094000000}"/>
    <cellStyle name="60% - アクセント 3 3" xfId="151" xr:uid="{00000000-0005-0000-0000-000095000000}"/>
    <cellStyle name="60% - アクセント 3 3 2" xfId="2203" xr:uid="{F9E6DE31-37A7-4BDC-8EDE-55A67C52D129}"/>
    <cellStyle name="60% - アクセント 3 4" xfId="152" xr:uid="{00000000-0005-0000-0000-000096000000}"/>
    <cellStyle name="60% - アクセント 3 4 2" xfId="2204" xr:uid="{6570DCF1-7662-4A7A-98A8-AD237373F929}"/>
    <cellStyle name="60% - アクセント 3 5" xfId="153" xr:uid="{00000000-0005-0000-0000-000097000000}"/>
    <cellStyle name="60% - アクセント 3 5 2" xfId="2205" xr:uid="{7A4F5060-C57C-4C80-B0FA-208EFF131099}"/>
    <cellStyle name="60% - アクセント 3 5 3" xfId="2206" xr:uid="{61D2F268-A5D0-4B27-A337-7C319804EE8B}"/>
    <cellStyle name="60% - アクセント 3 5 4" xfId="2207" xr:uid="{12C84C7F-F0B3-490D-BAEF-3E6F42185D0C}"/>
    <cellStyle name="60% - アクセント 3 6" xfId="154" xr:uid="{00000000-0005-0000-0000-000098000000}"/>
    <cellStyle name="60% - アクセント 3 6 2" xfId="2208" xr:uid="{2B1956C4-FBB8-41FC-9309-8A7D65A3333B}"/>
    <cellStyle name="60% - アクセント 3 6 3" xfId="2209" xr:uid="{FC4E0762-6A46-4B27-8E23-295B0448EB91}"/>
    <cellStyle name="60% - アクセント 3 6 4" xfId="2210" xr:uid="{41DBA6C6-F1DA-4708-B9B1-B87A96040C7E}"/>
    <cellStyle name="60% - アクセント 3 7" xfId="155" xr:uid="{00000000-0005-0000-0000-000099000000}"/>
    <cellStyle name="60% - アクセント 3 7 2" xfId="2211" xr:uid="{B89C1A32-9478-4704-93EC-7062E2376845}"/>
    <cellStyle name="60% - アクセント 3 8" xfId="156" xr:uid="{00000000-0005-0000-0000-00009A000000}"/>
    <cellStyle name="60% - アクセント 3 8 2" xfId="2212" xr:uid="{0DFA91FC-963C-46F8-A85F-275092F053A8}"/>
    <cellStyle name="60% - アクセント 3 9" xfId="157" xr:uid="{00000000-0005-0000-0000-00009B000000}"/>
    <cellStyle name="60% - アクセント 3 9 2" xfId="2213" xr:uid="{3D24A0CA-5FE8-4B5A-9D6D-F37A553C6222}"/>
    <cellStyle name="60% - アクセント 4 2" xfId="158" xr:uid="{00000000-0005-0000-0000-00009C000000}"/>
    <cellStyle name="60% - アクセント 4 2 2" xfId="1958" xr:uid="{00000000-0005-0000-0000-00009D000000}"/>
    <cellStyle name="60% - アクセント 4 3" xfId="159" xr:uid="{00000000-0005-0000-0000-00009E000000}"/>
    <cellStyle name="60% - アクセント 4 3 2" xfId="2214" xr:uid="{6F66F3D1-CA03-4AE7-976F-46609E7D5441}"/>
    <cellStyle name="60% - アクセント 4 4" xfId="160" xr:uid="{00000000-0005-0000-0000-00009F000000}"/>
    <cellStyle name="60% - アクセント 4 4 2" xfId="2215" xr:uid="{7866777A-658F-4217-86AD-B9362A507A7D}"/>
    <cellStyle name="60% - アクセント 4 5" xfId="161" xr:uid="{00000000-0005-0000-0000-0000A0000000}"/>
    <cellStyle name="60% - アクセント 4 5 2" xfId="2216" xr:uid="{AE0418FB-1F0B-4EB2-8AF3-8A5FDE0D4D14}"/>
    <cellStyle name="60% - アクセント 4 5 3" xfId="2217" xr:uid="{80EF4D29-DC53-43A6-B293-CFFFB460D0AA}"/>
    <cellStyle name="60% - アクセント 4 5 4" xfId="2218" xr:uid="{E87CAAD7-F934-4BB3-89FB-25453465E3F9}"/>
    <cellStyle name="60% - アクセント 4 6" xfId="162" xr:uid="{00000000-0005-0000-0000-0000A1000000}"/>
    <cellStyle name="60% - アクセント 4 6 2" xfId="2219" xr:uid="{933C9416-009C-4555-9D91-FF8FE26354F6}"/>
    <cellStyle name="60% - アクセント 4 6 3" xfId="2220" xr:uid="{AA5E94E2-2112-4CA2-AE31-9699EB1091F0}"/>
    <cellStyle name="60% - アクセント 4 6 4" xfId="2221" xr:uid="{D52B68AA-12CD-4A76-9E7D-6E0EFBE15E4F}"/>
    <cellStyle name="60% - アクセント 4 7" xfId="163" xr:uid="{00000000-0005-0000-0000-0000A2000000}"/>
    <cellStyle name="60% - アクセント 4 7 2" xfId="2222" xr:uid="{E674B947-ADAE-448F-8AD1-6CE55BF38457}"/>
    <cellStyle name="60% - アクセント 4 8" xfId="164" xr:uid="{00000000-0005-0000-0000-0000A3000000}"/>
    <cellStyle name="60% - アクセント 4 8 2" xfId="2223" xr:uid="{E9AD6E77-9409-4780-8A8D-CB35C629BB5D}"/>
    <cellStyle name="60% - アクセント 4 9" xfId="165" xr:uid="{00000000-0005-0000-0000-0000A4000000}"/>
    <cellStyle name="60% - アクセント 4 9 2" xfId="2224" xr:uid="{B7F75E0D-D278-472E-8A22-184DCA888E6B}"/>
    <cellStyle name="60% - アクセント 5 2" xfId="166" xr:uid="{00000000-0005-0000-0000-0000A5000000}"/>
    <cellStyle name="60% - アクセント 5 2 2" xfId="1959" xr:uid="{00000000-0005-0000-0000-0000A6000000}"/>
    <cellStyle name="60% - アクセント 5 3" xfId="167" xr:uid="{00000000-0005-0000-0000-0000A7000000}"/>
    <cellStyle name="60% - アクセント 5 3 2" xfId="2225" xr:uid="{2356926B-11E0-4AEE-84B8-D1D610C88C51}"/>
    <cellStyle name="60% - アクセント 5 4" xfId="168" xr:uid="{00000000-0005-0000-0000-0000A8000000}"/>
    <cellStyle name="60% - アクセント 5 4 2" xfId="2226" xr:uid="{4C340E45-021E-45B1-B514-285AB4345060}"/>
    <cellStyle name="60% - アクセント 5 5" xfId="169" xr:uid="{00000000-0005-0000-0000-0000A9000000}"/>
    <cellStyle name="60% - アクセント 5 5 2" xfId="2227" xr:uid="{F72A0213-DD70-4D7A-A902-F61792CB3845}"/>
    <cellStyle name="60% - アクセント 5 5 3" xfId="2228" xr:uid="{EFAD40EE-222D-4704-ABE6-E6AFA2B0B63C}"/>
    <cellStyle name="60% - アクセント 5 5 4" xfId="2229" xr:uid="{ECD130AE-507D-471C-B45C-D80C6C81522A}"/>
    <cellStyle name="60% - アクセント 5 6" xfId="170" xr:uid="{00000000-0005-0000-0000-0000AA000000}"/>
    <cellStyle name="60% - アクセント 5 6 2" xfId="2230" xr:uid="{4D20DE52-91C8-496F-8BC5-0A8E930E9882}"/>
    <cellStyle name="60% - アクセント 5 6 3" xfId="2231" xr:uid="{FCAA9364-2C29-43DE-A7EF-89B21244B35F}"/>
    <cellStyle name="60% - アクセント 5 6 4" xfId="2232" xr:uid="{B38ED5FE-C8DF-4AB5-803A-32357D77DD6E}"/>
    <cellStyle name="60% - アクセント 5 7" xfId="171" xr:uid="{00000000-0005-0000-0000-0000AB000000}"/>
    <cellStyle name="60% - アクセント 5 7 2" xfId="2233" xr:uid="{D4028B80-4F6B-4CBF-AA87-DBFB04A88F0B}"/>
    <cellStyle name="60% - アクセント 5 8" xfId="172" xr:uid="{00000000-0005-0000-0000-0000AC000000}"/>
    <cellStyle name="60% - アクセント 5 8 2" xfId="2234" xr:uid="{CBEBB436-8F02-4B8C-8B47-43E2D159D10B}"/>
    <cellStyle name="60% - アクセント 5 9" xfId="173" xr:uid="{00000000-0005-0000-0000-0000AD000000}"/>
    <cellStyle name="60% - アクセント 5 9 2" xfId="2235" xr:uid="{19471C9D-13A8-4DB3-AEF6-BBD59FEBFBAB}"/>
    <cellStyle name="60% - アクセント 6 2" xfId="174" xr:uid="{00000000-0005-0000-0000-0000AE000000}"/>
    <cellStyle name="60% - アクセント 6 2 2" xfId="1960" xr:uid="{00000000-0005-0000-0000-0000AF000000}"/>
    <cellStyle name="60% - アクセント 6 3" xfId="175" xr:uid="{00000000-0005-0000-0000-0000B0000000}"/>
    <cellStyle name="60% - アクセント 6 3 2" xfId="2236" xr:uid="{D2751E14-3DB0-47BF-92F5-AF862289502A}"/>
    <cellStyle name="60% - アクセント 6 4" xfId="176" xr:uid="{00000000-0005-0000-0000-0000B1000000}"/>
    <cellStyle name="60% - アクセント 6 4 2" xfId="2237" xr:uid="{8CFA3B2F-179E-4D7D-B509-2C3F70B8C5B2}"/>
    <cellStyle name="60% - アクセント 6 5" xfId="177" xr:uid="{00000000-0005-0000-0000-0000B2000000}"/>
    <cellStyle name="60% - アクセント 6 5 2" xfId="2238" xr:uid="{8BFD048A-DD2F-4C32-B579-E27B573CE697}"/>
    <cellStyle name="60% - アクセント 6 5 3" xfId="2239" xr:uid="{83FA01E0-147A-40B7-BD55-3F43C5AB3A8A}"/>
    <cellStyle name="60% - アクセント 6 5 4" xfId="2240" xr:uid="{DA39297B-E77B-45CE-893D-AEB820DF5B46}"/>
    <cellStyle name="60% - アクセント 6 6" xfId="178" xr:uid="{00000000-0005-0000-0000-0000B3000000}"/>
    <cellStyle name="60% - アクセント 6 6 2" xfId="2241" xr:uid="{AB97F5FD-FEF2-4C1D-81E3-9AC1CE66406A}"/>
    <cellStyle name="60% - アクセント 6 6 3" xfId="2242" xr:uid="{0070228C-5A82-4F8D-A1EB-4FEFC1576018}"/>
    <cellStyle name="60% - アクセント 6 6 4" xfId="2243" xr:uid="{71E91F9F-01E3-4277-A9EC-03D691B383FB}"/>
    <cellStyle name="60% - アクセント 6 7" xfId="179" xr:uid="{00000000-0005-0000-0000-0000B4000000}"/>
    <cellStyle name="60% - アクセント 6 7 2" xfId="2244" xr:uid="{E6DB6642-0BF8-4A78-B1C6-F63FFD2A694E}"/>
    <cellStyle name="60% - アクセント 6 8" xfId="180" xr:uid="{00000000-0005-0000-0000-0000B5000000}"/>
    <cellStyle name="60% - アクセント 6 8 2" xfId="2245" xr:uid="{F30B6933-5346-475E-B653-57676E5C934F}"/>
    <cellStyle name="60% - アクセント 6 9" xfId="181" xr:uid="{00000000-0005-0000-0000-0000B6000000}"/>
    <cellStyle name="60% - アクセント 6 9 2" xfId="2246" xr:uid="{474F4AEF-6687-49F3-8BE7-BEAAB713668E}"/>
    <cellStyle name="Accent1" xfId="182" xr:uid="{00000000-0005-0000-0000-0000B7000000}"/>
    <cellStyle name="Accent2" xfId="183" xr:uid="{00000000-0005-0000-0000-0000B8000000}"/>
    <cellStyle name="Accent3" xfId="184" xr:uid="{00000000-0005-0000-0000-0000B9000000}"/>
    <cellStyle name="Accent4" xfId="185" xr:uid="{00000000-0005-0000-0000-0000BA000000}"/>
    <cellStyle name="Accent5" xfId="186" xr:uid="{00000000-0005-0000-0000-0000BB000000}"/>
    <cellStyle name="Accent6" xfId="187" xr:uid="{00000000-0005-0000-0000-0000BC000000}"/>
    <cellStyle name="args.style" xfId="188" xr:uid="{00000000-0005-0000-0000-0000BD000000}"/>
    <cellStyle name="B10" xfId="189" xr:uid="{00000000-0005-0000-0000-0000BE000000}"/>
    <cellStyle name="Bad" xfId="190" xr:uid="{00000000-0005-0000-0000-0000BF000000}"/>
    <cellStyle name="Body" xfId="191" xr:uid="{00000000-0005-0000-0000-0000C0000000}"/>
    <cellStyle name="Calc Currency (0)" xfId="2" xr:uid="{00000000-0005-0000-0000-0000C1000000}"/>
    <cellStyle name="Calc Currency (0) 2" xfId="192" xr:uid="{00000000-0005-0000-0000-0000C2000000}"/>
    <cellStyle name="Calculation" xfId="193" xr:uid="{00000000-0005-0000-0000-0000C3000000}"/>
    <cellStyle name="Calculation 2" xfId="194" xr:uid="{00000000-0005-0000-0000-0000C4000000}"/>
    <cellStyle name="Calculation 2 2" xfId="195" xr:uid="{00000000-0005-0000-0000-0000C5000000}"/>
    <cellStyle name="Calculation 2 2 2" xfId="196" xr:uid="{00000000-0005-0000-0000-0000C6000000}"/>
    <cellStyle name="Calculation 2 3" xfId="197" xr:uid="{00000000-0005-0000-0000-0000C7000000}"/>
    <cellStyle name="Calculation 2 3 2" xfId="198" xr:uid="{00000000-0005-0000-0000-0000C8000000}"/>
    <cellStyle name="Calculation 2 4" xfId="199" xr:uid="{00000000-0005-0000-0000-0000C9000000}"/>
    <cellStyle name="Calculation 2 4 2" xfId="200" xr:uid="{00000000-0005-0000-0000-0000CA000000}"/>
    <cellStyle name="Calculation 2 5" xfId="201" xr:uid="{00000000-0005-0000-0000-0000CB000000}"/>
    <cellStyle name="Calculation 2 5 2" xfId="202" xr:uid="{00000000-0005-0000-0000-0000CC000000}"/>
    <cellStyle name="Calculation 2 6" xfId="203" xr:uid="{00000000-0005-0000-0000-0000CD000000}"/>
    <cellStyle name="Calculation 2 6 2" xfId="204" xr:uid="{00000000-0005-0000-0000-0000CE000000}"/>
    <cellStyle name="Calculation 2 7" xfId="205" xr:uid="{00000000-0005-0000-0000-0000CF000000}"/>
    <cellStyle name="Calculation 3" xfId="206" xr:uid="{00000000-0005-0000-0000-0000D0000000}"/>
    <cellStyle name="Calculation 3 2" xfId="207" xr:uid="{00000000-0005-0000-0000-0000D1000000}"/>
    <cellStyle name="Calculation 4" xfId="208" xr:uid="{00000000-0005-0000-0000-0000D2000000}"/>
    <cellStyle name="Check Cell" xfId="209" xr:uid="{00000000-0005-0000-0000-0000D3000000}"/>
    <cellStyle name="Column Heading" xfId="210" xr:uid="{00000000-0005-0000-0000-0000D4000000}"/>
    <cellStyle name="Comma [0]_laroux" xfId="211" xr:uid="{00000000-0005-0000-0000-0000D5000000}"/>
    <cellStyle name="Comma_laroux" xfId="212" xr:uid="{00000000-0005-0000-0000-0000D6000000}"/>
    <cellStyle name="Currency [0]_laroux" xfId="213" xr:uid="{00000000-0005-0000-0000-0000D7000000}"/>
    <cellStyle name="Currency_laroux" xfId="214" xr:uid="{00000000-0005-0000-0000-0000D8000000}"/>
    <cellStyle name="entry" xfId="215" xr:uid="{00000000-0005-0000-0000-0000D9000000}"/>
    <cellStyle name="Explanatory Text" xfId="216" xr:uid="{00000000-0005-0000-0000-0000DA000000}"/>
    <cellStyle name="Good" xfId="217" xr:uid="{00000000-0005-0000-0000-0000DB000000}"/>
    <cellStyle name="Grey" xfId="218" xr:uid="{00000000-0005-0000-0000-0000DC000000}"/>
    <cellStyle name="Head 1" xfId="219" xr:uid="{00000000-0005-0000-0000-0000DD000000}"/>
    <cellStyle name="Header1" xfId="3" xr:uid="{00000000-0005-0000-0000-0000DE000000}"/>
    <cellStyle name="Header2" xfId="4" xr:uid="{00000000-0005-0000-0000-0000DF000000}"/>
    <cellStyle name="Header2 2" xfId="220" xr:uid="{00000000-0005-0000-0000-0000E0000000}"/>
    <cellStyle name="Header2 2 2" xfId="221" xr:uid="{00000000-0005-0000-0000-0000E1000000}"/>
    <cellStyle name="Header2 2 2 2" xfId="222" xr:uid="{00000000-0005-0000-0000-0000E2000000}"/>
    <cellStyle name="Header2 2 2 3" xfId="223" xr:uid="{00000000-0005-0000-0000-0000E3000000}"/>
    <cellStyle name="Header2 2 2 4" xfId="224" xr:uid="{00000000-0005-0000-0000-0000E4000000}"/>
    <cellStyle name="Header2 2 2 5" xfId="225" xr:uid="{00000000-0005-0000-0000-0000E5000000}"/>
    <cellStyle name="Header2 2 2 6" xfId="226" xr:uid="{00000000-0005-0000-0000-0000E6000000}"/>
    <cellStyle name="Header2 2 2 7" xfId="227" xr:uid="{00000000-0005-0000-0000-0000E7000000}"/>
    <cellStyle name="Header2 2 2 7 2" xfId="228" xr:uid="{00000000-0005-0000-0000-0000E8000000}"/>
    <cellStyle name="Header2 2 3" xfId="229" xr:uid="{00000000-0005-0000-0000-0000E9000000}"/>
    <cellStyle name="Header2 2 3 2" xfId="230" xr:uid="{00000000-0005-0000-0000-0000EA000000}"/>
    <cellStyle name="Header2 2 3 3" xfId="231" xr:uid="{00000000-0005-0000-0000-0000EB000000}"/>
    <cellStyle name="Header2 3" xfId="232" xr:uid="{00000000-0005-0000-0000-0000EC000000}"/>
    <cellStyle name="Header2 3 2" xfId="233" xr:uid="{00000000-0005-0000-0000-0000ED000000}"/>
    <cellStyle name="Header2 3 2 2" xfId="234" xr:uid="{00000000-0005-0000-0000-0000EE000000}"/>
    <cellStyle name="Header2 3 2 3" xfId="235" xr:uid="{00000000-0005-0000-0000-0000EF000000}"/>
    <cellStyle name="Header2 3 2 4" xfId="236" xr:uid="{00000000-0005-0000-0000-0000F0000000}"/>
    <cellStyle name="Header2 3 2 5" xfId="237" xr:uid="{00000000-0005-0000-0000-0000F1000000}"/>
    <cellStyle name="Header2 3 2 6" xfId="238" xr:uid="{00000000-0005-0000-0000-0000F2000000}"/>
    <cellStyle name="Header2 3 2 7" xfId="239" xr:uid="{00000000-0005-0000-0000-0000F3000000}"/>
    <cellStyle name="Header2 3 2 7 2" xfId="240" xr:uid="{00000000-0005-0000-0000-0000F4000000}"/>
    <cellStyle name="Header2 3 3" xfId="241" xr:uid="{00000000-0005-0000-0000-0000F5000000}"/>
    <cellStyle name="Header2 3 4" xfId="242" xr:uid="{00000000-0005-0000-0000-0000F6000000}"/>
    <cellStyle name="Header2 3 5" xfId="243" xr:uid="{00000000-0005-0000-0000-0000F7000000}"/>
    <cellStyle name="Header2 3 6" xfId="244" xr:uid="{00000000-0005-0000-0000-0000F8000000}"/>
    <cellStyle name="Header2 3 7" xfId="245" xr:uid="{00000000-0005-0000-0000-0000F9000000}"/>
    <cellStyle name="Header2 3 8" xfId="246" xr:uid="{00000000-0005-0000-0000-0000FA000000}"/>
    <cellStyle name="Header2 3 9" xfId="247" xr:uid="{00000000-0005-0000-0000-0000FB000000}"/>
    <cellStyle name="Header2 3 9 2" xfId="248" xr:uid="{00000000-0005-0000-0000-0000FC000000}"/>
    <cellStyle name="Header2 3 9 3" xfId="249" xr:uid="{00000000-0005-0000-0000-0000FD000000}"/>
    <cellStyle name="Header2 4" xfId="250" xr:uid="{00000000-0005-0000-0000-0000FE000000}"/>
    <cellStyle name="Header2 4 2" xfId="251" xr:uid="{00000000-0005-0000-0000-0000FF000000}"/>
    <cellStyle name="Header2 4 3" xfId="252" xr:uid="{00000000-0005-0000-0000-000000010000}"/>
    <cellStyle name="Header2 4 4" xfId="253" xr:uid="{00000000-0005-0000-0000-000001010000}"/>
    <cellStyle name="Header2 4 5" xfId="254" xr:uid="{00000000-0005-0000-0000-000002010000}"/>
    <cellStyle name="Header2 4 6" xfId="255" xr:uid="{00000000-0005-0000-0000-000003010000}"/>
    <cellStyle name="Header2 4 7" xfId="256" xr:uid="{00000000-0005-0000-0000-000004010000}"/>
    <cellStyle name="Header2 4 7 2" xfId="257" xr:uid="{00000000-0005-0000-0000-000005010000}"/>
    <cellStyle name="Header2 5" xfId="258" xr:uid="{00000000-0005-0000-0000-000006010000}"/>
    <cellStyle name="Header2 6" xfId="259" xr:uid="{00000000-0005-0000-0000-000007010000}"/>
    <cellStyle name="Header2 7" xfId="260" xr:uid="{00000000-0005-0000-0000-000008010000}"/>
    <cellStyle name="Header2 7 2" xfId="261" xr:uid="{00000000-0005-0000-0000-000009010000}"/>
    <cellStyle name="Header2 7 3" xfId="262" xr:uid="{00000000-0005-0000-0000-00000A010000}"/>
    <cellStyle name="Heading 1" xfId="263" xr:uid="{00000000-0005-0000-0000-00000B010000}"/>
    <cellStyle name="Heading 2" xfId="264" xr:uid="{00000000-0005-0000-0000-00000C010000}"/>
    <cellStyle name="Heading 3" xfId="265" xr:uid="{00000000-0005-0000-0000-00000D010000}"/>
    <cellStyle name="Heading 4" xfId="266" xr:uid="{00000000-0005-0000-0000-00000E010000}"/>
    <cellStyle name="IBM(401K)" xfId="267" xr:uid="{00000000-0005-0000-0000-00000F010000}"/>
    <cellStyle name="Input" xfId="268" xr:uid="{00000000-0005-0000-0000-000010010000}"/>
    <cellStyle name="Input [yellow]" xfId="269" xr:uid="{00000000-0005-0000-0000-000011010000}"/>
    <cellStyle name="Input [yellow] 2" xfId="270" xr:uid="{00000000-0005-0000-0000-000012010000}"/>
    <cellStyle name="Input [yellow] 2 2" xfId="271" xr:uid="{00000000-0005-0000-0000-000013010000}"/>
    <cellStyle name="Input [yellow] 2 2 2" xfId="272" xr:uid="{00000000-0005-0000-0000-000014010000}"/>
    <cellStyle name="Input [yellow] 2 2 3" xfId="273" xr:uid="{00000000-0005-0000-0000-000015010000}"/>
    <cellStyle name="Input [yellow] 2 2 4" xfId="274" xr:uid="{00000000-0005-0000-0000-000016010000}"/>
    <cellStyle name="Input [yellow] 2 2 5" xfId="275" xr:uid="{00000000-0005-0000-0000-000017010000}"/>
    <cellStyle name="Input [yellow] 2 2 6" xfId="276" xr:uid="{00000000-0005-0000-0000-000018010000}"/>
    <cellStyle name="Input [yellow] 2 2 7" xfId="277" xr:uid="{00000000-0005-0000-0000-000019010000}"/>
    <cellStyle name="Input [yellow] 2 2 8" xfId="278" xr:uid="{00000000-0005-0000-0000-00001A010000}"/>
    <cellStyle name="Input [yellow] 2 2 9" xfId="279" xr:uid="{00000000-0005-0000-0000-00001B010000}"/>
    <cellStyle name="Input [yellow] 2 3" xfId="280" xr:uid="{00000000-0005-0000-0000-00001C010000}"/>
    <cellStyle name="Input [yellow] 2 3 2" xfId="281" xr:uid="{00000000-0005-0000-0000-00001D010000}"/>
    <cellStyle name="Input [yellow] 2 3 3" xfId="282" xr:uid="{00000000-0005-0000-0000-00001E010000}"/>
    <cellStyle name="Input [yellow] 3" xfId="283" xr:uid="{00000000-0005-0000-0000-00001F010000}"/>
    <cellStyle name="Input [yellow] 3 2" xfId="284" xr:uid="{00000000-0005-0000-0000-000020010000}"/>
    <cellStyle name="Input [yellow] 3 2 2" xfId="285" xr:uid="{00000000-0005-0000-0000-000021010000}"/>
    <cellStyle name="Input [yellow] 3 2 3" xfId="286" xr:uid="{00000000-0005-0000-0000-000022010000}"/>
    <cellStyle name="Input [yellow] 3 2 4" xfId="287" xr:uid="{00000000-0005-0000-0000-000023010000}"/>
    <cellStyle name="Input [yellow] 3 2 5" xfId="288" xr:uid="{00000000-0005-0000-0000-000024010000}"/>
    <cellStyle name="Input [yellow] 3 2 6" xfId="289" xr:uid="{00000000-0005-0000-0000-000025010000}"/>
    <cellStyle name="Input [yellow] 3 2 7" xfId="290" xr:uid="{00000000-0005-0000-0000-000026010000}"/>
    <cellStyle name="Input [yellow] 3 2 8" xfId="291" xr:uid="{00000000-0005-0000-0000-000027010000}"/>
    <cellStyle name="Input [yellow] 3 2 9" xfId="292" xr:uid="{00000000-0005-0000-0000-000028010000}"/>
    <cellStyle name="Input [yellow] 3 3" xfId="293" xr:uid="{00000000-0005-0000-0000-000029010000}"/>
    <cellStyle name="Input [yellow] 3 4" xfId="294" xr:uid="{00000000-0005-0000-0000-00002A010000}"/>
    <cellStyle name="Input [yellow] 3 5" xfId="295" xr:uid="{00000000-0005-0000-0000-00002B010000}"/>
    <cellStyle name="Input [yellow] 3 6" xfId="296" xr:uid="{00000000-0005-0000-0000-00002C010000}"/>
    <cellStyle name="Input [yellow] 3 7" xfId="297" xr:uid="{00000000-0005-0000-0000-00002D010000}"/>
    <cellStyle name="Input [yellow] 3 8" xfId="298" xr:uid="{00000000-0005-0000-0000-00002E010000}"/>
    <cellStyle name="Input [yellow] 3 9" xfId="299" xr:uid="{00000000-0005-0000-0000-00002F010000}"/>
    <cellStyle name="Input [yellow] 3 9 2" xfId="300" xr:uid="{00000000-0005-0000-0000-000030010000}"/>
    <cellStyle name="Input [yellow] 3 9 3" xfId="301" xr:uid="{00000000-0005-0000-0000-000031010000}"/>
    <cellStyle name="Input [yellow] 4" xfId="302" xr:uid="{00000000-0005-0000-0000-000032010000}"/>
    <cellStyle name="Input [yellow] 4 2" xfId="303" xr:uid="{00000000-0005-0000-0000-000033010000}"/>
    <cellStyle name="Input [yellow] 4 3" xfId="304" xr:uid="{00000000-0005-0000-0000-000034010000}"/>
    <cellStyle name="Input [yellow] 4 4" xfId="305" xr:uid="{00000000-0005-0000-0000-000035010000}"/>
    <cellStyle name="Input [yellow] 4 5" xfId="306" xr:uid="{00000000-0005-0000-0000-000036010000}"/>
    <cellStyle name="Input [yellow] 4 6" xfId="307" xr:uid="{00000000-0005-0000-0000-000037010000}"/>
    <cellStyle name="Input [yellow] 4 7" xfId="308" xr:uid="{00000000-0005-0000-0000-000038010000}"/>
    <cellStyle name="Input [yellow] 4 8" xfId="309" xr:uid="{00000000-0005-0000-0000-000039010000}"/>
    <cellStyle name="Input [yellow] 4 8 2" xfId="310" xr:uid="{00000000-0005-0000-0000-00003A010000}"/>
    <cellStyle name="Input [yellow] 4 8 3" xfId="311" xr:uid="{00000000-0005-0000-0000-00003B010000}"/>
    <cellStyle name="Input [yellow] 5" xfId="312" xr:uid="{00000000-0005-0000-0000-00003C010000}"/>
    <cellStyle name="Input [yellow] 6" xfId="313" xr:uid="{00000000-0005-0000-0000-00003D010000}"/>
    <cellStyle name="Input [yellow] 7" xfId="314" xr:uid="{00000000-0005-0000-0000-00003E010000}"/>
    <cellStyle name="Input [yellow] 7 2" xfId="315" xr:uid="{00000000-0005-0000-0000-00003F010000}"/>
    <cellStyle name="Input [yellow] 7 3" xfId="316" xr:uid="{00000000-0005-0000-0000-000040010000}"/>
    <cellStyle name="Input 10" xfId="317" xr:uid="{00000000-0005-0000-0000-000041010000}"/>
    <cellStyle name="Input 10 2" xfId="318" xr:uid="{00000000-0005-0000-0000-000042010000}"/>
    <cellStyle name="Input 11" xfId="319" xr:uid="{00000000-0005-0000-0000-000043010000}"/>
    <cellStyle name="Input 11 2" xfId="320" xr:uid="{00000000-0005-0000-0000-000044010000}"/>
    <cellStyle name="Input 12" xfId="321" xr:uid="{00000000-0005-0000-0000-000045010000}"/>
    <cellStyle name="Input 12 2" xfId="322" xr:uid="{00000000-0005-0000-0000-000046010000}"/>
    <cellStyle name="Input 13" xfId="323" xr:uid="{00000000-0005-0000-0000-000047010000}"/>
    <cellStyle name="Input 13 2" xfId="324" xr:uid="{00000000-0005-0000-0000-000048010000}"/>
    <cellStyle name="Input 14" xfId="325" xr:uid="{00000000-0005-0000-0000-000049010000}"/>
    <cellStyle name="Input 14 2" xfId="326" xr:uid="{00000000-0005-0000-0000-00004A010000}"/>
    <cellStyle name="Input 15" xfId="327" xr:uid="{00000000-0005-0000-0000-00004B010000}"/>
    <cellStyle name="Input 15 2" xfId="328" xr:uid="{00000000-0005-0000-0000-00004C010000}"/>
    <cellStyle name="Input 16" xfId="329" xr:uid="{00000000-0005-0000-0000-00004D010000}"/>
    <cellStyle name="Input 16 2" xfId="330" xr:uid="{00000000-0005-0000-0000-00004E010000}"/>
    <cellStyle name="Input 17" xfId="331" xr:uid="{00000000-0005-0000-0000-00004F010000}"/>
    <cellStyle name="Input 17 2" xfId="332" xr:uid="{00000000-0005-0000-0000-000050010000}"/>
    <cellStyle name="Input 18" xfId="333" xr:uid="{00000000-0005-0000-0000-000051010000}"/>
    <cellStyle name="Input 19" xfId="334" xr:uid="{00000000-0005-0000-0000-000052010000}"/>
    <cellStyle name="Input 2" xfId="335" xr:uid="{00000000-0005-0000-0000-000053010000}"/>
    <cellStyle name="Input 2 2" xfId="336" xr:uid="{00000000-0005-0000-0000-000054010000}"/>
    <cellStyle name="Input 2 2 2" xfId="337" xr:uid="{00000000-0005-0000-0000-000055010000}"/>
    <cellStyle name="Input 2 3" xfId="338" xr:uid="{00000000-0005-0000-0000-000056010000}"/>
    <cellStyle name="Input 2 3 2" xfId="339" xr:uid="{00000000-0005-0000-0000-000057010000}"/>
    <cellStyle name="Input 2 4" xfId="340" xr:uid="{00000000-0005-0000-0000-000058010000}"/>
    <cellStyle name="Input 2 4 2" xfId="341" xr:uid="{00000000-0005-0000-0000-000059010000}"/>
    <cellStyle name="Input 2 5" xfId="342" xr:uid="{00000000-0005-0000-0000-00005A010000}"/>
    <cellStyle name="Input 2 5 2" xfId="343" xr:uid="{00000000-0005-0000-0000-00005B010000}"/>
    <cellStyle name="Input 2 6" xfId="344" xr:uid="{00000000-0005-0000-0000-00005C010000}"/>
    <cellStyle name="Input 2 6 2" xfId="345" xr:uid="{00000000-0005-0000-0000-00005D010000}"/>
    <cellStyle name="Input 2 7" xfId="346" xr:uid="{00000000-0005-0000-0000-00005E010000}"/>
    <cellStyle name="Input 20" xfId="347" xr:uid="{00000000-0005-0000-0000-00005F010000}"/>
    <cellStyle name="Input 21" xfId="348" xr:uid="{00000000-0005-0000-0000-000060010000}"/>
    <cellStyle name="Input 22" xfId="349" xr:uid="{00000000-0005-0000-0000-000061010000}"/>
    <cellStyle name="Input 23" xfId="350" xr:uid="{00000000-0005-0000-0000-000062010000}"/>
    <cellStyle name="Input 24" xfId="351" xr:uid="{00000000-0005-0000-0000-000063010000}"/>
    <cellStyle name="Input 25" xfId="352" xr:uid="{00000000-0005-0000-0000-000064010000}"/>
    <cellStyle name="Input 26" xfId="353" xr:uid="{00000000-0005-0000-0000-000065010000}"/>
    <cellStyle name="Input 3" xfId="354" xr:uid="{00000000-0005-0000-0000-000066010000}"/>
    <cellStyle name="Input 3 2" xfId="355" xr:uid="{00000000-0005-0000-0000-000067010000}"/>
    <cellStyle name="Input 4" xfId="356" xr:uid="{00000000-0005-0000-0000-000068010000}"/>
    <cellStyle name="Input 4 2" xfId="357" xr:uid="{00000000-0005-0000-0000-000069010000}"/>
    <cellStyle name="Input 5" xfId="358" xr:uid="{00000000-0005-0000-0000-00006A010000}"/>
    <cellStyle name="Input 5 2" xfId="359" xr:uid="{00000000-0005-0000-0000-00006B010000}"/>
    <cellStyle name="Input 6" xfId="360" xr:uid="{00000000-0005-0000-0000-00006C010000}"/>
    <cellStyle name="Input 6 2" xfId="361" xr:uid="{00000000-0005-0000-0000-00006D010000}"/>
    <cellStyle name="Input 7" xfId="362" xr:uid="{00000000-0005-0000-0000-00006E010000}"/>
    <cellStyle name="Input 7 2" xfId="363" xr:uid="{00000000-0005-0000-0000-00006F010000}"/>
    <cellStyle name="Input 8" xfId="364" xr:uid="{00000000-0005-0000-0000-000070010000}"/>
    <cellStyle name="Input 8 2" xfId="365" xr:uid="{00000000-0005-0000-0000-000071010000}"/>
    <cellStyle name="Input 9" xfId="366" xr:uid="{00000000-0005-0000-0000-000072010000}"/>
    <cellStyle name="Input 9 2" xfId="367" xr:uid="{00000000-0005-0000-0000-000073010000}"/>
    <cellStyle name="J401K" xfId="368" xr:uid="{00000000-0005-0000-0000-000074010000}"/>
    <cellStyle name="Linked Cell" xfId="369" xr:uid="{00000000-0005-0000-0000-000075010000}"/>
    <cellStyle name="Millares [0]_Compra" xfId="370" xr:uid="{00000000-0005-0000-0000-000076010000}"/>
    <cellStyle name="Millares_Compra" xfId="371" xr:uid="{00000000-0005-0000-0000-000077010000}"/>
    <cellStyle name="Moneda [0]_Compra" xfId="372" xr:uid="{00000000-0005-0000-0000-000078010000}"/>
    <cellStyle name="Moneda_Compra" xfId="373" xr:uid="{00000000-0005-0000-0000-000079010000}"/>
    <cellStyle name="Neutral" xfId="374" xr:uid="{00000000-0005-0000-0000-00007A010000}"/>
    <cellStyle name="no dec" xfId="375" xr:uid="{00000000-0005-0000-0000-00007B010000}"/>
    <cellStyle name="Normal - Style1" xfId="5" xr:uid="{00000000-0005-0000-0000-00007C010000}"/>
    <cellStyle name="Normal - Style1 2" xfId="376" xr:uid="{00000000-0005-0000-0000-00007D010000}"/>
    <cellStyle name="Normal - Style1 2 2" xfId="377" xr:uid="{00000000-0005-0000-0000-00007E010000}"/>
    <cellStyle name="Normal - Style1 2 3" xfId="378" xr:uid="{00000000-0005-0000-0000-00007F010000}"/>
    <cellStyle name="Normal - Style1 3" xfId="2247" xr:uid="{8F4B949C-6B9D-45BD-B6A8-3A2E0889BF00}"/>
    <cellStyle name="Normal 2" xfId="1961" xr:uid="{00000000-0005-0000-0000-000080010000}"/>
    <cellStyle name="Normal_#18-Internet" xfId="6" xr:uid="{00000000-0005-0000-0000-000081010000}"/>
    <cellStyle name="Note" xfId="379" xr:uid="{00000000-0005-0000-0000-000082010000}"/>
    <cellStyle name="Note 2" xfId="380" xr:uid="{00000000-0005-0000-0000-000083010000}"/>
    <cellStyle name="Note 2 2" xfId="381" xr:uid="{00000000-0005-0000-0000-000084010000}"/>
    <cellStyle name="Note 2 2 2" xfId="382" xr:uid="{00000000-0005-0000-0000-000085010000}"/>
    <cellStyle name="Note 2 2 2 2" xfId="383" xr:uid="{00000000-0005-0000-0000-000086010000}"/>
    <cellStyle name="Note 2 2 3" xfId="384" xr:uid="{00000000-0005-0000-0000-000087010000}"/>
    <cellStyle name="Note 2 2 3 2" xfId="385" xr:uid="{00000000-0005-0000-0000-000088010000}"/>
    <cellStyle name="Note 2 2 4" xfId="386" xr:uid="{00000000-0005-0000-0000-000089010000}"/>
    <cellStyle name="Note 2 2 4 2" xfId="387" xr:uid="{00000000-0005-0000-0000-00008A010000}"/>
    <cellStyle name="Note 2 2 5" xfId="388" xr:uid="{00000000-0005-0000-0000-00008B010000}"/>
    <cellStyle name="Note 2 2 5 2" xfId="389" xr:uid="{00000000-0005-0000-0000-00008C010000}"/>
    <cellStyle name="Note 2 2 6" xfId="390" xr:uid="{00000000-0005-0000-0000-00008D010000}"/>
    <cellStyle name="Note 2 2 6 2" xfId="391" xr:uid="{00000000-0005-0000-0000-00008E010000}"/>
    <cellStyle name="Note 2 2 7" xfId="392" xr:uid="{00000000-0005-0000-0000-00008F010000}"/>
    <cellStyle name="Note 2 3" xfId="393" xr:uid="{00000000-0005-0000-0000-000090010000}"/>
    <cellStyle name="Note 2 3 2" xfId="394" xr:uid="{00000000-0005-0000-0000-000091010000}"/>
    <cellStyle name="Note 2 4" xfId="395" xr:uid="{00000000-0005-0000-0000-000092010000}"/>
    <cellStyle name="Note 3" xfId="396" xr:uid="{00000000-0005-0000-0000-000093010000}"/>
    <cellStyle name="Note 3 2" xfId="397" xr:uid="{00000000-0005-0000-0000-000094010000}"/>
    <cellStyle name="Note 3 2 2" xfId="398" xr:uid="{00000000-0005-0000-0000-000095010000}"/>
    <cellStyle name="Note 3 2 2 2" xfId="399" xr:uid="{00000000-0005-0000-0000-000096010000}"/>
    <cellStyle name="Note 3 2 3" xfId="400" xr:uid="{00000000-0005-0000-0000-000097010000}"/>
    <cellStyle name="Note 3 2 3 2" xfId="401" xr:uid="{00000000-0005-0000-0000-000098010000}"/>
    <cellStyle name="Note 3 2 4" xfId="402" xr:uid="{00000000-0005-0000-0000-000099010000}"/>
    <cellStyle name="Note 3 2 4 2" xfId="403" xr:uid="{00000000-0005-0000-0000-00009A010000}"/>
    <cellStyle name="Note 3 2 5" xfId="404" xr:uid="{00000000-0005-0000-0000-00009B010000}"/>
    <cellStyle name="Note 3 2 5 2" xfId="405" xr:uid="{00000000-0005-0000-0000-00009C010000}"/>
    <cellStyle name="Note 3 2 6" xfId="406" xr:uid="{00000000-0005-0000-0000-00009D010000}"/>
    <cellStyle name="Note 3 2 6 2" xfId="407" xr:uid="{00000000-0005-0000-0000-00009E010000}"/>
    <cellStyle name="Note 3 2 7" xfId="408" xr:uid="{00000000-0005-0000-0000-00009F010000}"/>
    <cellStyle name="Note 3 3" xfId="409" xr:uid="{00000000-0005-0000-0000-0000A0010000}"/>
    <cellStyle name="Note 3 3 2" xfId="410" xr:uid="{00000000-0005-0000-0000-0000A1010000}"/>
    <cellStyle name="Note 3 4" xfId="411" xr:uid="{00000000-0005-0000-0000-0000A2010000}"/>
    <cellStyle name="Note 3 4 2" xfId="412" xr:uid="{00000000-0005-0000-0000-0000A3010000}"/>
    <cellStyle name="Note 3 5" xfId="413" xr:uid="{00000000-0005-0000-0000-0000A4010000}"/>
    <cellStyle name="Note 3 5 2" xfId="414" xr:uid="{00000000-0005-0000-0000-0000A5010000}"/>
    <cellStyle name="Note 3 6" xfId="415" xr:uid="{00000000-0005-0000-0000-0000A6010000}"/>
    <cellStyle name="Note 3 6 2" xfId="416" xr:uid="{00000000-0005-0000-0000-0000A7010000}"/>
    <cellStyle name="Note 3 7" xfId="417" xr:uid="{00000000-0005-0000-0000-0000A8010000}"/>
    <cellStyle name="Note 3 7 2" xfId="418" xr:uid="{00000000-0005-0000-0000-0000A9010000}"/>
    <cellStyle name="Note 3 8" xfId="419" xr:uid="{00000000-0005-0000-0000-0000AA010000}"/>
    <cellStyle name="Note 4" xfId="420" xr:uid="{00000000-0005-0000-0000-0000AB010000}"/>
    <cellStyle name="Note 4 2" xfId="421" xr:uid="{00000000-0005-0000-0000-0000AC010000}"/>
    <cellStyle name="Note 4 2 2" xfId="422" xr:uid="{00000000-0005-0000-0000-0000AD010000}"/>
    <cellStyle name="Note 4 3" xfId="423" xr:uid="{00000000-0005-0000-0000-0000AE010000}"/>
    <cellStyle name="Note 4 3 2" xfId="424" xr:uid="{00000000-0005-0000-0000-0000AF010000}"/>
    <cellStyle name="Note 4 4" xfId="425" xr:uid="{00000000-0005-0000-0000-0000B0010000}"/>
    <cellStyle name="Note 4 4 2" xfId="426" xr:uid="{00000000-0005-0000-0000-0000B1010000}"/>
    <cellStyle name="Note 4 5" xfId="427" xr:uid="{00000000-0005-0000-0000-0000B2010000}"/>
    <cellStyle name="Note 4 5 2" xfId="428" xr:uid="{00000000-0005-0000-0000-0000B3010000}"/>
    <cellStyle name="Note 4 6" xfId="429" xr:uid="{00000000-0005-0000-0000-0000B4010000}"/>
    <cellStyle name="Note 4 6 2" xfId="430" xr:uid="{00000000-0005-0000-0000-0000B5010000}"/>
    <cellStyle name="Note 4 7" xfId="431" xr:uid="{00000000-0005-0000-0000-0000B6010000}"/>
    <cellStyle name="Note 5" xfId="432" xr:uid="{00000000-0005-0000-0000-0000B7010000}"/>
    <cellStyle name="Note 5 2" xfId="433" xr:uid="{00000000-0005-0000-0000-0000B8010000}"/>
    <cellStyle name="oft Excel]_x000d__x000a_Options5=1155_x000d__x000a_Pos=-12,9,1048,771_x000d__x000a_MRUFuncs=345,205,221,1,65,28,37,24,3,36_x000d__x000a_StickyPtX=574_x000d__x000a_StickyPtY=45" xfId="2248" xr:uid="{214BCF98-932A-48F7-B8CF-590D8EF343E9}"/>
    <cellStyle name="Output" xfId="434" xr:uid="{00000000-0005-0000-0000-0000B9010000}"/>
    <cellStyle name="Output 2" xfId="435" xr:uid="{00000000-0005-0000-0000-0000BA010000}"/>
    <cellStyle name="Output 2 2" xfId="436" xr:uid="{00000000-0005-0000-0000-0000BB010000}"/>
    <cellStyle name="Output 2 2 2" xfId="437" xr:uid="{00000000-0005-0000-0000-0000BC010000}"/>
    <cellStyle name="Output 2 3" xfId="438" xr:uid="{00000000-0005-0000-0000-0000BD010000}"/>
    <cellStyle name="Output 2 3 2" xfId="439" xr:uid="{00000000-0005-0000-0000-0000BE010000}"/>
    <cellStyle name="Output 2 4" xfId="440" xr:uid="{00000000-0005-0000-0000-0000BF010000}"/>
    <cellStyle name="Output 2 4 2" xfId="441" xr:uid="{00000000-0005-0000-0000-0000C0010000}"/>
    <cellStyle name="Output 2 5" xfId="442" xr:uid="{00000000-0005-0000-0000-0000C1010000}"/>
    <cellStyle name="Output 2 5 2" xfId="443" xr:uid="{00000000-0005-0000-0000-0000C2010000}"/>
    <cellStyle name="Output 2 6" xfId="444" xr:uid="{00000000-0005-0000-0000-0000C3010000}"/>
    <cellStyle name="Output 2 6 2" xfId="445" xr:uid="{00000000-0005-0000-0000-0000C4010000}"/>
    <cellStyle name="Output 2 7" xfId="446" xr:uid="{00000000-0005-0000-0000-0000C5010000}"/>
    <cellStyle name="Output 3" xfId="447" xr:uid="{00000000-0005-0000-0000-0000C6010000}"/>
    <cellStyle name="Output 3 2" xfId="448" xr:uid="{00000000-0005-0000-0000-0000C7010000}"/>
    <cellStyle name="per.style" xfId="449" xr:uid="{00000000-0005-0000-0000-0000C8010000}"/>
    <cellStyle name="Percent [2]" xfId="450" xr:uid="{00000000-0005-0000-0000-0000C9010000}"/>
    <cellStyle name="price" xfId="451" xr:uid="{00000000-0005-0000-0000-0000CA010000}"/>
    <cellStyle name="PSChar" xfId="452" xr:uid="{00000000-0005-0000-0000-0000CB010000}"/>
    <cellStyle name="PSHeading" xfId="453" xr:uid="{00000000-0005-0000-0000-0000CC010000}"/>
    <cellStyle name="QDF" xfId="454" xr:uid="{00000000-0005-0000-0000-0000CD010000}"/>
    <cellStyle name="revised" xfId="455" xr:uid="{00000000-0005-0000-0000-0000CE010000}"/>
    <cellStyle name="section" xfId="456" xr:uid="{00000000-0005-0000-0000-0000CF010000}"/>
    <cellStyle name="subhead" xfId="457" xr:uid="{00000000-0005-0000-0000-0000D0010000}"/>
    <cellStyle name="title" xfId="458" xr:uid="{00000000-0005-0000-0000-0000D1010000}"/>
    <cellStyle name="Total" xfId="459" xr:uid="{00000000-0005-0000-0000-0000D2010000}"/>
    <cellStyle name="Total 2" xfId="460" xr:uid="{00000000-0005-0000-0000-0000D3010000}"/>
    <cellStyle name="Total 2 2" xfId="461" xr:uid="{00000000-0005-0000-0000-0000D4010000}"/>
    <cellStyle name="Total 2 2 2" xfId="462" xr:uid="{00000000-0005-0000-0000-0000D5010000}"/>
    <cellStyle name="Total 2 3" xfId="463" xr:uid="{00000000-0005-0000-0000-0000D6010000}"/>
    <cellStyle name="Total 2 3 2" xfId="464" xr:uid="{00000000-0005-0000-0000-0000D7010000}"/>
    <cellStyle name="Total 2 4" xfId="465" xr:uid="{00000000-0005-0000-0000-0000D8010000}"/>
    <cellStyle name="Total 2 4 2" xfId="466" xr:uid="{00000000-0005-0000-0000-0000D9010000}"/>
    <cellStyle name="Total 2 5" xfId="467" xr:uid="{00000000-0005-0000-0000-0000DA010000}"/>
    <cellStyle name="Total 2 5 2" xfId="468" xr:uid="{00000000-0005-0000-0000-0000DB010000}"/>
    <cellStyle name="Total 2 6" xfId="469" xr:uid="{00000000-0005-0000-0000-0000DC010000}"/>
    <cellStyle name="Total 2 6 2" xfId="470" xr:uid="{00000000-0005-0000-0000-0000DD010000}"/>
    <cellStyle name="Total 2 7" xfId="471" xr:uid="{00000000-0005-0000-0000-0000DE010000}"/>
    <cellStyle name="Total 3" xfId="472" xr:uid="{00000000-0005-0000-0000-0000DF010000}"/>
    <cellStyle name="Total 3 2" xfId="473" xr:uid="{00000000-0005-0000-0000-0000E0010000}"/>
    <cellStyle name="Warning Text" xfId="474" xr:uid="{00000000-0005-0000-0000-0000E1010000}"/>
    <cellStyle name="アクセント 1 2" xfId="475" xr:uid="{00000000-0005-0000-0000-0000E2010000}"/>
    <cellStyle name="アクセント 1 2 2" xfId="1962" xr:uid="{00000000-0005-0000-0000-0000E3010000}"/>
    <cellStyle name="アクセント 1 3" xfId="476" xr:uid="{00000000-0005-0000-0000-0000E4010000}"/>
    <cellStyle name="アクセント 1 3 2" xfId="2249" xr:uid="{C9A1DE8F-8C29-42D9-B1E0-02C34F5C0426}"/>
    <cellStyle name="アクセント 1 4" xfId="477" xr:uid="{00000000-0005-0000-0000-0000E5010000}"/>
    <cellStyle name="アクセント 1 4 2" xfId="2250" xr:uid="{0DA25C98-CE15-46E1-9AA5-51AD5CF04FD6}"/>
    <cellStyle name="アクセント 1 5" xfId="478" xr:uid="{00000000-0005-0000-0000-0000E6010000}"/>
    <cellStyle name="アクセント 1 5 2" xfId="2251" xr:uid="{7D2BC309-E1BC-4D7B-9DB9-2BF5A15A3BF8}"/>
    <cellStyle name="アクセント 1 5 3" xfId="2252" xr:uid="{9C2C51C5-B67E-4039-BD44-4B9903F7D96D}"/>
    <cellStyle name="アクセント 1 5 4" xfId="2253" xr:uid="{059EC33C-F403-4FEE-86C9-7F8256351969}"/>
    <cellStyle name="アクセント 1 6" xfId="479" xr:uid="{00000000-0005-0000-0000-0000E7010000}"/>
    <cellStyle name="アクセント 1 6 2" xfId="2254" xr:uid="{CAFCFF02-1C5F-4902-88D0-3C463017DD05}"/>
    <cellStyle name="アクセント 1 6 3" xfId="2255" xr:uid="{E5BFF729-73DD-4733-A133-3AA05835AAC7}"/>
    <cellStyle name="アクセント 1 6 4" xfId="2256" xr:uid="{95E05407-063C-4E3B-8056-4F0137EE437A}"/>
    <cellStyle name="アクセント 1 7" xfId="480" xr:uid="{00000000-0005-0000-0000-0000E8010000}"/>
    <cellStyle name="アクセント 1 7 2" xfId="2257" xr:uid="{4F5717D3-E454-4BB2-BBEA-7657FDCF2748}"/>
    <cellStyle name="アクセント 1 8" xfId="481" xr:uid="{00000000-0005-0000-0000-0000E9010000}"/>
    <cellStyle name="アクセント 1 8 2" xfId="2258" xr:uid="{46F5D0D7-66AA-4963-8F57-F4B4B4D3FBCA}"/>
    <cellStyle name="アクセント 1 9" xfId="482" xr:uid="{00000000-0005-0000-0000-0000EA010000}"/>
    <cellStyle name="アクセント 1 9 2" xfId="2259" xr:uid="{926A6411-0536-4434-90A3-7D47D4EE9D34}"/>
    <cellStyle name="アクセント 2 2" xfId="483" xr:uid="{00000000-0005-0000-0000-0000EB010000}"/>
    <cellStyle name="アクセント 2 2 2" xfId="1963" xr:uid="{00000000-0005-0000-0000-0000EC010000}"/>
    <cellStyle name="アクセント 2 3" xfId="484" xr:uid="{00000000-0005-0000-0000-0000ED010000}"/>
    <cellStyle name="アクセント 2 3 2" xfId="2260" xr:uid="{78CC8929-B847-4942-8352-B632A638FDF6}"/>
    <cellStyle name="アクセント 2 4" xfId="485" xr:uid="{00000000-0005-0000-0000-0000EE010000}"/>
    <cellStyle name="アクセント 2 4 2" xfId="2261" xr:uid="{62FE4CE1-1B5E-46D0-85C2-777FA1918878}"/>
    <cellStyle name="アクセント 2 5" xfId="486" xr:uid="{00000000-0005-0000-0000-0000EF010000}"/>
    <cellStyle name="アクセント 2 5 2" xfId="2262" xr:uid="{F0D8C33B-6B82-49E4-8165-F1569C729243}"/>
    <cellStyle name="アクセント 2 5 3" xfId="2263" xr:uid="{0322C3C1-A061-44CD-B547-3776F8C001FE}"/>
    <cellStyle name="アクセント 2 5 4" xfId="2264" xr:uid="{7005037E-F819-423A-B573-0B347BFC6E9C}"/>
    <cellStyle name="アクセント 2 6" xfId="487" xr:uid="{00000000-0005-0000-0000-0000F0010000}"/>
    <cellStyle name="アクセント 2 6 2" xfId="2265" xr:uid="{5449B678-F386-4B05-A827-0553A7AFD309}"/>
    <cellStyle name="アクセント 2 6 3" xfId="2266" xr:uid="{1D17680B-077F-43B6-BB86-7CDDD7C42CB6}"/>
    <cellStyle name="アクセント 2 6 4" xfId="2267" xr:uid="{10E0844F-E68A-4634-89F2-E1B4233BC7FD}"/>
    <cellStyle name="アクセント 2 7" xfId="488" xr:uid="{00000000-0005-0000-0000-0000F1010000}"/>
    <cellStyle name="アクセント 2 7 2" xfId="2268" xr:uid="{173605A1-ECE4-4E00-86E2-EC4D220D4A22}"/>
    <cellStyle name="アクセント 2 8" xfId="489" xr:uid="{00000000-0005-0000-0000-0000F2010000}"/>
    <cellStyle name="アクセント 2 8 2" xfId="2269" xr:uid="{E66FA91F-0920-4A99-B3F5-0A7E1A77F73E}"/>
    <cellStyle name="アクセント 2 9" xfId="490" xr:uid="{00000000-0005-0000-0000-0000F3010000}"/>
    <cellStyle name="アクセント 2 9 2" xfId="2270" xr:uid="{C9DC9A1B-83B0-4D35-966B-77AE91CBC670}"/>
    <cellStyle name="アクセント 3 2" xfId="491" xr:uid="{00000000-0005-0000-0000-0000F4010000}"/>
    <cellStyle name="アクセント 3 2 2" xfId="1964" xr:uid="{00000000-0005-0000-0000-0000F5010000}"/>
    <cellStyle name="アクセント 3 3" xfId="492" xr:uid="{00000000-0005-0000-0000-0000F6010000}"/>
    <cellStyle name="アクセント 3 3 2" xfId="2271" xr:uid="{500BF13D-B83A-4DD2-83A7-5F89C7275DFF}"/>
    <cellStyle name="アクセント 3 4" xfId="493" xr:uid="{00000000-0005-0000-0000-0000F7010000}"/>
    <cellStyle name="アクセント 3 4 2" xfId="2272" xr:uid="{2218F1FF-9009-45B3-9FDF-4543972B90DD}"/>
    <cellStyle name="アクセント 3 5" xfId="494" xr:uid="{00000000-0005-0000-0000-0000F8010000}"/>
    <cellStyle name="アクセント 3 5 2" xfId="2273" xr:uid="{1D549A5A-1538-40BA-948D-A31913FCB883}"/>
    <cellStyle name="アクセント 3 5 3" xfId="2274" xr:uid="{1A451DAC-36B8-4B85-A192-E7AA06DF7CC4}"/>
    <cellStyle name="アクセント 3 5 4" xfId="2275" xr:uid="{AF6ADBA4-DB32-403C-84DB-0CFA02FBE8A2}"/>
    <cellStyle name="アクセント 3 6" xfId="495" xr:uid="{00000000-0005-0000-0000-0000F9010000}"/>
    <cellStyle name="アクセント 3 6 2" xfId="2276" xr:uid="{4D1656FB-213D-4613-BC1D-71EF17C215C0}"/>
    <cellStyle name="アクセント 3 6 3" xfId="2277" xr:uid="{691109AA-DE7C-4159-9335-2053E74CFB7D}"/>
    <cellStyle name="アクセント 3 6 4" xfId="2278" xr:uid="{3A8D2F46-191F-4503-B6A1-94C62DD50902}"/>
    <cellStyle name="アクセント 3 7" xfId="496" xr:uid="{00000000-0005-0000-0000-0000FA010000}"/>
    <cellStyle name="アクセント 3 7 2" xfId="2279" xr:uid="{938630C8-FD67-41A4-A2B2-C127F26D4343}"/>
    <cellStyle name="アクセント 3 8" xfId="497" xr:uid="{00000000-0005-0000-0000-0000FB010000}"/>
    <cellStyle name="アクセント 3 8 2" xfId="2280" xr:uid="{9F550370-1CC6-420C-B531-83E835F6F92F}"/>
    <cellStyle name="アクセント 3 9" xfId="498" xr:uid="{00000000-0005-0000-0000-0000FC010000}"/>
    <cellStyle name="アクセント 3 9 2" xfId="2281" xr:uid="{A7B37065-0F11-4A75-9DFF-89DDCD156AD8}"/>
    <cellStyle name="アクセント 4 2" xfId="499" xr:uid="{00000000-0005-0000-0000-0000FD010000}"/>
    <cellStyle name="アクセント 4 2 2" xfId="1965" xr:uid="{00000000-0005-0000-0000-0000FE010000}"/>
    <cellStyle name="アクセント 4 3" xfId="500" xr:uid="{00000000-0005-0000-0000-0000FF010000}"/>
    <cellStyle name="アクセント 4 3 2" xfId="2282" xr:uid="{B0CDC420-2269-423C-9847-0068365FDC44}"/>
    <cellStyle name="アクセント 4 4" xfId="501" xr:uid="{00000000-0005-0000-0000-000000020000}"/>
    <cellStyle name="アクセント 4 4 2" xfId="2283" xr:uid="{E3E90558-829E-40FB-B187-B7C7AA97DBF7}"/>
    <cellStyle name="アクセント 4 5" xfId="502" xr:uid="{00000000-0005-0000-0000-000001020000}"/>
    <cellStyle name="アクセント 4 5 2" xfId="2284" xr:uid="{EDCB3E1B-A8B8-4837-B4DD-D64D229D5E9E}"/>
    <cellStyle name="アクセント 4 5 3" xfId="2285" xr:uid="{5B30FE51-6689-4298-B6A5-01FFF8D91C56}"/>
    <cellStyle name="アクセント 4 5 4" xfId="2286" xr:uid="{D45B7EA5-BD22-4466-95F2-58B0B915C1E3}"/>
    <cellStyle name="アクセント 4 6" xfId="503" xr:uid="{00000000-0005-0000-0000-000002020000}"/>
    <cellStyle name="アクセント 4 6 2" xfId="2287" xr:uid="{7EADFE76-6318-493F-8F49-E9628DDD9063}"/>
    <cellStyle name="アクセント 4 6 3" xfId="2288" xr:uid="{294203BE-AEF4-49A7-B749-2C753C634D78}"/>
    <cellStyle name="アクセント 4 6 4" xfId="2289" xr:uid="{9F21CB63-D05B-4A6A-861F-E4490656A51E}"/>
    <cellStyle name="アクセント 4 7" xfId="504" xr:uid="{00000000-0005-0000-0000-000003020000}"/>
    <cellStyle name="アクセント 4 7 2" xfId="2290" xr:uid="{1841CEEC-4F04-4617-9F8A-D2A9F08094B7}"/>
    <cellStyle name="アクセント 4 8" xfId="505" xr:uid="{00000000-0005-0000-0000-000004020000}"/>
    <cellStyle name="アクセント 4 8 2" xfId="2291" xr:uid="{AFA62B60-D78B-4C00-9673-8BE124FCE55F}"/>
    <cellStyle name="アクセント 4 9" xfId="506" xr:uid="{00000000-0005-0000-0000-000005020000}"/>
    <cellStyle name="アクセント 4 9 2" xfId="2292" xr:uid="{EA5FD36C-33DB-4EC5-83D3-50B329CA0AF9}"/>
    <cellStyle name="アクセント 5 2" xfId="507" xr:uid="{00000000-0005-0000-0000-000006020000}"/>
    <cellStyle name="アクセント 5 2 2" xfId="1966" xr:uid="{00000000-0005-0000-0000-000007020000}"/>
    <cellStyle name="アクセント 5 3" xfId="508" xr:uid="{00000000-0005-0000-0000-000008020000}"/>
    <cellStyle name="アクセント 5 3 2" xfId="2293" xr:uid="{B6780C57-8682-40CF-9F72-24003C0FD650}"/>
    <cellStyle name="アクセント 5 4" xfId="509" xr:uid="{00000000-0005-0000-0000-000009020000}"/>
    <cellStyle name="アクセント 5 4 2" xfId="2294" xr:uid="{75656E78-13CC-4B15-A081-6B78F6C83AC9}"/>
    <cellStyle name="アクセント 5 5" xfId="510" xr:uid="{00000000-0005-0000-0000-00000A020000}"/>
    <cellStyle name="アクセント 5 5 2" xfId="2295" xr:uid="{23442AEA-A71B-4520-A478-4FAA43937D3B}"/>
    <cellStyle name="アクセント 5 5 3" xfId="2296" xr:uid="{E7B4D67F-89EB-42F3-9AB2-C26DD421AA2D}"/>
    <cellStyle name="アクセント 5 5 4" xfId="2297" xr:uid="{5A5B9A8A-B660-42BE-A499-DF0908285E3B}"/>
    <cellStyle name="アクセント 5 6" xfId="511" xr:uid="{00000000-0005-0000-0000-00000B020000}"/>
    <cellStyle name="アクセント 5 6 2" xfId="2298" xr:uid="{451CEA1A-053B-40D5-80CF-ADC798507D28}"/>
    <cellStyle name="アクセント 5 6 3" xfId="2299" xr:uid="{8F03E55F-9C6E-42E1-B7CB-74CFB46610CC}"/>
    <cellStyle name="アクセント 5 6 4" xfId="2300" xr:uid="{035A50DE-B36D-4703-8F01-F23442946A2C}"/>
    <cellStyle name="アクセント 5 7" xfId="512" xr:uid="{00000000-0005-0000-0000-00000C020000}"/>
    <cellStyle name="アクセント 5 7 2" xfId="2301" xr:uid="{B386AB06-CE93-4EB1-A1D8-045E35D848AC}"/>
    <cellStyle name="アクセント 5 8" xfId="513" xr:uid="{00000000-0005-0000-0000-00000D020000}"/>
    <cellStyle name="アクセント 5 8 2" xfId="2302" xr:uid="{011DC1B8-0234-43DA-886C-87677DCBD5C3}"/>
    <cellStyle name="アクセント 5 9" xfId="514" xr:uid="{00000000-0005-0000-0000-00000E020000}"/>
    <cellStyle name="アクセント 5 9 2" xfId="2303" xr:uid="{C6534235-F5E2-4AF5-AF92-6795EC102F15}"/>
    <cellStyle name="アクセント 6 2" xfId="515" xr:uid="{00000000-0005-0000-0000-00000F020000}"/>
    <cellStyle name="アクセント 6 2 2" xfId="1967" xr:uid="{00000000-0005-0000-0000-000010020000}"/>
    <cellStyle name="アクセント 6 3" xfId="516" xr:uid="{00000000-0005-0000-0000-000011020000}"/>
    <cellStyle name="アクセント 6 3 2" xfId="2304" xr:uid="{74B44DF1-4963-46CA-8EF2-F15ECE1D6363}"/>
    <cellStyle name="アクセント 6 4" xfId="517" xr:uid="{00000000-0005-0000-0000-000012020000}"/>
    <cellStyle name="アクセント 6 4 2" xfId="2305" xr:uid="{CCDD2185-0FF0-4136-A807-1B8A2E5F934F}"/>
    <cellStyle name="アクセント 6 5" xfId="518" xr:uid="{00000000-0005-0000-0000-000013020000}"/>
    <cellStyle name="アクセント 6 5 2" xfId="2306" xr:uid="{A2A67BF7-1984-4F57-BB76-A43541AE2B86}"/>
    <cellStyle name="アクセント 6 5 3" xfId="2307" xr:uid="{3DFBF4E0-ED4C-4DD5-B48D-9DE4169BD614}"/>
    <cellStyle name="アクセント 6 5 4" xfId="2308" xr:uid="{545D05BD-4CF2-4407-A522-C239FA966FFA}"/>
    <cellStyle name="アクセント 6 6" xfId="519" xr:uid="{00000000-0005-0000-0000-000014020000}"/>
    <cellStyle name="アクセント 6 6 2" xfId="2309" xr:uid="{F380BE4D-1EDB-4F05-A9B0-43C3D5385EE0}"/>
    <cellStyle name="アクセント 6 6 3" xfId="2310" xr:uid="{FC1B2920-17BB-483C-AD89-EBE6CD26E808}"/>
    <cellStyle name="アクセント 6 6 4" xfId="2311" xr:uid="{75C25F79-3137-4E24-8926-7DEE7A8D2ADE}"/>
    <cellStyle name="アクセント 6 7" xfId="520" xr:uid="{00000000-0005-0000-0000-000015020000}"/>
    <cellStyle name="アクセント 6 7 2" xfId="2312" xr:uid="{CE5D8A62-BFD6-4E0D-A699-93F4775E16C7}"/>
    <cellStyle name="アクセント 6 8" xfId="521" xr:uid="{00000000-0005-0000-0000-000016020000}"/>
    <cellStyle name="アクセント 6 8 2" xfId="2313" xr:uid="{40595560-9A04-4146-83DF-D1EBC432A5B0}"/>
    <cellStyle name="アクセント 6 9" xfId="522" xr:uid="{00000000-0005-0000-0000-000017020000}"/>
    <cellStyle name="アクセント 6 9 2" xfId="2314" xr:uid="{53E646D1-1056-4001-A9C1-A36CC1743FEA}"/>
    <cellStyle name="オン/バッチ" xfId="2315" xr:uid="{08D439B9-84A8-4084-B1A2-0EE50B6469AE}"/>
    <cellStyle name="スタイル 1" xfId="2316" xr:uid="{6D2BCC8B-F625-4DC2-BA78-E730703D146E}"/>
    <cellStyle name="センター" xfId="523" xr:uid="{00000000-0005-0000-0000-000018020000}"/>
    <cellStyle name="タイトル 2" xfId="524" xr:uid="{00000000-0005-0000-0000-000019020000}"/>
    <cellStyle name="タイトル 2 2" xfId="1968" xr:uid="{00000000-0005-0000-0000-00001A020000}"/>
    <cellStyle name="タイトル 3" xfId="525" xr:uid="{00000000-0005-0000-0000-00001B020000}"/>
    <cellStyle name="タイトル 3 2" xfId="2317" xr:uid="{2FEAE5F0-46E8-4581-A8EB-8BC1BAFE485D}"/>
    <cellStyle name="タイトル 4" xfId="526" xr:uid="{00000000-0005-0000-0000-00001C020000}"/>
    <cellStyle name="タイトル 4 2" xfId="2318" xr:uid="{1686FBD8-7785-4C7A-AC6B-B532936CC8AD}"/>
    <cellStyle name="タイトル 5" xfId="527" xr:uid="{00000000-0005-0000-0000-00001D020000}"/>
    <cellStyle name="タイトル 5 2" xfId="2319" xr:uid="{E8C0C186-6ADE-4BD6-BF0C-7CF1912AF430}"/>
    <cellStyle name="タイトル 5 3" xfId="2320" xr:uid="{35A016DF-08A3-4F10-AB70-9D82408647AD}"/>
    <cellStyle name="タイトル 6" xfId="528" xr:uid="{00000000-0005-0000-0000-00001E020000}"/>
    <cellStyle name="タイトル 6 2" xfId="2321" xr:uid="{A711CAE9-09C0-4293-842F-242C11F14D98}"/>
    <cellStyle name="タイトル 6 3" xfId="2322" xr:uid="{87D3066C-B31D-4223-B736-74ED6D49BEEB}"/>
    <cellStyle name="タイトル 7" xfId="529" xr:uid="{00000000-0005-0000-0000-00001F020000}"/>
    <cellStyle name="タイトル 8" xfId="530" xr:uid="{00000000-0005-0000-0000-000020020000}"/>
    <cellStyle name="タイトル 9" xfId="531" xr:uid="{00000000-0005-0000-0000-000021020000}"/>
    <cellStyle name="タイトル 9 2" xfId="2323" xr:uid="{0AC60EF3-E6C4-42AD-935A-BC062EB0F832}"/>
    <cellStyle name="チェック セル 2" xfId="532" xr:uid="{00000000-0005-0000-0000-000022020000}"/>
    <cellStyle name="チェック セル 2 2" xfId="1969" xr:uid="{00000000-0005-0000-0000-000023020000}"/>
    <cellStyle name="チェック セル 3" xfId="533" xr:uid="{00000000-0005-0000-0000-000024020000}"/>
    <cellStyle name="チェック セル 3 2" xfId="2324" xr:uid="{AF4B24AB-A811-44ED-806F-FF41E2B2B0BB}"/>
    <cellStyle name="チェック セル 4" xfId="534" xr:uid="{00000000-0005-0000-0000-000025020000}"/>
    <cellStyle name="チェック セル 4 2" xfId="2325" xr:uid="{B148DC11-B9DB-4E1E-9D07-78642A9A4610}"/>
    <cellStyle name="チェック セル 5" xfId="535" xr:uid="{00000000-0005-0000-0000-000026020000}"/>
    <cellStyle name="チェック セル 5 2" xfId="2326" xr:uid="{7465742D-BEE9-49EE-B499-5D79463D1A9A}"/>
    <cellStyle name="チェック セル 5 3" xfId="2327" xr:uid="{96F5EB3C-C2A2-49F1-AE73-54A17E4CC6EE}"/>
    <cellStyle name="チェック セル 5 4" xfId="2328" xr:uid="{B773FEE3-F4DE-4B94-9C16-9019A3D4BCF4}"/>
    <cellStyle name="チェック セル 6" xfId="536" xr:uid="{00000000-0005-0000-0000-000027020000}"/>
    <cellStyle name="チェック セル 6 2" xfId="2329" xr:uid="{B5ACBA26-B687-4211-8723-2F79CC615998}"/>
    <cellStyle name="チェック セル 6 3" xfId="2330" xr:uid="{056073D2-30DF-4E22-9AB3-2863367466AB}"/>
    <cellStyle name="チェック セル 6 4" xfId="2331" xr:uid="{0ADE583D-6A99-4CF5-BF47-58F498A8AB00}"/>
    <cellStyle name="チェック セル 7" xfId="537" xr:uid="{00000000-0005-0000-0000-000028020000}"/>
    <cellStyle name="チェック セル 7 2" xfId="2332" xr:uid="{6A3F29CD-1E21-4B61-BB29-AE5E9E02B01C}"/>
    <cellStyle name="チェック セル 8" xfId="538" xr:uid="{00000000-0005-0000-0000-000029020000}"/>
    <cellStyle name="チェック セル 8 2" xfId="2333" xr:uid="{DCC3EA94-FA0F-4C45-9064-4E34FB19C160}"/>
    <cellStyle name="チェック セル 9" xfId="539" xr:uid="{00000000-0005-0000-0000-00002A020000}"/>
    <cellStyle name="チェック セル 9 2" xfId="2334" xr:uid="{4DFC454E-B42D-449D-A62D-488147DF9011}"/>
    <cellStyle name="チャート" xfId="540" xr:uid="{00000000-0005-0000-0000-00002B020000}"/>
    <cellStyle name="どちらでもない 2" xfId="541" xr:uid="{00000000-0005-0000-0000-00002C020000}"/>
    <cellStyle name="どちらでもない 2 2" xfId="1970" xr:uid="{00000000-0005-0000-0000-00002D020000}"/>
    <cellStyle name="どちらでもない 3" xfId="542" xr:uid="{00000000-0005-0000-0000-00002E020000}"/>
    <cellStyle name="どちらでもない 3 2" xfId="2335" xr:uid="{6308BF4E-A785-4A73-9E77-E12729BFDE53}"/>
    <cellStyle name="どちらでもない 4" xfId="543" xr:uid="{00000000-0005-0000-0000-00002F020000}"/>
    <cellStyle name="どちらでもない 4 2" xfId="2336" xr:uid="{FCC5D356-48AA-4932-95E3-CBBE04DEE262}"/>
    <cellStyle name="どちらでもない 5" xfId="544" xr:uid="{00000000-0005-0000-0000-000030020000}"/>
    <cellStyle name="どちらでもない 5 2" xfId="2337" xr:uid="{23470B15-35ED-48D8-910F-577F905E8E01}"/>
    <cellStyle name="どちらでもない 5 3" xfId="2338" xr:uid="{C01844FF-D8B9-441D-8504-2E61412C6E0E}"/>
    <cellStyle name="どちらでもない 5 4" xfId="2339" xr:uid="{DCBC1419-0D48-423C-9534-BB7920FB8AD9}"/>
    <cellStyle name="どちらでもない 6" xfId="545" xr:uid="{00000000-0005-0000-0000-000031020000}"/>
    <cellStyle name="どちらでもない 6 2" xfId="2340" xr:uid="{532F0DAD-0CAD-439D-9101-3EC6DE3F0305}"/>
    <cellStyle name="どちらでもない 6 3" xfId="2341" xr:uid="{C7325207-7F3A-4E4E-94DC-FDA60C5EBA8C}"/>
    <cellStyle name="どちらでもない 6 4" xfId="2342" xr:uid="{C853481D-B517-4E3E-ABD1-EAD820F0BFC4}"/>
    <cellStyle name="どちらでもない 7" xfId="546" xr:uid="{00000000-0005-0000-0000-000032020000}"/>
    <cellStyle name="どちらでもない 7 2" xfId="2343" xr:uid="{EF96580E-1458-4BF6-BF9C-5507E3948A79}"/>
    <cellStyle name="どちらでもない 8" xfId="547" xr:uid="{00000000-0005-0000-0000-000033020000}"/>
    <cellStyle name="どちらでもない 8 2" xfId="2344" xr:uid="{48510DE1-02A2-4E62-B04A-F0E91EC6AB72}"/>
    <cellStyle name="どちらでもない 9" xfId="548" xr:uid="{00000000-0005-0000-0000-000034020000}"/>
    <cellStyle name="どちらでもない 9 2" xfId="2345" xr:uid="{A9E2435C-6F1D-4361-A418-58670418A9CC}"/>
    <cellStyle name="パーセント 2" xfId="549" xr:uid="{00000000-0005-0000-0000-000035020000}"/>
    <cellStyle name="パーセント 2 2" xfId="550" xr:uid="{00000000-0005-0000-0000-000036020000}"/>
    <cellStyle name="パーセント 2 3" xfId="2346" xr:uid="{AFE36252-7096-4056-9176-F8B13A0AE960}"/>
    <cellStyle name="パーセント 2 4" xfId="2347" xr:uid="{F54A5FD2-CC32-4ED3-858B-45F62E74A7A8}"/>
    <cellStyle name="パーセント 3" xfId="551" xr:uid="{00000000-0005-0000-0000-000037020000}"/>
    <cellStyle name="パーセント 3 2" xfId="2348" xr:uid="{4A45CD89-5B15-43B7-9345-82ACD5DB6DC7}"/>
    <cellStyle name="パーセント 3 3" xfId="2349" xr:uid="{20544EA3-E5F1-4135-BF9B-6F5B32A6DCC8}"/>
    <cellStyle name="パーセント 4" xfId="2350" xr:uid="{B54EE3CA-944D-4192-99A4-E2666A10F951}"/>
    <cellStyle name="パーセント 5" xfId="2351" xr:uid="{6C9145B7-762C-4D2E-92D9-9AE682ABDF77}"/>
    <cellStyle name="パーセント 6" xfId="2352" xr:uid="{1356B49C-3812-4DC1-A6AC-4E221814B338}"/>
    <cellStyle name="パーセント 7" xfId="1981" xr:uid="{3E8FB7D1-89F7-42C5-92E8-A014509684E3}"/>
    <cellStyle name="パーセント 7 2" xfId="2996" xr:uid="{ECFF773F-00CB-4A0E-9C3F-DAFA9DC03F96}"/>
    <cellStyle name="パーセント 7 3" xfId="3068" xr:uid="{47BC2808-3759-4C30-8357-E35ECB13955E}"/>
    <cellStyle name="ハイパーリンク" xfId="3070" builtinId="8"/>
    <cellStyle name="ハイパーリンク 10" xfId="2353" xr:uid="{A8FBDE29-0B6B-40E3-B943-36E4CC41F7CF}"/>
    <cellStyle name="ハイパーリンク 11" xfId="2354" xr:uid="{9A0D1707-D2C8-47F5-AC41-2B8AADF9BA1A}"/>
    <cellStyle name="ハイパーリンク 12" xfId="2355" xr:uid="{4811AD9E-1062-4D11-AAC0-226BDE4E5124}"/>
    <cellStyle name="ハイパーリンク 13" xfId="2356" xr:uid="{B933A3D4-A6A5-4120-8982-578F8361CA93}"/>
    <cellStyle name="ハイパーリンク 14" xfId="2995" xr:uid="{9E53A943-D93F-462A-94A0-701B44777FFA}"/>
    <cellStyle name="ハイパーリンク 2" xfId="552" xr:uid="{00000000-0005-0000-0000-000038020000}"/>
    <cellStyle name="ハイパーリンク 2 2" xfId="553" xr:uid="{00000000-0005-0000-0000-000039020000}"/>
    <cellStyle name="ハイパーリンク 2 2 2" xfId="2357" xr:uid="{990DD756-B37B-4738-92D1-6B3F8A283844}"/>
    <cellStyle name="ハイパーリンク 2 3" xfId="554" xr:uid="{00000000-0005-0000-0000-00003A020000}"/>
    <cellStyle name="ハイパーリンク 2 4" xfId="2358" xr:uid="{45CA2EA3-3249-41CA-9CC1-2D258FA94EB8}"/>
    <cellStyle name="ハイパーリンク 2 5" xfId="2359" xr:uid="{D87894D4-F45C-4C7E-B2A0-B9FAE7D235C2}"/>
    <cellStyle name="ハイパーリンク 2 6" xfId="2360" xr:uid="{BCF16008-D87C-44AF-9054-8921B91E3A18}"/>
    <cellStyle name="ハイパーリンク 3" xfId="555" xr:uid="{00000000-0005-0000-0000-00003B020000}"/>
    <cellStyle name="ハイパーリンク 3 2" xfId="2361" xr:uid="{3D12805E-1B14-4C49-AE97-67DC114A834D}"/>
    <cellStyle name="ハイパーリンク 4" xfId="2362" xr:uid="{7922223F-2C60-4818-A83C-565063922318}"/>
    <cellStyle name="ハイパーリンク 5" xfId="2363" xr:uid="{ACAB0AA7-E728-48E4-95A8-99575542ED63}"/>
    <cellStyle name="ハイパーリンク 6" xfId="2364" xr:uid="{ADAEB41B-4F3E-4A76-9887-92FCB43E93FA}"/>
    <cellStyle name="ハイパーリンク 7" xfId="2365" xr:uid="{04C23C39-EFEB-4F91-9C58-C3937CDCFC0A}"/>
    <cellStyle name="ハイパーリンク 8" xfId="2366" xr:uid="{D70FCB77-41FD-4C31-8BF6-CAA8AA62612B}"/>
    <cellStyle name="ハイパーリンク 9" xfId="2367" xr:uid="{94A59B0A-C361-4137-96FF-3840BA1E690A}"/>
    <cellStyle name="メモ 2" xfId="556" xr:uid="{00000000-0005-0000-0000-00003C020000}"/>
    <cellStyle name="メモ 2 2" xfId="557" xr:uid="{00000000-0005-0000-0000-00003D020000}"/>
    <cellStyle name="メモ 2 2 2" xfId="558" xr:uid="{00000000-0005-0000-0000-00003E020000}"/>
    <cellStyle name="メモ 2 2 2 2" xfId="559" xr:uid="{00000000-0005-0000-0000-00003F020000}"/>
    <cellStyle name="メモ 2 2 2 2 2" xfId="560" xr:uid="{00000000-0005-0000-0000-000040020000}"/>
    <cellStyle name="メモ 2 2 2 3" xfId="561" xr:uid="{00000000-0005-0000-0000-000041020000}"/>
    <cellStyle name="メモ 2 2 2 3 2" xfId="562" xr:uid="{00000000-0005-0000-0000-000042020000}"/>
    <cellStyle name="メモ 2 2 2 4" xfId="563" xr:uid="{00000000-0005-0000-0000-000043020000}"/>
    <cellStyle name="メモ 2 2 2 4 2" xfId="564" xr:uid="{00000000-0005-0000-0000-000044020000}"/>
    <cellStyle name="メモ 2 2 2 5" xfId="565" xr:uid="{00000000-0005-0000-0000-000045020000}"/>
    <cellStyle name="メモ 2 2 2 5 2" xfId="566" xr:uid="{00000000-0005-0000-0000-000046020000}"/>
    <cellStyle name="メモ 2 2 2 6" xfId="567" xr:uid="{00000000-0005-0000-0000-000047020000}"/>
    <cellStyle name="メモ 2 2 2 6 2" xfId="568" xr:uid="{00000000-0005-0000-0000-000048020000}"/>
    <cellStyle name="メモ 2 2 2 7" xfId="569" xr:uid="{00000000-0005-0000-0000-000049020000}"/>
    <cellStyle name="メモ 2 2 3" xfId="570" xr:uid="{00000000-0005-0000-0000-00004A020000}"/>
    <cellStyle name="メモ 2 2 3 2" xfId="571" xr:uid="{00000000-0005-0000-0000-00004B020000}"/>
    <cellStyle name="メモ 2 2 4" xfId="572" xr:uid="{00000000-0005-0000-0000-00004C020000}"/>
    <cellStyle name="メモ 2 2 4 2" xfId="2368" xr:uid="{D1A22FBD-4597-4DDC-B303-96B05CFD882C}"/>
    <cellStyle name="メモ 2 2 5" xfId="2369" xr:uid="{5AA02BFC-58F5-4ECC-A6DA-F0F0F6FE3EA2}"/>
    <cellStyle name="メモ 2 2 6" xfId="2370" xr:uid="{0B316DEB-7489-4B03-82A6-98415B1FD631}"/>
    <cellStyle name="メモ 2 3" xfId="573" xr:uid="{00000000-0005-0000-0000-00004D020000}"/>
    <cellStyle name="メモ 2 3 2" xfId="574" xr:uid="{00000000-0005-0000-0000-00004E020000}"/>
    <cellStyle name="メモ 2 3 2 2" xfId="575" xr:uid="{00000000-0005-0000-0000-00004F020000}"/>
    <cellStyle name="メモ 2 3 2 2 2" xfId="576" xr:uid="{00000000-0005-0000-0000-000050020000}"/>
    <cellStyle name="メモ 2 3 2 3" xfId="577" xr:uid="{00000000-0005-0000-0000-000051020000}"/>
    <cellStyle name="メモ 2 3 2 3 2" xfId="578" xr:uid="{00000000-0005-0000-0000-000052020000}"/>
    <cellStyle name="メモ 2 3 2 4" xfId="579" xr:uid="{00000000-0005-0000-0000-000053020000}"/>
    <cellStyle name="メモ 2 3 2 4 2" xfId="580" xr:uid="{00000000-0005-0000-0000-000054020000}"/>
    <cellStyle name="メモ 2 3 2 5" xfId="581" xr:uid="{00000000-0005-0000-0000-000055020000}"/>
    <cellStyle name="メモ 2 3 2 5 2" xfId="582" xr:uid="{00000000-0005-0000-0000-000056020000}"/>
    <cellStyle name="メモ 2 3 2 6" xfId="583" xr:uid="{00000000-0005-0000-0000-000057020000}"/>
    <cellStyle name="メモ 2 3 2 6 2" xfId="584" xr:uid="{00000000-0005-0000-0000-000058020000}"/>
    <cellStyle name="メモ 2 3 2 7" xfId="585" xr:uid="{00000000-0005-0000-0000-000059020000}"/>
    <cellStyle name="メモ 2 3 3" xfId="586" xr:uid="{00000000-0005-0000-0000-00005A020000}"/>
    <cellStyle name="メモ 2 3 3 2" xfId="587" xr:uid="{00000000-0005-0000-0000-00005B020000}"/>
    <cellStyle name="メモ 2 3 4" xfId="2371" xr:uid="{9956F309-5951-48E5-8B7D-9F90BC2F5A24}"/>
    <cellStyle name="メモ 2 3 5" xfId="2372" xr:uid="{571AC5AF-70E0-4C0F-9555-154C1DF7AB7D}"/>
    <cellStyle name="メモ 2 3 6" xfId="2373" xr:uid="{6FB1015E-EBAC-41E5-9055-BAA147E01AB7}"/>
    <cellStyle name="メモ 2 3 7" xfId="2374" xr:uid="{F3050370-D5B2-458F-A57B-A7BDF4B7BE95}"/>
    <cellStyle name="メモ 2 4" xfId="588" xr:uid="{00000000-0005-0000-0000-00005C020000}"/>
    <cellStyle name="メモ 2 4 2" xfId="589" xr:uid="{00000000-0005-0000-0000-00005D020000}"/>
    <cellStyle name="メモ 2 4 2 2" xfId="590" xr:uid="{00000000-0005-0000-0000-00005E020000}"/>
    <cellStyle name="メモ 2 4 2 2 2" xfId="591" xr:uid="{00000000-0005-0000-0000-00005F020000}"/>
    <cellStyle name="メモ 2 4 2 3" xfId="592" xr:uid="{00000000-0005-0000-0000-000060020000}"/>
    <cellStyle name="メモ 2 4 2 3 2" xfId="593" xr:uid="{00000000-0005-0000-0000-000061020000}"/>
    <cellStyle name="メモ 2 4 2 4" xfId="594" xr:uid="{00000000-0005-0000-0000-000062020000}"/>
    <cellStyle name="メモ 2 4 2 4 2" xfId="595" xr:uid="{00000000-0005-0000-0000-000063020000}"/>
    <cellStyle name="メモ 2 4 2 5" xfId="596" xr:uid="{00000000-0005-0000-0000-000064020000}"/>
    <cellStyle name="メモ 2 4 2 5 2" xfId="597" xr:uid="{00000000-0005-0000-0000-000065020000}"/>
    <cellStyle name="メモ 2 4 2 6" xfId="598" xr:uid="{00000000-0005-0000-0000-000066020000}"/>
    <cellStyle name="メモ 2 4 2 6 2" xfId="599" xr:uid="{00000000-0005-0000-0000-000067020000}"/>
    <cellStyle name="メモ 2 4 2 7" xfId="600" xr:uid="{00000000-0005-0000-0000-000068020000}"/>
    <cellStyle name="メモ 2 4 3" xfId="601" xr:uid="{00000000-0005-0000-0000-000069020000}"/>
    <cellStyle name="メモ 2 4 3 2" xfId="602" xr:uid="{00000000-0005-0000-0000-00006A020000}"/>
    <cellStyle name="メモ 2 4 4" xfId="603" xr:uid="{00000000-0005-0000-0000-00006B020000}"/>
    <cellStyle name="メモ 2 4 4 2" xfId="604" xr:uid="{00000000-0005-0000-0000-00006C020000}"/>
    <cellStyle name="メモ 2 4 5" xfId="605" xr:uid="{00000000-0005-0000-0000-00006D020000}"/>
    <cellStyle name="メモ 2 4 5 2" xfId="606" xr:uid="{00000000-0005-0000-0000-00006E020000}"/>
    <cellStyle name="メモ 2 4 6" xfId="607" xr:uid="{00000000-0005-0000-0000-00006F020000}"/>
    <cellStyle name="メモ 2 4 6 2" xfId="608" xr:uid="{00000000-0005-0000-0000-000070020000}"/>
    <cellStyle name="メモ 2 4 7" xfId="609" xr:uid="{00000000-0005-0000-0000-000071020000}"/>
    <cellStyle name="メモ 2 4 7 2" xfId="610" xr:uid="{00000000-0005-0000-0000-000072020000}"/>
    <cellStyle name="メモ 2 4 8" xfId="611" xr:uid="{00000000-0005-0000-0000-000073020000}"/>
    <cellStyle name="メモ 2 5" xfId="612" xr:uid="{00000000-0005-0000-0000-000074020000}"/>
    <cellStyle name="メモ 2 5 2" xfId="613" xr:uid="{00000000-0005-0000-0000-000075020000}"/>
    <cellStyle name="メモ 2 5 2 2" xfId="614" xr:uid="{00000000-0005-0000-0000-000076020000}"/>
    <cellStyle name="メモ 2 5 2 2 2" xfId="615" xr:uid="{00000000-0005-0000-0000-000077020000}"/>
    <cellStyle name="メモ 2 5 2 3" xfId="616" xr:uid="{00000000-0005-0000-0000-000078020000}"/>
    <cellStyle name="メモ 2 5 2 3 2" xfId="617" xr:uid="{00000000-0005-0000-0000-000079020000}"/>
    <cellStyle name="メモ 2 5 2 4" xfId="618" xr:uid="{00000000-0005-0000-0000-00007A020000}"/>
    <cellStyle name="メモ 2 5 2 4 2" xfId="619" xr:uid="{00000000-0005-0000-0000-00007B020000}"/>
    <cellStyle name="メモ 2 5 2 5" xfId="620" xr:uid="{00000000-0005-0000-0000-00007C020000}"/>
    <cellStyle name="メモ 2 5 2 5 2" xfId="621" xr:uid="{00000000-0005-0000-0000-00007D020000}"/>
    <cellStyle name="メモ 2 5 2 6" xfId="622" xr:uid="{00000000-0005-0000-0000-00007E020000}"/>
    <cellStyle name="メモ 2 5 2 6 2" xfId="623" xr:uid="{00000000-0005-0000-0000-00007F020000}"/>
    <cellStyle name="メモ 2 5 2 7" xfId="624" xr:uid="{00000000-0005-0000-0000-000080020000}"/>
    <cellStyle name="メモ 2 5 3" xfId="625" xr:uid="{00000000-0005-0000-0000-000081020000}"/>
    <cellStyle name="メモ 2 5 3 2" xfId="626" xr:uid="{00000000-0005-0000-0000-000082020000}"/>
    <cellStyle name="メモ 2 5 4" xfId="627" xr:uid="{00000000-0005-0000-0000-000083020000}"/>
    <cellStyle name="メモ 2 5 4 2" xfId="628" xr:uid="{00000000-0005-0000-0000-000084020000}"/>
    <cellStyle name="メモ 2 5 5" xfId="629" xr:uid="{00000000-0005-0000-0000-000085020000}"/>
    <cellStyle name="メモ 2 5 5 2" xfId="630" xr:uid="{00000000-0005-0000-0000-000086020000}"/>
    <cellStyle name="メモ 2 5 6" xfId="631" xr:uid="{00000000-0005-0000-0000-000087020000}"/>
    <cellStyle name="メモ 2 5 6 2" xfId="632" xr:uid="{00000000-0005-0000-0000-000088020000}"/>
    <cellStyle name="メモ 2 5 7" xfId="633" xr:uid="{00000000-0005-0000-0000-000089020000}"/>
    <cellStyle name="メモ 2 5 7 2" xfId="634" xr:uid="{00000000-0005-0000-0000-00008A020000}"/>
    <cellStyle name="メモ 2 5 8" xfId="635" xr:uid="{00000000-0005-0000-0000-00008B020000}"/>
    <cellStyle name="メモ 2 6" xfId="636" xr:uid="{00000000-0005-0000-0000-00008C020000}"/>
    <cellStyle name="メモ 2 6 2" xfId="637" xr:uid="{00000000-0005-0000-0000-00008D020000}"/>
    <cellStyle name="メモ 2 6 2 2" xfId="638" xr:uid="{00000000-0005-0000-0000-00008E020000}"/>
    <cellStyle name="メモ 2 6 2 2 2" xfId="639" xr:uid="{00000000-0005-0000-0000-00008F020000}"/>
    <cellStyle name="メモ 2 6 2 3" xfId="640" xr:uid="{00000000-0005-0000-0000-000090020000}"/>
    <cellStyle name="メモ 2 6 2 3 2" xfId="641" xr:uid="{00000000-0005-0000-0000-000091020000}"/>
    <cellStyle name="メモ 2 6 2 4" xfId="642" xr:uid="{00000000-0005-0000-0000-000092020000}"/>
    <cellStyle name="メモ 2 6 2 4 2" xfId="643" xr:uid="{00000000-0005-0000-0000-000093020000}"/>
    <cellStyle name="メモ 2 6 2 5" xfId="644" xr:uid="{00000000-0005-0000-0000-000094020000}"/>
    <cellStyle name="メモ 2 6 2 5 2" xfId="645" xr:uid="{00000000-0005-0000-0000-000095020000}"/>
    <cellStyle name="メモ 2 6 2 6" xfId="646" xr:uid="{00000000-0005-0000-0000-000096020000}"/>
    <cellStyle name="メモ 2 6 2 6 2" xfId="647" xr:uid="{00000000-0005-0000-0000-000097020000}"/>
    <cellStyle name="メモ 2 6 2 7" xfId="648" xr:uid="{00000000-0005-0000-0000-000098020000}"/>
    <cellStyle name="メモ 2 6 3" xfId="649" xr:uid="{00000000-0005-0000-0000-000099020000}"/>
    <cellStyle name="メモ 2 6 3 2" xfId="650" xr:uid="{00000000-0005-0000-0000-00009A020000}"/>
    <cellStyle name="メモ 2 6 4" xfId="651" xr:uid="{00000000-0005-0000-0000-00009B020000}"/>
    <cellStyle name="メモ 2 6 4 2" xfId="652" xr:uid="{00000000-0005-0000-0000-00009C020000}"/>
    <cellStyle name="メモ 2 6 5" xfId="653" xr:uid="{00000000-0005-0000-0000-00009D020000}"/>
    <cellStyle name="メモ 2 6 5 2" xfId="654" xr:uid="{00000000-0005-0000-0000-00009E020000}"/>
    <cellStyle name="メモ 2 6 6" xfId="655" xr:uid="{00000000-0005-0000-0000-00009F020000}"/>
    <cellStyle name="メモ 2 6 6 2" xfId="656" xr:uid="{00000000-0005-0000-0000-0000A0020000}"/>
    <cellStyle name="メモ 2 6 7" xfId="657" xr:uid="{00000000-0005-0000-0000-0000A1020000}"/>
    <cellStyle name="メモ 2 6 7 2" xfId="658" xr:uid="{00000000-0005-0000-0000-0000A2020000}"/>
    <cellStyle name="メモ 2 6 8" xfId="659" xr:uid="{00000000-0005-0000-0000-0000A3020000}"/>
    <cellStyle name="メモ 2 7" xfId="660" xr:uid="{00000000-0005-0000-0000-0000A4020000}"/>
    <cellStyle name="メモ 2 7 2" xfId="661" xr:uid="{00000000-0005-0000-0000-0000A5020000}"/>
    <cellStyle name="メモ 2 7 2 2" xfId="662" xr:uid="{00000000-0005-0000-0000-0000A6020000}"/>
    <cellStyle name="メモ 2 7 3" xfId="663" xr:uid="{00000000-0005-0000-0000-0000A7020000}"/>
    <cellStyle name="メモ 2 7 3 2" xfId="664" xr:uid="{00000000-0005-0000-0000-0000A8020000}"/>
    <cellStyle name="メモ 2 7 4" xfId="665" xr:uid="{00000000-0005-0000-0000-0000A9020000}"/>
    <cellStyle name="メモ 2 7 4 2" xfId="666" xr:uid="{00000000-0005-0000-0000-0000AA020000}"/>
    <cellStyle name="メモ 2 7 5" xfId="667" xr:uid="{00000000-0005-0000-0000-0000AB020000}"/>
    <cellStyle name="メモ 2 7 5 2" xfId="668" xr:uid="{00000000-0005-0000-0000-0000AC020000}"/>
    <cellStyle name="メモ 2 7 6" xfId="669" xr:uid="{00000000-0005-0000-0000-0000AD020000}"/>
    <cellStyle name="メモ 2 7 6 2" xfId="670" xr:uid="{00000000-0005-0000-0000-0000AE020000}"/>
    <cellStyle name="メモ 2 7 7" xfId="671" xr:uid="{00000000-0005-0000-0000-0000AF020000}"/>
    <cellStyle name="メモ 2 8" xfId="672" xr:uid="{00000000-0005-0000-0000-0000B0020000}"/>
    <cellStyle name="メモ 2 8 2" xfId="673" xr:uid="{00000000-0005-0000-0000-0000B1020000}"/>
    <cellStyle name="メモ 2 9" xfId="2375" xr:uid="{524EC652-5D1B-43AC-999F-3EB48530A7F4}"/>
    <cellStyle name="メモ 3" xfId="674" xr:uid="{00000000-0005-0000-0000-0000B2020000}"/>
    <cellStyle name="メモ 3 2" xfId="675" xr:uid="{00000000-0005-0000-0000-0000B3020000}"/>
    <cellStyle name="メモ 3 2 10" xfId="2376" xr:uid="{46A75FD9-A432-4DCC-AC21-7F1C6EFBBB7B}"/>
    <cellStyle name="メモ 3 2 2" xfId="676" xr:uid="{00000000-0005-0000-0000-0000B4020000}"/>
    <cellStyle name="メモ 3 2 2 2" xfId="677" xr:uid="{00000000-0005-0000-0000-0000B5020000}"/>
    <cellStyle name="メモ 3 2 3" xfId="678" xr:uid="{00000000-0005-0000-0000-0000B6020000}"/>
    <cellStyle name="メモ 3 2 3 2" xfId="679" xr:uid="{00000000-0005-0000-0000-0000B7020000}"/>
    <cellStyle name="メモ 3 2 4" xfId="680" xr:uid="{00000000-0005-0000-0000-0000B8020000}"/>
    <cellStyle name="メモ 3 2 4 2" xfId="681" xr:uid="{00000000-0005-0000-0000-0000B9020000}"/>
    <cellStyle name="メモ 3 2 5" xfId="682" xr:uid="{00000000-0005-0000-0000-0000BA020000}"/>
    <cellStyle name="メモ 3 2 5 2" xfId="683" xr:uid="{00000000-0005-0000-0000-0000BB020000}"/>
    <cellStyle name="メモ 3 2 6" xfId="684" xr:uid="{00000000-0005-0000-0000-0000BC020000}"/>
    <cellStyle name="メモ 3 2 6 2" xfId="685" xr:uid="{00000000-0005-0000-0000-0000BD020000}"/>
    <cellStyle name="メモ 3 2 7" xfId="686" xr:uid="{00000000-0005-0000-0000-0000BE020000}"/>
    <cellStyle name="メモ 3 2 8" xfId="2377" xr:uid="{12562C81-A488-43AF-B254-C3F799CC82B6}"/>
    <cellStyle name="メモ 3 2 9" xfId="2378" xr:uid="{DC45D9EC-8CC6-4674-89AC-FCB912DA1273}"/>
    <cellStyle name="メモ 3 3" xfId="687" xr:uid="{00000000-0005-0000-0000-0000BF020000}"/>
    <cellStyle name="メモ 3 3 2" xfId="688" xr:uid="{00000000-0005-0000-0000-0000C0020000}"/>
    <cellStyle name="メモ 3 4" xfId="689" xr:uid="{00000000-0005-0000-0000-0000C1020000}"/>
    <cellStyle name="メモ 3 5" xfId="690" xr:uid="{00000000-0005-0000-0000-0000C2020000}"/>
    <cellStyle name="メモ 4" xfId="691" xr:uid="{00000000-0005-0000-0000-0000C3020000}"/>
    <cellStyle name="メモ 4 2" xfId="692" xr:uid="{00000000-0005-0000-0000-0000C4020000}"/>
    <cellStyle name="メモ 4 2 2" xfId="693" xr:uid="{00000000-0005-0000-0000-0000C5020000}"/>
    <cellStyle name="メモ 4 2 2 2" xfId="694" xr:uid="{00000000-0005-0000-0000-0000C6020000}"/>
    <cellStyle name="メモ 4 2 3" xfId="695" xr:uid="{00000000-0005-0000-0000-0000C7020000}"/>
    <cellStyle name="メモ 4 2 3 2" xfId="696" xr:uid="{00000000-0005-0000-0000-0000C8020000}"/>
    <cellStyle name="メモ 4 2 4" xfId="697" xr:uid="{00000000-0005-0000-0000-0000C9020000}"/>
    <cellStyle name="メモ 4 2 4 2" xfId="698" xr:uid="{00000000-0005-0000-0000-0000CA020000}"/>
    <cellStyle name="メモ 4 2 5" xfId="699" xr:uid="{00000000-0005-0000-0000-0000CB020000}"/>
    <cellStyle name="メモ 4 2 5 2" xfId="700" xr:uid="{00000000-0005-0000-0000-0000CC020000}"/>
    <cellStyle name="メモ 4 2 6" xfId="701" xr:uid="{00000000-0005-0000-0000-0000CD020000}"/>
    <cellStyle name="メモ 4 2 6 2" xfId="702" xr:uid="{00000000-0005-0000-0000-0000CE020000}"/>
    <cellStyle name="メモ 4 2 7" xfId="703" xr:uid="{00000000-0005-0000-0000-0000CF020000}"/>
    <cellStyle name="メモ 4 3" xfId="704" xr:uid="{00000000-0005-0000-0000-0000D0020000}"/>
    <cellStyle name="メモ 4 3 2" xfId="705" xr:uid="{00000000-0005-0000-0000-0000D1020000}"/>
    <cellStyle name="メモ 4 4" xfId="706" xr:uid="{00000000-0005-0000-0000-0000D2020000}"/>
    <cellStyle name="メモ 5" xfId="707" xr:uid="{00000000-0005-0000-0000-0000D3020000}"/>
    <cellStyle name="メモ 5 2" xfId="708" xr:uid="{00000000-0005-0000-0000-0000D4020000}"/>
    <cellStyle name="メモ 5 2 2" xfId="709" xr:uid="{00000000-0005-0000-0000-0000D5020000}"/>
    <cellStyle name="メモ 5 3" xfId="710" xr:uid="{00000000-0005-0000-0000-0000D6020000}"/>
    <cellStyle name="メモ 5 3 2" xfId="711" xr:uid="{00000000-0005-0000-0000-0000D7020000}"/>
    <cellStyle name="メモ 5 3 2 2" xfId="2379" xr:uid="{0B95B521-C8B6-467D-BB58-AC6133A8E3A9}"/>
    <cellStyle name="メモ 5 4" xfId="712" xr:uid="{00000000-0005-0000-0000-0000D8020000}"/>
    <cellStyle name="メモ 5 4 2" xfId="713" xr:uid="{00000000-0005-0000-0000-0000D9020000}"/>
    <cellStyle name="メモ 5 5" xfId="714" xr:uid="{00000000-0005-0000-0000-0000DA020000}"/>
    <cellStyle name="メモ 5 5 2" xfId="715" xr:uid="{00000000-0005-0000-0000-0000DB020000}"/>
    <cellStyle name="メモ 5 6" xfId="716" xr:uid="{00000000-0005-0000-0000-0000DC020000}"/>
    <cellStyle name="メモ 5 6 2" xfId="717" xr:uid="{00000000-0005-0000-0000-0000DD020000}"/>
    <cellStyle name="メモ 5 7" xfId="718" xr:uid="{00000000-0005-0000-0000-0000DE020000}"/>
    <cellStyle name="メモ 5 7 2" xfId="719" xr:uid="{00000000-0005-0000-0000-0000DF020000}"/>
    <cellStyle name="メモ 5 8" xfId="2380" xr:uid="{2C7A378C-9CCD-4EC2-91D2-1B8A0CA91B12}"/>
    <cellStyle name="メモ 5 9" xfId="2381" xr:uid="{2C0DE31A-B9A0-4B8F-84A3-CECE6A3794ED}"/>
    <cellStyle name="メモ 6" xfId="720" xr:uid="{00000000-0005-0000-0000-0000E0020000}"/>
    <cellStyle name="メモ 6 2" xfId="2382" xr:uid="{8643703B-257A-4A92-8032-78CBF1333590}"/>
    <cellStyle name="メモ 6 2 2" xfId="2383" xr:uid="{AE7832AA-FCE4-4A70-814B-A5263C688656}"/>
    <cellStyle name="メモ 6 2 3" xfId="2384" xr:uid="{ECC55FB2-352D-40A7-B882-70F192CFF90F}"/>
    <cellStyle name="メモ 6 3" xfId="2385" xr:uid="{64AE830E-94FE-4CE8-A51D-98B99BDB1C1F}"/>
    <cellStyle name="メモ 6 3 2" xfId="2386" xr:uid="{1FB0D39F-EBE8-4B1A-9B79-B2DB570A388A}"/>
    <cellStyle name="メモ 6 4" xfId="2387" xr:uid="{8D2CC6CB-582B-483E-9AD9-66DB5B0063C6}"/>
    <cellStyle name="メモ 6 5" xfId="2388" xr:uid="{CAE57EF7-780F-4E3C-B656-0DFE648D57A6}"/>
    <cellStyle name="メモ 7" xfId="721" xr:uid="{00000000-0005-0000-0000-0000E1020000}"/>
    <cellStyle name="メモ 7 2" xfId="2389" xr:uid="{10F7FD15-4B16-41ED-A252-77A3815A0480}"/>
    <cellStyle name="メモ 7 3" xfId="2390" xr:uid="{243E8DDC-8EC0-4C4B-A0E4-76A49F32EB6A}"/>
    <cellStyle name="メモ 8" xfId="722" xr:uid="{00000000-0005-0000-0000-0000E2020000}"/>
    <cellStyle name="メモ 8 2" xfId="2391" xr:uid="{66CD0D68-712B-452B-BB17-241882227606}"/>
    <cellStyle name="メモ 8 3" xfId="2392" xr:uid="{AAA6633E-4508-4599-9FCF-9CDCA31A5D68}"/>
    <cellStyle name="メモ 9" xfId="723" xr:uid="{00000000-0005-0000-0000-0000E3020000}"/>
    <cellStyle name="メモ 9 2" xfId="2393" xr:uid="{056A6B1F-561B-4F43-883D-C8C8F698CAAE}"/>
    <cellStyle name="メモ 9 2 2" xfId="2394" xr:uid="{2FD6A819-692C-42A0-9179-A7DDF6E5CAC5}"/>
    <cellStyle name="メモ 9 2 3" xfId="2395" xr:uid="{62E6E5EF-A87E-4B12-B525-F95C6A0BAD92}"/>
    <cellStyle name="メモ 9 3" xfId="2396" xr:uid="{6C0DBB3D-7D39-4FCD-95EB-D12A3CA539A2}"/>
    <cellStyle name="リンク セル 2" xfId="724" xr:uid="{00000000-0005-0000-0000-0000E4020000}"/>
    <cellStyle name="リンク セル 2 2" xfId="1971" xr:uid="{00000000-0005-0000-0000-0000E5020000}"/>
    <cellStyle name="リンク セル 3" xfId="725" xr:uid="{00000000-0005-0000-0000-0000E6020000}"/>
    <cellStyle name="リンク セル 3 2" xfId="2397" xr:uid="{334FCF13-1C1F-4DD5-ACE3-0E1EE0652345}"/>
    <cellStyle name="リンク セル 4" xfId="726" xr:uid="{00000000-0005-0000-0000-0000E7020000}"/>
    <cellStyle name="リンク セル 4 2" xfId="2398" xr:uid="{97F22DD8-F0B5-49D1-85D1-6B606EF6F460}"/>
    <cellStyle name="リンク セル 5" xfId="727" xr:uid="{00000000-0005-0000-0000-0000E8020000}"/>
    <cellStyle name="リンク セル 5 2" xfId="2399" xr:uid="{1B674B6C-7898-44D9-906A-FEA79CBB1102}"/>
    <cellStyle name="リンク セル 5 3" xfId="2400" xr:uid="{B65B3507-18FB-49C6-9A85-193144215E93}"/>
    <cellStyle name="リンク セル 5 4" xfId="2401" xr:uid="{99F12B13-721F-4C3B-85CA-6E17DA5EFC90}"/>
    <cellStyle name="リンク セル 6" xfId="728" xr:uid="{00000000-0005-0000-0000-0000E9020000}"/>
    <cellStyle name="リンク セル 6 2" xfId="2402" xr:uid="{2A60427C-A202-43E4-B4B3-1279E137CEC8}"/>
    <cellStyle name="リンク セル 6 3" xfId="2403" xr:uid="{ACE0E738-77EB-4454-A6E9-F8A58E115D4F}"/>
    <cellStyle name="リンク セル 6 4" xfId="2404" xr:uid="{796A433B-6B48-4C21-A26A-250BB99F5CBB}"/>
    <cellStyle name="リンク セル 7" xfId="729" xr:uid="{00000000-0005-0000-0000-0000EA020000}"/>
    <cellStyle name="リンク セル 7 2" xfId="2405" xr:uid="{440351EE-ABF9-411F-9FDF-AA0AFF497C1E}"/>
    <cellStyle name="リンク セル 8" xfId="730" xr:uid="{00000000-0005-0000-0000-0000EB020000}"/>
    <cellStyle name="リンク セル 8 2" xfId="2406" xr:uid="{9FE4E4C7-1C13-4ED8-B980-753E6869296E}"/>
    <cellStyle name="リンク セル 9" xfId="731" xr:uid="{00000000-0005-0000-0000-0000EC020000}"/>
    <cellStyle name="リンク セル 9 2" xfId="2407" xr:uid="{67A0D5DF-34A1-45FB-A5EB-B7C98BB8EF92}"/>
    <cellStyle name="_x001d_・_x000c_ﾏ・_x000d_ﾂ・_x0001__x0016__x0011_F5_x0007__x0001__x0001_" xfId="7" xr:uid="{00000000-0005-0000-0000-0000ED020000}"/>
    <cellStyle name="_x001d_・_x000c_ﾏ・_x000d_ﾂ・_x0001__x0016__x0011_F5_x0007__x0001__x0001_ 2" xfId="732" xr:uid="{00000000-0005-0000-0000-0000EE020000}"/>
    <cellStyle name="_x001d_・_x000c_ﾏ・_x000d_ﾂ・_x0001__x0016__x0011_F5_x0007__x0001__x0001_ 2 2" xfId="733" xr:uid="{00000000-0005-0000-0000-0000EF020000}"/>
    <cellStyle name="_x001d_・_x000c_ﾏ・_x000d_ﾂ・_x0001__x0016__x0011_F5_x0007__x0001__x0001_ 2 2 2" xfId="734" xr:uid="{00000000-0005-0000-0000-0000F0020000}"/>
    <cellStyle name="_x001d_・_x000c_ﾏ・_x000d_ﾂ・_x0001__x0016__x0011_F5_x0007__x0001__x0001_ 2 2 3" xfId="2408" xr:uid="{FE838EDC-557B-47FE-992B-41BDC39DEBC0}"/>
    <cellStyle name="_x001d_・_x000c_ﾏ・_x000d_ﾂ・_x0001__x0016__x0011_F5_x0007__x0001__x0001_ 2 2 4" xfId="2409" xr:uid="{6CBD8B17-A7B4-4D39-927F-E957F2DE3B14}"/>
    <cellStyle name="_x001d_・_x000c_ﾏ・_x000d_ﾂ・_x0001__x0016__x0011_F5_x0007__x0001__x0001_ 2 3" xfId="735" xr:uid="{00000000-0005-0000-0000-0000F1020000}"/>
    <cellStyle name="_x001d_・_x000c_ﾏ・_x000d_ﾂ・_x0001__x0016__x0011_F5_x0007__x0001__x0001_ 2 4" xfId="2410" xr:uid="{5BC013BC-4DCF-4FE9-8DE6-B860F0444B36}"/>
    <cellStyle name="_x001d_・_x000c_ﾏ・_x000d_ﾂ・_x0001__x0016__x0011_F5_x0007__x0001__x0001_ 2 4 2" xfId="2411" xr:uid="{2283FDE6-1094-4263-8759-C586310A8C35}"/>
    <cellStyle name="_x001d_・_x000c_ﾏ・_x000d_ﾂ・_x0001__x0016__x0011_F5_x0007__x0001__x0001_ 2 5" xfId="2412" xr:uid="{141095AF-6912-402D-A80B-96054FCCEF42}"/>
    <cellStyle name="_x001d_・_x000c_ﾏ・_x000d_ﾂ・_x0001__x0016__x0011_F5_x0007__x0001__x0001_ 3" xfId="736" xr:uid="{00000000-0005-0000-0000-0000F2020000}"/>
    <cellStyle name="_x001d_・_x000c_ﾏ・_x000d_ﾂ・_x0001__x0016__x0011_F5_x0007__x0001__x0001_ 3 2" xfId="737" xr:uid="{00000000-0005-0000-0000-0000F3020000}"/>
    <cellStyle name="_x001d_・_x000c_ﾏ・_x000d_ﾂ・_x0001__x0016__x0011_F5_x0007__x0001__x0001_ 3 2 2" xfId="2413" xr:uid="{97EC5F72-0169-4D2D-A5D3-769D09DD11F0}"/>
    <cellStyle name="_x001d_・_x000c_ﾏ・_x000d_ﾂ・_x0001__x0016__x0011_F5_x0007__x0001__x0001_ 3 2 3" xfId="2414" xr:uid="{5F66A0C8-88FB-478E-8CFE-0285114B737F}"/>
    <cellStyle name="_x001d_・_x000c_ﾏ・_x000d_ﾂ・_x0001__x0016__x0011_F5_x0007__x0001__x0001_ 3 2 4" xfId="2415" xr:uid="{5B26A314-E18B-4C0F-9736-86404CF5E261}"/>
    <cellStyle name="_x001d_・_x000c_ﾏ・_x000d_ﾂ・_x0001__x0016__x0011_F5_x0007__x0001__x0001_ 3 3" xfId="2416" xr:uid="{56C36803-5CBB-4E17-8ED9-0C8407407B16}"/>
    <cellStyle name="_x001d_・_x000c_ﾏ・_x000d_ﾂ・_x0001__x0016__x0011_F5_x0007__x0001__x0001_ 3 4" xfId="2417" xr:uid="{595F1735-5DEA-4064-A281-F1780617C9ED}"/>
    <cellStyle name="_x001d_・_x000c_ﾏ・_x000d_ﾂ・_x0001__x0016__x0011_F5_x0007__x0001__x0001_ 3 5" xfId="2418" xr:uid="{FF07AE16-BC74-4813-A47D-1E1B68C4C6F6}"/>
    <cellStyle name="_x001d_・_x000c_ﾏ・_x000d_ﾂ・_x0001__x0016__x0011_F5_x0007__x0001__x0001_ 4" xfId="2419" xr:uid="{C6B17263-AAEC-463C-AD5F-9E321777A113}"/>
    <cellStyle name="悪い 2" xfId="738" xr:uid="{00000000-0005-0000-0000-0000F4020000}"/>
    <cellStyle name="悪い 2 2" xfId="1972" xr:uid="{00000000-0005-0000-0000-0000F5020000}"/>
    <cellStyle name="悪い 3" xfId="739" xr:uid="{00000000-0005-0000-0000-0000F6020000}"/>
    <cellStyle name="悪い 3 2" xfId="2420" xr:uid="{3A83EB71-0DAD-4A64-8F38-F9D4DDDC0DC7}"/>
    <cellStyle name="悪い 4" xfId="740" xr:uid="{00000000-0005-0000-0000-0000F7020000}"/>
    <cellStyle name="悪い 4 2" xfId="2421" xr:uid="{D03904DE-EDDB-4054-9D2A-A665D82E4656}"/>
    <cellStyle name="悪い 5" xfId="741" xr:uid="{00000000-0005-0000-0000-0000F8020000}"/>
    <cellStyle name="悪い 5 2" xfId="2422" xr:uid="{6999DA9D-B5AA-4C21-A3D1-01F8B01344D7}"/>
    <cellStyle name="悪い 5 3" xfId="2423" xr:uid="{95E15C67-129B-4037-A819-3757D777BD61}"/>
    <cellStyle name="悪い 5 4" xfId="2424" xr:uid="{DF8BA227-7338-446C-A580-A5F17336EE27}"/>
    <cellStyle name="悪い 6" xfId="742" xr:uid="{00000000-0005-0000-0000-0000F9020000}"/>
    <cellStyle name="悪い 6 2" xfId="2425" xr:uid="{9D7FC931-C93F-43B3-A3DF-3C0F201B392F}"/>
    <cellStyle name="悪い 6 3" xfId="2426" xr:uid="{C4D4BE5F-29F9-45B4-BAD4-1F0C650C72B6}"/>
    <cellStyle name="悪い 6 4" xfId="2427" xr:uid="{1A0B168A-38FD-41EB-A5C6-21D56E6D8122}"/>
    <cellStyle name="悪い 7" xfId="743" xr:uid="{00000000-0005-0000-0000-0000FA020000}"/>
    <cellStyle name="悪い 7 2" xfId="2428" xr:uid="{0823CA27-CE7B-4504-AA69-09DC0730FCB2}"/>
    <cellStyle name="悪い 8" xfId="744" xr:uid="{00000000-0005-0000-0000-0000FB020000}"/>
    <cellStyle name="悪い 8 2" xfId="2429" xr:uid="{C1A2BCE9-5044-4FFD-A265-0E91C8CBD9A4}"/>
    <cellStyle name="悪い 9" xfId="745" xr:uid="{00000000-0005-0000-0000-0000FC020000}"/>
    <cellStyle name="悪い 9 2" xfId="2430" xr:uid="{E77037F7-14AD-44A6-A453-F96AB7ABDF1E}"/>
    <cellStyle name="計算 2" xfId="746" xr:uid="{00000000-0005-0000-0000-0000FD020000}"/>
    <cellStyle name="計算 2 2" xfId="747" xr:uid="{00000000-0005-0000-0000-0000FE020000}"/>
    <cellStyle name="計算 2 2 2" xfId="748" xr:uid="{00000000-0005-0000-0000-0000FF020000}"/>
    <cellStyle name="計算 2 2 2 2" xfId="749" xr:uid="{00000000-0005-0000-0000-000000030000}"/>
    <cellStyle name="計算 2 2 2 2 2" xfId="750" xr:uid="{00000000-0005-0000-0000-000001030000}"/>
    <cellStyle name="計算 2 2 2 3" xfId="751" xr:uid="{00000000-0005-0000-0000-000002030000}"/>
    <cellStyle name="計算 2 2 2 3 2" xfId="752" xr:uid="{00000000-0005-0000-0000-000003030000}"/>
    <cellStyle name="計算 2 2 2 4" xfId="753" xr:uid="{00000000-0005-0000-0000-000004030000}"/>
    <cellStyle name="計算 2 2 2 4 2" xfId="754" xr:uid="{00000000-0005-0000-0000-000005030000}"/>
    <cellStyle name="計算 2 2 2 5" xfId="755" xr:uid="{00000000-0005-0000-0000-000006030000}"/>
    <cellStyle name="計算 2 2 2 5 2" xfId="756" xr:uid="{00000000-0005-0000-0000-000007030000}"/>
    <cellStyle name="計算 2 2 2 6" xfId="757" xr:uid="{00000000-0005-0000-0000-000008030000}"/>
    <cellStyle name="計算 2 2 2 6 2" xfId="758" xr:uid="{00000000-0005-0000-0000-000009030000}"/>
    <cellStyle name="計算 2 2 2 7" xfId="759" xr:uid="{00000000-0005-0000-0000-00000A030000}"/>
    <cellStyle name="計算 2 2 3" xfId="760" xr:uid="{00000000-0005-0000-0000-00000B030000}"/>
    <cellStyle name="計算 2 2 3 2" xfId="761" xr:uid="{00000000-0005-0000-0000-00000C030000}"/>
    <cellStyle name="計算 2 2 4" xfId="762" xr:uid="{00000000-0005-0000-0000-00000D030000}"/>
    <cellStyle name="計算 2 3" xfId="763" xr:uid="{00000000-0005-0000-0000-00000E030000}"/>
    <cellStyle name="計算 2 3 2" xfId="764" xr:uid="{00000000-0005-0000-0000-00000F030000}"/>
    <cellStyle name="計算 2 3 2 2" xfId="765" xr:uid="{00000000-0005-0000-0000-000010030000}"/>
    <cellStyle name="計算 2 3 3" xfId="766" xr:uid="{00000000-0005-0000-0000-000011030000}"/>
    <cellStyle name="計算 2 3 3 2" xfId="767" xr:uid="{00000000-0005-0000-0000-000012030000}"/>
    <cellStyle name="計算 2 3 4" xfId="768" xr:uid="{00000000-0005-0000-0000-000013030000}"/>
    <cellStyle name="計算 2 3 4 2" xfId="769" xr:uid="{00000000-0005-0000-0000-000014030000}"/>
    <cellStyle name="計算 2 3 5" xfId="770" xr:uid="{00000000-0005-0000-0000-000015030000}"/>
    <cellStyle name="計算 2 3 5 2" xfId="771" xr:uid="{00000000-0005-0000-0000-000016030000}"/>
    <cellStyle name="計算 2 3 6" xfId="772" xr:uid="{00000000-0005-0000-0000-000017030000}"/>
    <cellStyle name="計算 2 3 6 2" xfId="773" xr:uid="{00000000-0005-0000-0000-000018030000}"/>
    <cellStyle name="計算 2 3 7" xfId="774" xr:uid="{00000000-0005-0000-0000-000019030000}"/>
    <cellStyle name="計算 2 4" xfId="775" xr:uid="{00000000-0005-0000-0000-00001A030000}"/>
    <cellStyle name="計算 2 4 2" xfId="776" xr:uid="{00000000-0005-0000-0000-00001B030000}"/>
    <cellStyle name="計算 2 5" xfId="777" xr:uid="{00000000-0005-0000-0000-00001C030000}"/>
    <cellStyle name="計算 3" xfId="778" xr:uid="{00000000-0005-0000-0000-00001D030000}"/>
    <cellStyle name="計算 3 2" xfId="779" xr:uid="{00000000-0005-0000-0000-00001E030000}"/>
    <cellStyle name="計算 3 2 2" xfId="780" xr:uid="{00000000-0005-0000-0000-00001F030000}"/>
    <cellStyle name="計算 3 2 2 2" xfId="781" xr:uid="{00000000-0005-0000-0000-000020030000}"/>
    <cellStyle name="計算 3 2 3" xfId="782" xr:uid="{00000000-0005-0000-0000-000021030000}"/>
    <cellStyle name="計算 3 2 3 2" xfId="783" xr:uid="{00000000-0005-0000-0000-000022030000}"/>
    <cellStyle name="計算 3 2 4" xfId="784" xr:uid="{00000000-0005-0000-0000-000023030000}"/>
    <cellStyle name="計算 3 2 4 2" xfId="785" xr:uid="{00000000-0005-0000-0000-000024030000}"/>
    <cellStyle name="計算 3 2 5" xfId="786" xr:uid="{00000000-0005-0000-0000-000025030000}"/>
    <cellStyle name="計算 3 2 5 2" xfId="787" xr:uid="{00000000-0005-0000-0000-000026030000}"/>
    <cellStyle name="計算 3 2 6" xfId="788" xr:uid="{00000000-0005-0000-0000-000027030000}"/>
    <cellStyle name="計算 3 2 6 2" xfId="789" xr:uid="{00000000-0005-0000-0000-000028030000}"/>
    <cellStyle name="計算 3 2 7" xfId="790" xr:uid="{00000000-0005-0000-0000-000029030000}"/>
    <cellStyle name="計算 3 3" xfId="791" xr:uid="{00000000-0005-0000-0000-00002A030000}"/>
    <cellStyle name="計算 3 3 2" xfId="792" xr:uid="{00000000-0005-0000-0000-00002B030000}"/>
    <cellStyle name="計算 3 4" xfId="793" xr:uid="{00000000-0005-0000-0000-00002C030000}"/>
    <cellStyle name="計算 4" xfId="794" xr:uid="{00000000-0005-0000-0000-00002D030000}"/>
    <cellStyle name="計算 4 2" xfId="795" xr:uid="{00000000-0005-0000-0000-00002E030000}"/>
    <cellStyle name="計算 4 2 2" xfId="796" xr:uid="{00000000-0005-0000-0000-00002F030000}"/>
    <cellStyle name="計算 4 3" xfId="797" xr:uid="{00000000-0005-0000-0000-000030030000}"/>
    <cellStyle name="計算 4 3 2" xfId="798" xr:uid="{00000000-0005-0000-0000-000031030000}"/>
    <cellStyle name="計算 4 4" xfId="799" xr:uid="{00000000-0005-0000-0000-000032030000}"/>
    <cellStyle name="計算 4 4 2" xfId="800" xr:uid="{00000000-0005-0000-0000-000033030000}"/>
    <cellStyle name="計算 4 5" xfId="801" xr:uid="{00000000-0005-0000-0000-000034030000}"/>
    <cellStyle name="計算 4 5 2" xfId="802" xr:uid="{00000000-0005-0000-0000-000035030000}"/>
    <cellStyle name="計算 4 6" xfId="803" xr:uid="{00000000-0005-0000-0000-000036030000}"/>
    <cellStyle name="計算 4 6 2" xfId="804" xr:uid="{00000000-0005-0000-0000-000037030000}"/>
    <cellStyle name="計算 4 7" xfId="805" xr:uid="{00000000-0005-0000-0000-000038030000}"/>
    <cellStyle name="計算 5" xfId="806" xr:uid="{00000000-0005-0000-0000-000039030000}"/>
    <cellStyle name="計算 5 2" xfId="2431" xr:uid="{BEE97181-8E2F-44E5-8EAE-781258823311}"/>
    <cellStyle name="計算 5 3" xfId="2432" xr:uid="{C949907E-7A72-48F7-8DF4-55A1F26D0FC3}"/>
    <cellStyle name="計算 5 3 2" xfId="2433" xr:uid="{9D07B61C-D5CA-49AE-93FC-AC44879BBD2E}"/>
    <cellStyle name="計算 5 4" xfId="2434" xr:uid="{CF9482CF-0949-4EAC-B351-9B813B1A22B5}"/>
    <cellStyle name="計算 5 5" xfId="2435" xr:uid="{8C49AEA9-8B23-4438-9C6C-B09E766C4A69}"/>
    <cellStyle name="計算 5 6" xfId="2436" xr:uid="{93B14E6E-CD93-48FF-B2EB-B888CCD525E3}"/>
    <cellStyle name="計算 6" xfId="807" xr:uid="{00000000-0005-0000-0000-00003A030000}"/>
    <cellStyle name="計算 6 2" xfId="2437" xr:uid="{895FEF68-D56D-4627-ADCE-553DF809C843}"/>
    <cellStyle name="計算 6 3" xfId="2438" xr:uid="{40C382B5-50EE-4488-AEE7-81173D886831}"/>
    <cellStyle name="計算 6 3 2" xfId="2439" xr:uid="{4CC7824E-A52F-4769-A480-AD8558340337}"/>
    <cellStyle name="計算 6 4" xfId="2440" xr:uid="{D4DCDBF9-C637-4C85-B3A5-7972BACED8DF}"/>
    <cellStyle name="計算 6 5" xfId="2441" xr:uid="{6A57EB85-C917-4538-AD1A-511701C1ACF6}"/>
    <cellStyle name="計算 6 6" xfId="2442" xr:uid="{84B4A042-F677-4E0D-9956-F05BDC6F790F}"/>
    <cellStyle name="計算 7" xfId="808" xr:uid="{00000000-0005-0000-0000-00003B030000}"/>
    <cellStyle name="計算 7 2" xfId="2443" xr:uid="{77DAF504-BD88-4011-9F03-4A5D8A733A84}"/>
    <cellStyle name="計算 7 3" xfId="2444" xr:uid="{8287EFC5-5CD1-4EEF-87FB-2ADCC3E0FF13}"/>
    <cellStyle name="計算 7 4" xfId="2445" xr:uid="{8E798828-833F-49E8-A82E-95516CD6B711}"/>
    <cellStyle name="計算 8" xfId="809" xr:uid="{00000000-0005-0000-0000-00003C030000}"/>
    <cellStyle name="計算 8 2" xfId="2446" xr:uid="{A1D28B53-F534-40A6-96BA-35B4B9362AAD}"/>
    <cellStyle name="計算 8 3" xfId="2447" xr:uid="{0E225017-2534-4489-A87E-A2C42994325B}"/>
    <cellStyle name="計算 8 4" xfId="2448" xr:uid="{0FC1EDDE-6D53-4D47-8F78-6C4B25908A88}"/>
    <cellStyle name="計算 9" xfId="810" xr:uid="{00000000-0005-0000-0000-00003D030000}"/>
    <cellStyle name="計算 9 2" xfId="2449" xr:uid="{60CD7D6B-6B4B-4B35-8663-8C030508A029}"/>
    <cellStyle name="計算 9 3" xfId="2450" xr:uid="{69C091B5-B050-423A-98FA-ED2F5146B7F4}"/>
    <cellStyle name="警告文 2" xfId="811" xr:uid="{00000000-0005-0000-0000-00003E030000}"/>
    <cellStyle name="警告文 2 2" xfId="1973" xr:uid="{00000000-0005-0000-0000-00003F030000}"/>
    <cellStyle name="警告文 3" xfId="812" xr:uid="{00000000-0005-0000-0000-000040030000}"/>
    <cellStyle name="警告文 3 2" xfId="2451" xr:uid="{0E631AE7-F070-476A-81EB-6CD0B08B1773}"/>
    <cellStyle name="警告文 4" xfId="813" xr:uid="{00000000-0005-0000-0000-000041030000}"/>
    <cellStyle name="警告文 4 2" xfId="2452" xr:uid="{3227DE7E-23F6-4A10-BF1A-83BB7A426CDA}"/>
    <cellStyle name="警告文 5" xfId="814" xr:uid="{00000000-0005-0000-0000-000042030000}"/>
    <cellStyle name="警告文 5 2" xfId="2453" xr:uid="{9FF39173-0488-4805-8D2B-5136F7EAC800}"/>
    <cellStyle name="警告文 5 3" xfId="2454" xr:uid="{561ACE9C-EA82-4699-8FA4-ABF675B1BEAF}"/>
    <cellStyle name="警告文 5 4" xfId="2455" xr:uid="{FC55C197-31B0-44E2-BFF0-3077C3CA5C46}"/>
    <cellStyle name="警告文 6" xfId="815" xr:uid="{00000000-0005-0000-0000-000043030000}"/>
    <cellStyle name="警告文 6 2" xfId="2456" xr:uid="{D80146C2-9F26-4253-AF40-408A4AD635A4}"/>
    <cellStyle name="警告文 6 3" xfId="2457" xr:uid="{50F95C83-8976-4A81-A915-D4D3E99A7D29}"/>
    <cellStyle name="警告文 6 4" xfId="2458" xr:uid="{F06C09F2-2043-426E-8100-59C87DB2B7E3}"/>
    <cellStyle name="警告文 7" xfId="816" xr:uid="{00000000-0005-0000-0000-000044030000}"/>
    <cellStyle name="警告文 7 2" xfId="2459" xr:uid="{0C9FF9B0-8859-4F69-A0ED-7693B6D627CA}"/>
    <cellStyle name="警告文 8" xfId="817" xr:uid="{00000000-0005-0000-0000-000045030000}"/>
    <cellStyle name="警告文 8 2" xfId="2460" xr:uid="{9BE796E5-CDFE-4A47-B515-4140A7FC40D5}"/>
    <cellStyle name="警告文 9" xfId="818" xr:uid="{00000000-0005-0000-0000-000046030000}"/>
    <cellStyle name="警告文 9 2" xfId="2461" xr:uid="{C9AAB270-58A8-4996-B89A-13204B0D0EB2}"/>
    <cellStyle name="桁蟻唇Ｆ [0.00]_laroux" xfId="819" xr:uid="{00000000-0005-0000-0000-000047030000}"/>
    <cellStyle name="桁蟻唇Ｆ_A°DAU±ATIsA" xfId="820" xr:uid="{00000000-0005-0000-0000-000048030000}"/>
    <cellStyle name="桁区切り 2" xfId="1" xr:uid="{00000000-0005-0000-0000-000049030000}"/>
    <cellStyle name="桁区切り 2 2" xfId="821" xr:uid="{00000000-0005-0000-0000-00004A030000}"/>
    <cellStyle name="桁区切り 2 2 2" xfId="822" xr:uid="{00000000-0005-0000-0000-00004B030000}"/>
    <cellStyle name="桁区切り 2 2 3" xfId="2462" xr:uid="{D3A662DB-DEB8-4DF8-B82C-7F431FF2951A}"/>
    <cellStyle name="桁区切り 2 3" xfId="823" xr:uid="{00000000-0005-0000-0000-00004C030000}"/>
    <cellStyle name="桁区切り 2 4" xfId="824" xr:uid="{00000000-0005-0000-0000-00004D030000}"/>
    <cellStyle name="桁区切り 2 4 2" xfId="825" xr:uid="{00000000-0005-0000-0000-00004E030000}"/>
    <cellStyle name="桁区切り 2 4 3" xfId="826" xr:uid="{00000000-0005-0000-0000-00004F030000}"/>
    <cellStyle name="桁区切り 2 4 3 2" xfId="2463" xr:uid="{4BF5D8A8-50CA-4FB8-84F4-20C822670C8B}"/>
    <cellStyle name="桁区切り 2 5" xfId="827" xr:uid="{00000000-0005-0000-0000-000050030000}"/>
    <cellStyle name="桁区切り 2 5 2" xfId="828" xr:uid="{00000000-0005-0000-0000-000051030000}"/>
    <cellStyle name="桁区切り 2 5 3" xfId="829" xr:uid="{00000000-0005-0000-0000-000052030000}"/>
    <cellStyle name="桁区切り 2 5 3 2" xfId="2464" xr:uid="{69EEDFC6-D2F1-4448-A5A0-F28162BA2DD0}"/>
    <cellStyle name="桁区切り 2 6" xfId="830" xr:uid="{00000000-0005-0000-0000-000053030000}"/>
    <cellStyle name="桁区切り 2_バックアップセンタ_切替テストスケジュール_20120406~10" xfId="831" xr:uid="{00000000-0005-0000-0000-000054030000}"/>
    <cellStyle name="桁区切り 3" xfId="832" xr:uid="{00000000-0005-0000-0000-000055030000}"/>
    <cellStyle name="桁区切り 3 2" xfId="833" xr:uid="{00000000-0005-0000-0000-000056030000}"/>
    <cellStyle name="桁区切り 3 2 2" xfId="834" xr:uid="{00000000-0005-0000-0000-000057030000}"/>
    <cellStyle name="桁区切り 3 2 2 2" xfId="2465" xr:uid="{0CEE1C78-2C43-4156-BB2F-A0B4492F434B}"/>
    <cellStyle name="桁区切り 3 2 2 2 2" xfId="2466" xr:uid="{B0DB89DB-F318-4A60-8581-EB0A5654AD8C}"/>
    <cellStyle name="桁区切り 3 2 2 2 3" xfId="2467" xr:uid="{D3F6AC79-21C0-42E0-92DA-5DD47569A643}"/>
    <cellStyle name="桁区切り 3 2 2 3" xfId="2468" xr:uid="{3BC3F49C-86D3-4EA7-9C2C-6E29E5E8F342}"/>
    <cellStyle name="桁区切り 3 2 2 4" xfId="2469" xr:uid="{D1F909CB-BD85-4CD6-98CC-ECE55D582386}"/>
    <cellStyle name="桁区切り 3 2 3" xfId="835" xr:uid="{00000000-0005-0000-0000-000058030000}"/>
    <cellStyle name="桁区切り 3 2 3 2" xfId="2470" xr:uid="{92EB41DA-601E-43F6-9337-B799DB59F3B6}"/>
    <cellStyle name="桁区切り 3 2 4" xfId="2471" xr:uid="{4247324C-1183-4BFE-ADBE-612977BEB573}"/>
    <cellStyle name="桁区切り 3 2 4 2" xfId="2472" xr:uid="{144DC383-45AE-4754-AB11-BC80B1D24D59}"/>
    <cellStyle name="桁区切り 3 2 4 3" xfId="2473" xr:uid="{097369CB-A310-46D7-9F59-F54A0DCA8411}"/>
    <cellStyle name="桁区切り 3 2 5" xfId="2474" xr:uid="{51AE4432-1BF2-4049-A185-CDD95FD81B71}"/>
    <cellStyle name="桁区切り 3 2 6" xfId="2475" xr:uid="{80FC345C-E6AB-4012-A03D-37F73C4CB2B1}"/>
    <cellStyle name="桁区切り 3 3" xfId="836" xr:uid="{00000000-0005-0000-0000-000059030000}"/>
    <cellStyle name="桁区切り 3 3 2" xfId="2476" xr:uid="{0C465F01-65B7-4662-8DDC-6EA2CE7B5982}"/>
    <cellStyle name="桁区切り 3 3 2 2" xfId="2477" xr:uid="{8870AA35-3096-4596-98BE-A35C5ED59A01}"/>
    <cellStyle name="桁区切り 3 3 2 3" xfId="2478" xr:uid="{9F775191-F7A5-4DB7-AC33-6C32738C4554}"/>
    <cellStyle name="桁区切り 3 3 3" xfId="2479" xr:uid="{1B9211DF-CA53-45E0-8A2C-709CD543EC9B}"/>
    <cellStyle name="桁区切り 3 3 4" xfId="2480" xr:uid="{F709DD8F-5D06-4E86-8308-E8752CDC2678}"/>
    <cellStyle name="桁区切り 3 4" xfId="2481" xr:uid="{7CAEB4D6-BD63-4DDF-B81B-4E9E56C8FFCA}"/>
    <cellStyle name="桁区切り 3 4 2" xfId="2482" xr:uid="{4070E312-B800-4C04-A12B-184857F9DF4C}"/>
    <cellStyle name="桁区切り 3 4 3" xfId="2483" xr:uid="{E0D753D8-396F-4735-88EB-05956681B5A3}"/>
    <cellStyle name="桁区切り 3 4 4" xfId="2484" xr:uid="{C2407DFF-1823-4E5E-9BA9-3916EA6D2FBB}"/>
    <cellStyle name="桁区切り 3 4 5" xfId="2485" xr:uid="{6E7811BC-CF00-43D5-A278-D710BE4E8639}"/>
    <cellStyle name="桁区切り 4" xfId="837" xr:uid="{00000000-0005-0000-0000-00005A030000}"/>
    <cellStyle name="桁区切り 4 2" xfId="838" xr:uid="{00000000-0005-0000-0000-00005B030000}"/>
    <cellStyle name="桁区切り 4 2 2" xfId="839" xr:uid="{00000000-0005-0000-0000-00005C030000}"/>
    <cellStyle name="桁区切り 4 2 3" xfId="840" xr:uid="{00000000-0005-0000-0000-00005D030000}"/>
    <cellStyle name="桁区切り 4 2 3 2" xfId="2486" xr:uid="{E1EE9B9A-746C-45AA-876E-9B17C4557CC4}"/>
    <cellStyle name="桁区切り 4 3" xfId="841" xr:uid="{00000000-0005-0000-0000-00005E030000}"/>
    <cellStyle name="桁区切り 4 3 2" xfId="2487" xr:uid="{0C924CC2-3D8D-477B-805D-C171E93FFC29}"/>
    <cellStyle name="桁区切り 4 3 3" xfId="2488" xr:uid="{80FFE41C-D5A4-4C84-8A4C-8B932774A42E}"/>
    <cellStyle name="桁区切り 4 3 4" xfId="2489" xr:uid="{B6C23F6E-960C-45C2-9152-D480A0C002AE}"/>
    <cellStyle name="桁区切り 4 3 5" xfId="2490" xr:uid="{A98E7A50-7150-4B04-81F4-81A50BE4A177}"/>
    <cellStyle name="桁区切り 4 4" xfId="842" xr:uid="{00000000-0005-0000-0000-00005F030000}"/>
    <cellStyle name="桁区切り 4 4 2" xfId="2491" xr:uid="{8373DEA6-25A3-4B43-B1A9-C25678B25313}"/>
    <cellStyle name="桁区切り 4 4 3" xfId="2492" xr:uid="{E6F7D912-6973-449E-A56C-2C65DCF1993F}"/>
    <cellStyle name="桁区切り 4 4 4" xfId="2493" xr:uid="{47A472E5-17ED-463D-94EB-8EF5257805BD}"/>
    <cellStyle name="桁区切り 4 4 5" xfId="2494" xr:uid="{2AD1718D-5162-4084-9013-F5B293F9C80F}"/>
    <cellStyle name="桁区切り 4 5" xfId="2495" xr:uid="{3BEE2F7D-F663-4141-9292-9AB388EC56F4}"/>
    <cellStyle name="桁区切り 4 6" xfId="2496" xr:uid="{12A6D89E-FE64-4D81-B91A-484C45846CC4}"/>
    <cellStyle name="桁区切り 5" xfId="843" xr:uid="{00000000-0005-0000-0000-000060030000}"/>
    <cellStyle name="桁区切り 5 2" xfId="844" xr:uid="{00000000-0005-0000-0000-000061030000}"/>
    <cellStyle name="桁区切り 5 3" xfId="845" xr:uid="{00000000-0005-0000-0000-000062030000}"/>
    <cellStyle name="桁区切り 5 3 2" xfId="2497" xr:uid="{4037DC94-BBC0-4643-9B85-A3155C78F459}"/>
    <cellStyle name="桁区切り 5 3 3" xfId="2498" xr:uid="{1C462F2C-C5D7-4152-9C1E-8068F946228F}"/>
    <cellStyle name="桁区切り 5 3 4" xfId="2499" xr:uid="{9B530124-F60E-49C2-9F43-D5AF5E6343B8}"/>
    <cellStyle name="桁区切り 5 3 5" xfId="2500" xr:uid="{6B429EC0-CF2C-4627-8BE6-35631A1CC192}"/>
    <cellStyle name="桁区切り 6" xfId="846" xr:uid="{00000000-0005-0000-0000-000063030000}"/>
    <cellStyle name="桁区切り 7" xfId="1939" xr:uid="{00000000-0005-0000-0000-000064030000}"/>
    <cellStyle name="桁区切り 7 2" xfId="2501" xr:uid="{1EB71D90-3E96-4437-B28E-30A56FF50816}"/>
    <cellStyle name="桁区切り 7 2 2" xfId="3015" xr:uid="{E92DB968-E2F4-4BB1-B7C4-B0A2A4A34003}"/>
    <cellStyle name="桁区切り 7 3" xfId="2502" xr:uid="{1BACBF9F-AE06-4E15-8849-6246B06E332B}"/>
    <cellStyle name="桁区切り 7 3 2" xfId="3016" xr:uid="{5E4CC154-0C38-40E0-B1B1-07ECAB0B63EC}"/>
    <cellStyle name="桁区切り 7 4" xfId="1999" xr:uid="{33351DBD-F9C1-4DF7-95CF-A0B4E243B54D}"/>
    <cellStyle name="桁区切り 7 5" xfId="3014" xr:uid="{D0C42D28-6F9B-4A27-B4F1-1978C093001D}"/>
    <cellStyle name="見出し 1 2" xfId="847" xr:uid="{00000000-0005-0000-0000-000065030000}"/>
    <cellStyle name="見出し 1 2 2" xfId="1974" xr:uid="{00000000-0005-0000-0000-000066030000}"/>
    <cellStyle name="見出し 1 3" xfId="848" xr:uid="{00000000-0005-0000-0000-000067030000}"/>
    <cellStyle name="見出し 1 3 2" xfId="2503" xr:uid="{D13066DD-51E8-4A9C-8631-28E5C43BE639}"/>
    <cellStyle name="見出し 1 4" xfId="849" xr:uid="{00000000-0005-0000-0000-000068030000}"/>
    <cellStyle name="見出し 1 4 2" xfId="2504" xr:uid="{48799764-0EF8-4C17-8067-ED10B9FD1518}"/>
    <cellStyle name="見出し 1 5" xfId="850" xr:uid="{00000000-0005-0000-0000-000069030000}"/>
    <cellStyle name="見出し 1 5 2" xfId="2505" xr:uid="{376E1CBE-68EE-43F5-9922-A1299712A553}"/>
    <cellStyle name="見出し 1 5 3" xfId="2506" xr:uid="{734B9B50-E887-4964-B5F2-22058F42F9E8}"/>
    <cellStyle name="見出し 1 6" xfId="851" xr:uid="{00000000-0005-0000-0000-00006A030000}"/>
    <cellStyle name="見出し 1 6 2" xfId="2507" xr:uid="{E3BF6376-1B41-43EA-BE25-8DABE69BD03E}"/>
    <cellStyle name="見出し 1 6 3" xfId="2508" xr:uid="{AE24FE1A-02EE-4ECC-8109-5C60812649C3}"/>
    <cellStyle name="見出し 1 7" xfId="852" xr:uid="{00000000-0005-0000-0000-00006B030000}"/>
    <cellStyle name="見出し 1 8" xfId="853" xr:uid="{00000000-0005-0000-0000-00006C030000}"/>
    <cellStyle name="見出し 1 9" xfId="854" xr:uid="{00000000-0005-0000-0000-00006D030000}"/>
    <cellStyle name="見出し 1 9 2" xfId="2509" xr:uid="{E0B48482-3FCE-48FD-B423-351265C4CE18}"/>
    <cellStyle name="見出し 2 2" xfId="855" xr:uid="{00000000-0005-0000-0000-00006E030000}"/>
    <cellStyle name="見出し 2 2 2" xfId="1975" xr:uid="{00000000-0005-0000-0000-00006F030000}"/>
    <cellStyle name="見出し 2 3" xfId="856" xr:uid="{00000000-0005-0000-0000-000070030000}"/>
    <cellStyle name="見出し 2 3 2" xfId="2510" xr:uid="{52F40598-691A-429C-9EAB-DA36D52633B0}"/>
    <cellStyle name="見出し 2 4" xfId="857" xr:uid="{00000000-0005-0000-0000-000071030000}"/>
    <cellStyle name="見出し 2 4 2" xfId="2511" xr:uid="{7A66B72D-2B55-46B2-B29F-8C1F5080575E}"/>
    <cellStyle name="見出し 2 5" xfId="858" xr:uid="{00000000-0005-0000-0000-000072030000}"/>
    <cellStyle name="見出し 2 5 2" xfId="2512" xr:uid="{18F31DFD-3EE4-4BEC-9D64-8C5428F489C6}"/>
    <cellStyle name="見出し 2 5 3" xfId="2513" xr:uid="{4450865D-E98A-405D-9F47-21D21496DCD9}"/>
    <cellStyle name="見出し 2 6" xfId="859" xr:uid="{00000000-0005-0000-0000-000073030000}"/>
    <cellStyle name="見出し 2 6 2" xfId="2514" xr:uid="{F05DCEEC-D54C-4DF5-A68C-258B02A81364}"/>
    <cellStyle name="見出し 2 6 3" xfId="2515" xr:uid="{CBF9BFB8-34B4-469C-A403-62832F0BCADD}"/>
    <cellStyle name="見出し 2 7" xfId="860" xr:uid="{00000000-0005-0000-0000-000074030000}"/>
    <cellStyle name="見出し 2 8" xfId="861" xr:uid="{00000000-0005-0000-0000-000075030000}"/>
    <cellStyle name="見出し 2 9" xfId="862" xr:uid="{00000000-0005-0000-0000-000076030000}"/>
    <cellStyle name="見出し 2 9 2" xfId="2516" xr:uid="{29CFD448-1A95-4730-9C47-070C4F22E7C2}"/>
    <cellStyle name="見出し 3 2" xfId="863" xr:uid="{00000000-0005-0000-0000-000077030000}"/>
    <cellStyle name="見出し 3 2 2" xfId="1976" xr:uid="{00000000-0005-0000-0000-000078030000}"/>
    <cellStyle name="見出し 3 3" xfId="864" xr:uid="{00000000-0005-0000-0000-000079030000}"/>
    <cellStyle name="見出し 3 3 2" xfId="2517" xr:uid="{D023C7BF-068B-473A-BB8C-EAAB59BF7480}"/>
    <cellStyle name="見出し 3 4" xfId="865" xr:uid="{00000000-0005-0000-0000-00007A030000}"/>
    <cellStyle name="見出し 3 4 2" xfId="2518" xr:uid="{6A01A34F-899B-4997-9506-7B275DB2EA55}"/>
    <cellStyle name="見出し 3 5" xfId="866" xr:uid="{00000000-0005-0000-0000-00007B030000}"/>
    <cellStyle name="見出し 3 5 2" xfId="2519" xr:uid="{67757127-BC74-4526-836D-4C67DA6A664E}"/>
    <cellStyle name="見出し 3 5 3" xfId="2520" xr:uid="{CFA2106C-5E60-488C-A2C1-F009B1028BAF}"/>
    <cellStyle name="見出し 3 6" xfId="867" xr:uid="{00000000-0005-0000-0000-00007C030000}"/>
    <cellStyle name="見出し 3 6 2" xfId="2521" xr:uid="{E7611D39-BE7C-4502-B9EE-2DD877C160FD}"/>
    <cellStyle name="見出し 3 6 3" xfId="2522" xr:uid="{EE3FDC0C-AA1E-4BDF-9EB1-E4F624DA9972}"/>
    <cellStyle name="見出し 3 7" xfId="868" xr:uid="{00000000-0005-0000-0000-00007D030000}"/>
    <cellStyle name="見出し 3 8" xfId="869" xr:uid="{00000000-0005-0000-0000-00007E030000}"/>
    <cellStyle name="見出し 3 9" xfId="870" xr:uid="{00000000-0005-0000-0000-00007F030000}"/>
    <cellStyle name="見出し 3 9 2" xfId="2523" xr:uid="{B494FE34-3593-4997-BFF3-C521DC580DA6}"/>
    <cellStyle name="見出し 4 2" xfId="871" xr:uid="{00000000-0005-0000-0000-000080030000}"/>
    <cellStyle name="見出し 4 2 2" xfId="1977" xr:uid="{00000000-0005-0000-0000-000081030000}"/>
    <cellStyle name="見出し 4 3" xfId="872" xr:uid="{00000000-0005-0000-0000-000082030000}"/>
    <cellStyle name="見出し 4 3 2" xfId="2524" xr:uid="{5892384E-C947-4A12-8AC6-551346038C21}"/>
    <cellStyle name="見出し 4 4" xfId="873" xr:uid="{00000000-0005-0000-0000-000083030000}"/>
    <cellStyle name="見出し 4 4 2" xfId="2525" xr:uid="{6436E11E-EBAF-412C-BF48-FDABDBE0DB7A}"/>
    <cellStyle name="見出し 4 5" xfId="874" xr:uid="{00000000-0005-0000-0000-000084030000}"/>
    <cellStyle name="見出し 4 5 2" xfId="2526" xr:uid="{781DD69F-79F9-4656-997E-49C8FCB7E9A6}"/>
    <cellStyle name="見出し 4 5 3" xfId="2527" xr:uid="{3B2FEF10-FFCA-49EA-8C7F-5B2974E25694}"/>
    <cellStyle name="見出し 4 6" xfId="875" xr:uid="{00000000-0005-0000-0000-000085030000}"/>
    <cellStyle name="見出し 4 6 2" xfId="2528" xr:uid="{48F96E3E-B447-4CCA-914B-CA0F6F54C471}"/>
    <cellStyle name="見出し 4 6 3" xfId="2529" xr:uid="{A86BB6DC-4936-4ABC-A714-69DC8970684D}"/>
    <cellStyle name="見出し 4 7" xfId="876" xr:uid="{00000000-0005-0000-0000-000086030000}"/>
    <cellStyle name="見出し 4 8" xfId="877" xr:uid="{00000000-0005-0000-0000-000087030000}"/>
    <cellStyle name="見出し 4 9" xfId="878" xr:uid="{00000000-0005-0000-0000-000088030000}"/>
    <cellStyle name="見出し 4 9 2" xfId="2530" xr:uid="{503CDBD0-C185-46A2-A70C-AC4D5BB544BC}"/>
    <cellStyle name="構成図作成用" xfId="879" xr:uid="{00000000-0005-0000-0000-000089030000}"/>
    <cellStyle name="取り消し" xfId="8" xr:uid="{00000000-0005-0000-0000-00008A030000}"/>
    <cellStyle name="集計 2" xfId="880" xr:uid="{00000000-0005-0000-0000-00008B030000}"/>
    <cellStyle name="集計 2 2" xfId="881" xr:uid="{00000000-0005-0000-0000-00008C030000}"/>
    <cellStyle name="集計 2 2 2" xfId="882" xr:uid="{00000000-0005-0000-0000-00008D030000}"/>
    <cellStyle name="集計 2 2 2 2" xfId="883" xr:uid="{00000000-0005-0000-0000-00008E030000}"/>
    <cellStyle name="集計 2 2 2 2 2" xfId="884" xr:uid="{00000000-0005-0000-0000-00008F030000}"/>
    <cellStyle name="集計 2 2 2 3" xfId="885" xr:uid="{00000000-0005-0000-0000-000090030000}"/>
    <cellStyle name="集計 2 2 2 3 2" xfId="886" xr:uid="{00000000-0005-0000-0000-000091030000}"/>
    <cellStyle name="集計 2 2 2 4" xfId="887" xr:uid="{00000000-0005-0000-0000-000092030000}"/>
    <cellStyle name="集計 2 2 2 4 2" xfId="888" xr:uid="{00000000-0005-0000-0000-000093030000}"/>
    <cellStyle name="集計 2 2 2 5" xfId="889" xr:uid="{00000000-0005-0000-0000-000094030000}"/>
    <cellStyle name="集計 2 2 2 5 2" xfId="890" xr:uid="{00000000-0005-0000-0000-000095030000}"/>
    <cellStyle name="集計 2 2 2 6" xfId="891" xr:uid="{00000000-0005-0000-0000-000096030000}"/>
    <cellStyle name="集計 2 2 2 6 2" xfId="892" xr:uid="{00000000-0005-0000-0000-000097030000}"/>
    <cellStyle name="集計 2 2 2 7" xfId="893" xr:uid="{00000000-0005-0000-0000-000098030000}"/>
    <cellStyle name="集計 2 2 3" xfId="894" xr:uid="{00000000-0005-0000-0000-000099030000}"/>
    <cellStyle name="集計 2 2 3 2" xfId="895" xr:uid="{00000000-0005-0000-0000-00009A030000}"/>
    <cellStyle name="集計 2 3" xfId="896" xr:uid="{00000000-0005-0000-0000-00009B030000}"/>
    <cellStyle name="集計 2 3 2" xfId="897" xr:uid="{00000000-0005-0000-0000-00009C030000}"/>
    <cellStyle name="集計 2 3 2 2" xfId="898" xr:uid="{00000000-0005-0000-0000-00009D030000}"/>
    <cellStyle name="集計 2 3 3" xfId="899" xr:uid="{00000000-0005-0000-0000-00009E030000}"/>
    <cellStyle name="集計 2 3 3 2" xfId="900" xr:uid="{00000000-0005-0000-0000-00009F030000}"/>
    <cellStyle name="集計 2 3 4" xfId="901" xr:uid="{00000000-0005-0000-0000-0000A0030000}"/>
    <cellStyle name="集計 2 3 4 2" xfId="902" xr:uid="{00000000-0005-0000-0000-0000A1030000}"/>
    <cellStyle name="集計 2 3 5" xfId="903" xr:uid="{00000000-0005-0000-0000-0000A2030000}"/>
    <cellStyle name="集計 2 3 5 2" xfId="904" xr:uid="{00000000-0005-0000-0000-0000A3030000}"/>
    <cellStyle name="集計 2 3 6" xfId="905" xr:uid="{00000000-0005-0000-0000-0000A4030000}"/>
    <cellStyle name="集計 2 3 6 2" xfId="906" xr:uid="{00000000-0005-0000-0000-0000A5030000}"/>
    <cellStyle name="集計 2 3 7" xfId="907" xr:uid="{00000000-0005-0000-0000-0000A6030000}"/>
    <cellStyle name="集計 2 4" xfId="908" xr:uid="{00000000-0005-0000-0000-0000A7030000}"/>
    <cellStyle name="集計 2 4 2" xfId="909" xr:uid="{00000000-0005-0000-0000-0000A8030000}"/>
    <cellStyle name="集計 2 5" xfId="2531" xr:uid="{66678FBC-6E88-4216-92D9-D69AAFAAB377}"/>
    <cellStyle name="集計 3" xfId="910" xr:uid="{00000000-0005-0000-0000-0000A9030000}"/>
    <cellStyle name="集計 3 2" xfId="911" xr:uid="{00000000-0005-0000-0000-0000AA030000}"/>
    <cellStyle name="集計 3 2 2" xfId="912" xr:uid="{00000000-0005-0000-0000-0000AB030000}"/>
    <cellStyle name="集計 3 2 2 2" xfId="913" xr:uid="{00000000-0005-0000-0000-0000AC030000}"/>
    <cellStyle name="集計 3 2 3" xfId="914" xr:uid="{00000000-0005-0000-0000-0000AD030000}"/>
    <cellStyle name="集計 3 2 3 2" xfId="915" xr:uid="{00000000-0005-0000-0000-0000AE030000}"/>
    <cellStyle name="集計 3 2 4" xfId="916" xr:uid="{00000000-0005-0000-0000-0000AF030000}"/>
    <cellStyle name="集計 3 2 4 2" xfId="917" xr:uid="{00000000-0005-0000-0000-0000B0030000}"/>
    <cellStyle name="集計 3 2 5" xfId="918" xr:uid="{00000000-0005-0000-0000-0000B1030000}"/>
    <cellStyle name="集計 3 2 5 2" xfId="919" xr:uid="{00000000-0005-0000-0000-0000B2030000}"/>
    <cellStyle name="集計 3 2 6" xfId="920" xr:uid="{00000000-0005-0000-0000-0000B3030000}"/>
    <cellStyle name="集計 3 2 6 2" xfId="921" xr:uid="{00000000-0005-0000-0000-0000B4030000}"/>
    <cellStyle name="集計 3 2 7" xfId="922" xr:uid="{00000000-0005-0000-0000-0000B5030000}"/>
    <cellStyle name="集計 3 3" xfId="923" xr:uid="{00000000-0005-0000-0000-0000B6030000}"/>
    <cellStyle name="集計 3 3 2" xfId="924" xr:uid="{00000000-0005-0000-0000-0000B7030000}"/>
    <cellStyle name="集計 3 4" xfId="925" xr:uid="{00000000-0005-0000-0000-0000B8030000}"/>
    <cellStyle name="集計 4" xfId="926" xr:uid="{00000000-0005-0000-0000-0000B9030000}"/>
    <cellStyle name="集計 4 2" xfId="927" xr:uid="{00000000-0005-0000-0000-0000BA030000}"/>
    <cellStyle name="集計 4 2 2" xfId="928" xr:uid="{00000000-0005-0000-0000-0000BB030000}"/>
    <cellStyle name="集計 4 3" xfId="929" xr:uid="{00000000-0005-0000-0000-0000BC030000}"/>
    <cellStyle name="集計 4 3 2" xfId="930" xr:uid="{00000000-0005-0000-0000-0000BD030000}"/>
    <cellStyle name="集計 4 4" xfId="931" xr:uid="{00000000-0005-0000-0000-0000BE030000}"/>
    <cellStyle name="集計 4 4 2" xfId="932" xr:uid="{00000000-0005-0000-0000-0000BF030000}"/>
    <cellStyle name="集計 4 5" xfId="933" xr:uid="{00000000-0005-0000-0000-0000C0030000}"/>
    <cellStyle name="集計 4 5 2" xfId="934" xr:uid="{00000000-0005-0000-0000-0000C1030000}"/>
    <cellStyle name="集計 4 6" xfId="935" xr:uid="{00000000-0005-0000-0000-0000C2030000}"/>
    <cellStyle name="集計 4 6 2" xfId="936" xr:uid="{00000000-0005-0000-0000-0000C3030000}"/>
    <cellStyle name="集計 4 7" xfId="937" xr:uid="{00000000-0005-0000-0000-0000C4030000}"/>
    <cellStyle name="集計 5" xfId="938" xr:uid="{00000000-0005-0000-0000-0000C5030000}"/>
    <cellStyle name="集計 5 2" xfId="2532" xr:uid="{C2EE90EF-9CAD-4C1B-AE7F-FF6A38564A9B}"/>
    <cellStyle name="集計 5 3" xfId="2533" xr:uid="{37470BB6-18FE-4FF9-9A6D-9ED916B402A0}"/>
    <cellStyle name="集計 5 3 2" xfId="2534" xr:uid="{29971DA4-39CA-4353-96F6-7417DDD44AC2}"/>
    <cellStyle name="集計 5 4" xfId="2535" xr:uid="{5C7DDEBD-992D-427C-8FE6-580439D4171F}"/>
    <cellStyle name="集計 5 5" xfId="2536" xr:uid="{F5CCA776-ECA1-4FB4-BC6E-4E4031F6E7E0}"/>
    <cellStyle name="集計 5 6" xfId="2537" xr:uid="{73DA8146-C86F-46C9-8F0B-42E3A401D419}"/>
    <cellStyle name="集計 6" xfId="939" xr:uid="{00000000-0005-0000-0000-0000C6030000}"/>
    <cellStyle name="集計 6 2" xfId="2538" xr:uid="{0407E707-E82F-40EF-B3F5-BB1C8052E86A}"/>
    <cellStyle name="集計 6 3" xfId="2539" xr:uid="{61776317-EFC7-4E5B-882C-1EC0DF60F8B3}"/>
    <cellStyle name="集計 6 3 2" xfId="2540" xr:uid="{F0C1F4F2-9012-46D1-9D37-9BD267BA2409}"/>
    <cellStyle name="集計 6 4" xfId="2541" xr:uid="{DA154EDD-48A1-4C77-8243-15C6F59F916A}"/>
    <cellStyle name="集計 6 5" xfId="2542" xr:uid="{BF653E31-B7BB-4A4B-8617-537E471BBC63}"/>
    <cellStyle name="集計 6 6" xfId="2543" xr:uid="{14D72D3F-36EC-40C9-8525-8C5729175C2F}"/>
    <cellStyle name="集計 7" xfId="940" xr:uid="{00000000-0005-0000-0000-0000C7030000}"/>
    <cellStyle name="集計 7 2" xfId="2544" xr:uid="{DF53119A-3A30-44D1-A68B-91E0320489C8}"/>
    <cellStyle name="集計 7 3" xfId="2545" xr:uid="{A5D0ABF9-8EA9-4C72-BB07-34F13869D91C}"/>
    <cellStyle name="集計 7 4" xfId="2546" xr:uid="{8C29DA51-2AC6-4C91-B27E-4459FBD35036}"/>
    <cellStyle name="集計 8" xfId="941" xr:uid="{00000000-0005-0000-0000-0000C8030000}"/>
    <cellStyle name="集計 8 2" xfId="2547" xr:uid="{6E0AF389-CFB7-4AFA-B5C7-C4C1D6202A85}"/>
    <cellStyle name="集計 8 3" xfId="2548" xr:uid="{D0043CF1-8F0C-4771-99D6-6DBD70403136}"/>
    <cellStyle name="集計 8 4" xfId="2549" xr:uid="{7F06646A-D345-49C6-8AB5-C8B8B85D9D1D}"/>
    <cellStyle name="集計 9" xfId="942" xr:uid="{00000000-0005-0000-0000-0000C9030000}"/>
    <cellStyle name="集計 9 2" xfId="2550" xr:uid="{BE0F139A-95A6-4CF1-86E5-C5FBE251FF21}"/>
    <cellStyle name="集計 9 3" xfId="2551" xr:uid="{BD698108-2E1B-4358-8B58-FE126FE5468B}"/>
    <cellStyle name="出力 2" xfId="943" xr:uid="{00000000-0005-0000-0000-0000CA030000}"/>
    <cellStyle name="出力 2 2" xfId="944" xr:uid="{00000000-0005-0000-0000-0000CB030000}"/>
    <cellStyle name="出力 2 2 2" xfId="945" xr:uid="{00000000-0005-0000-0000-0000CC030000}"/>
    <cellStyle name="出力 2 2 2 2" xfId="946" xr:uid="{00000000-0005-0000-0000-0000CD030000}"/>
    <cellStyle name="出力 2 2 2 2 2" xfId="947" xr:uid="{00000000-0005-0000-0000-0000CE030000}"/>
    <cellStyle name="出力 2 2 2 3" xfId="948" xr:uid="{00000000-0005-0000-0000-0000CF030000}"/>
    <cellStyle name="出力 2 2 2 3 2" xfId="949" xr:uid="{00000000-0005-0000-0000-0000D0030000}"/>
    <cellStyle name="出力 2 2 2 4" xfId="950" xr:uid="{00000000-0005-0000-0000-0000D1030000}"/>
    <cellStyle name="出力 2 2 2 4 2" xfId="951" xr:uid="{00000000-0005-0000-0000-0000D2030000}"/>
    <cellStyle name="出力 2 2 2 5" xfId="952" xr:uid="{00000000-0005-0000-0000-0000D3030000}"/>
    <cellStyle name="出力 2 2 2 5 2" xfId="953" xr:uid="{00000000-0005-0000-0000-0000D4030000}"/>
    <cellStyle name="出力 2 2 2 6" xfId="954" xr:uid="{00000000-0005-0000-0000-0000D5030000}"/>
    <cellStyle name="出力 2 2 2 6 2" xfId="955" xr:uid="{00000000-0005-0000-0000-0000D6030000}"/>
    <cellStyle name="出力 2 2 2 7" xfId="956" xr:uid="{00000000-0005-0000-0000-0000D7030000}"/>
    <cellStyle name="出力 2 2 3" xfId="957" xr:uid="{00000000-0005-0000-0000-0000D8030000}"/>
    <cellStyle name="出力 2 2 3 2" xfId="958" xr:uid="{00000000-0005-0000-0000-0000D9030000}"/>
    <cellStyle name="出力 2 3" xfId="959" xr:uid="{00000000-0005-0000-0000-0000DA030000}"/>
    <cellStyle name="出力 2 3 2" xfId="960" xr:uid="{00000000-0005-0000-0000-0000DB030000}"/>
    <cellStyle name="出力 2 3 2 2" xfId="961" xr:uid="{00000000-0005-0000-0000-0000DC030000}"/>
    <cellStyle name="出力 2 3 3" xfId="962" xr:uid="{00000000-0005-0000-0000-0000DD030000}"/>
    <cellStyle name="出力 2 3 3 2" xfId="963" xr:uid="{00000000-0005-0000-0000-0000DE030000}"/>
    <cellStyle name="出力 2 3 4" xfId="964" xr:uid="{00000000-0005-0000-0000-0000DF030000}"/>
    <cellStyle name="出力 2 3 4 2" xfId="965" xr:uid="{00000000-0005-0000-0000-0000E0030000}"/>
    <cellStyle name="出力 2 3 5" xfId="966" xr:uid="{00000000-0005-0000-0000-0000E1030000}"/>
    <cellStyle name="出力 2 3 5 2" xfId="967" xr:uid="{00000000-0005-0000-0000-0000E2030000}"/>
    <cellStyle name="出力 2 3 6" xfId="968" xr:uid="{00000000-0005-0000-0000-0000E3030000}"/>
    <cellStyle name="出力 2 3 6 2" xfId="969" xr:uid="{00000000-0005-0000-0000-0000E4030000}"/>
    <cellStyle name="出力 2 3 7" xfId="970" xr:uid="{00000000-0005-0000-0000-0000E5030000}"/>
    <cellStyle name="出力 2 4" xfId="971" xr:uid="{00000000-0005-0000-0000-0000E6030000}"/>
    <cellStyle name="出力 2 4 2" xfId="972" xr:uid="{00000000-0005-0000-0000-0000E7030000}"/>
    <cellStyle name="出力 2 5" xfId="2552" xr:uid="{4148FF90-E59D-4E55-B110-B6E432BE7F8E}"/>
    <cellStyle name="出力 3" xfId="973" xr:uid="{00000000-0005-0000-0000-0000E8030000}"/>
    <cellStyle name="出力 3 2" xfId="974" xr:uid="{00000000-0005-0000-0000-0000E9030000}"/>
    <cellStyle name="出力 3 2 2" xfId="975" xr:uid="{00000000-0005-0000-0000-0000EA030000}"/>
    <cellStyle name="出力 3 2 2 2" xfId="976" xr:uid="{00000000-0005-0000-0000-0000EB030000}"/>
    <cellStyle name="出力 3 2 3" xfId="977" xr:uid="{00000000-0005-0000-0000-0000EC030000}"/>
    <cellStyle name="出力 3 2 3 2" xfId="978" xr:uid="{00000000-0005-0000-0000-0000ED030000}"/>
    <cellStyle name="出力 3 2 4" xfId="979" xr:uid="{00000000-0005-0000-0000-0000EE030000}"/>
    <cellStyle name="出力 3 2 4 2" xfId="980" xr:uid="{00000000-0005-0000-0000-0000EF030000}"/>
    <cellStyle name="出力 3 2 5" xfId="981" xr:uid="{00000000-0005-0000-0000-0000F0030000}"/>
    <cellStyle name="出力 3 2 5 2" xfId="982" xr:uid="{00000000-0005-0000-0000-0000F1030000}"/>
    <cellStyle name="出力 3 2 6" xfId="983" xr:uid="{00000000-0005-0000-0000-0000F2030000}"/>
    <cellStyle name="出力 3 2 6 2" xfId="984" xr:uid="{00000000-0005-0000-0000-0000F3030000}"/>
    <cellStyle name="出力 3 2 7" xfId="985" xr:uid="{00000000-0005-0000-0000-0000F4030000}"/>
    <cellStyle name="出力 3 3" xfId="986" xr:uid="{00000000-0005-0000-0000-0000F5030000}"/>
    <cellStyle name="出力 3 3 2" xfId="987" xr:uid="{00000000-0005-0000-0000-0000F6030000}"/>
    <cellStyle name="出力 3 4" xfId="988" xr:uid="{00000000-0005-0000-0000-0000F7030000}"/>
    <cellStyle name="出力 4" xfId="989" xr:uid="{00000000-0005-0000-0000-0000F8030000}"/>
    <cellStyle name="出力 4 2" xfId="990" xr:uid="{00000000-0005-0000-0000-0000F9030000}"/>
    <cellStyle name="出力 4 2 2" xfId="991" xr:uid="{00000000-0005-0000-0000-0000FA030000}"/>
    <cellStyle name="出力 4 3" xfId="992" xr:uid="{00000000-0005-0000-0000-0000FB030000}"/>
    <cellStyle name="出力 4 3 2" xfId="993" xr:uid="{00000000-0005-0000-0000-0000FC030000}"/>
    <cellStyle name="出力 4 4" xfId="994" xr:uid="{00000000-0005-0000-0000-0000FD030000}"/>
    <cellStyle name="出力 4 4 2" xfId="995" xr:uid="{00000000-0005-0000-0000-0000FE030000}"/>
    <cellStyle name="出力 4 5" xfId="996" xr:uid="{00000000-0005-0000-0000-0000FF030000}"/>
    <cellStyle name="出力 4 5 2" xfId="997" xr:uid="{00000000-0005-0000-0000-000000040000}"/>
    <cellStyle name="出力 4 6" xfId="998" xr:uid="{00000000-0005-0000-0000-000001040000}"/>
    <cellStyle name="出力 4 6 2" xfId="999" xr:uid="{00000000-0005-0000-0000-000002040000}"/>
    <cellStyle name="出力 4 7" xfId="1000" xr:uid="{00000000-0005-0000-0000-000003040000}"/>
    <cellStyle name="出力 5" xfId="1001" xr:uid="{00000000-0005-0000-0000-000004040000}"/>
    <cellStyle name="出力 5 2" xfId="2553" xr:uid="{80AA9AF8-B548-4297-9197-54864A661F67}"/>
    <cellStyle name="出力 5 3" xfId="2554" xr:uid="{483E8EF6-CB5F-4686-A3DC-3C8FC8AC6685}"/>
    <cellStyle name="出力 5 3 2" xfId="2555" xr:uid="{2644511B-A6FC-412A-8D14-F8FF0628D5C2}"/>
    <cellStyle name="出力 5 4" xfId="2556" xr:uid="{BE0006FC-9CA2-46C6-AD5D-48575A8F5791}"/>
    <cellStyle name="出力 5 5" xfId="2557" xr:uid="{40B32188-BC56-4783-9C17-E15C88202841}"/>
    <cellStyle name="出力 5 6" xfId="2558" xr:uid="{1C7EDACB-D81C-4759-92F0-535D21FCFCD8}"/>
    <cellStyle name="出力 6" xfId="1002" xr:uid="{00000000-0005-0000-0000-000005040000}"/>
    <cellStyle name="出力 6 2" xfId="2559" xr:uid="{5C3222E5-D0C5-4088-BF75-792E6BDC1F14}"/>
    <cellStyle name="出力 6 3" xfId="2560" xr:uid="{7442B2E8-2F99-4541-A09B-F4FEE3E8707D}"/>
    <cellStyle name="出力 6 3 2" xfId="2561" xr:uid="{6DE1DF03-679F-46E1-9547-3C3945626100}"/>
    <cellStyle name="出力 6 4" xfId="2562" xr:uid="{960AA3EE-9D58-4C16-9DE4-3B6F1F7E38EF}"/>
    <cellStyle name="出力 6 5" xfId="2563" xr:uid="{607DB4DA-6F96-42C5-B677-79DF95E7E9D9}"/>
    <cellStyle name="出力 6 6" xfId="2564" xr:uid="{0B7DA38C-55A1-4267-8D89-19FE6122E4B9}"/>
    <cellStyle name="出力 7" xfId="1003" xr:uid="{00000000-0005-0000-0000-000006040000}"/>
    <cellStyle name="出力 7 2" xfId="2565" xr:uid="{E9EA7F9F-53DD-44F9-B91B-C330E8A71639}"/>
    <cellStyle name="出力 7 3" xfId="2566" xr:uid="{EA877A2A-2FDE-42BB-9660-FAD0D6949FAF}"/>
    <cellStyle name="出力 7 4" xfId="2567" xr:uid="{EB5E6CE7-7E54-47FB-856D-FD5564DAC402}"/>
    <cellStyle name="出力 8" xfId="1004" xr:uid="{00000000-0005-0000-0000-000007040000}"/>
    <cellStyle name="出力 8 2" xfId="2568" xr:uid="{CFB656BD-8FD3-45A8-999A-E9163000D21A}"/>
    <cellStyle name="出力 8 3" xfId="2569" xr:uid="{2683399F-0F62-42AD-83F5-075C75067A29}"/>
    <cellStyle name="出力 8 4" xfId="2570" xr:uid="{37B33CA8-D888-4028-9F09-02ED8ADFC4EB}"/>
    <cellStyle name="出力 9" xfId="1005" xr:uid="{00000000-0005-0000-0000-000008040000}"/>
    <cellStyle name="出力 9 2" xfId="2571" xr:uid="{045363D9-4656-47B2-AC2B-4387AC6C4ECF}"/>
    <cellStyle name="出力 9 3" xfId="2572" xr:uid="{93802886-1738-42F8-82CE-69D1CF1311F5}"/>
    <cellStyle name="常规_sst145" xfId="2573" xr:uid="{3824DB8A-C2D2-4B86-8644-C29656F7FFDA}"/>
    <cellStyle name="人月" xfId="1006" xr:uid="{00000000-0005-0000-0000-000009040000}"/>
    <cellStyle name="人月 2" xfId="2574" xr:uid="{88169714-58DB-42E1-8F69-862CAA4BFE17}"/>
    <cellStyle name="人月 3" xfId="2575" xr:uid="{B0523266-3BF3-4D2D-B588-95053AFD102F}"/>
    <cellStyle name="説明文 2" xfId="1007" xr:uid="{00000000-0005-0000-0000-00000A040000}"/>
    <cellStyle name="説明文 2 2" xfId="1978" xr:uid="{00000000-0005-0000-0000-00000B040000}"/>
    <cellStyle name="説明文 3" xfId="1008" xr:uid="{00000000-0005-0000-0000-00000C040000}"/>
    <cellStyle name="説明文 3 2" xfId="2576" xr:uid="{E06F093F-E4CE-4FCC-89BF-09D4F3BD07C9}"/>
    <cellStyle name="説明文 4" xfId="1009" xr:uid="{00000000-0005-0000-0000-00000D040000}"/>
    <cellStyle name="説明文 4 2" xfId="2577" xr:uid="{84AEFA5D-C815-424B-B36C-01C831A8ED49}"/>
    <cellStyle name="説明文 5" xfId="1010" xr:uid="{00000000-0005-0000-0000-00000E040000}"/>
    <cellStyle name="説明文 5 2" xfId="2578" xr:uid="{B0D9DC64-D831-4481-983A-E69D7B96F5F5}"/>
    <cellStyle name="説明文 5 3" xfId="2579" xr:uid="{BB11B73E-2E4D-490B-A472-E1D0279109E8}"/>
    <cellStyle name="説明文 5 4" xfId="2580" xr:uid="{248193AA-F261-4DC0-8643-625966D7D239}"/>
    <cellStyle name="説明文 6" xfId="1011" xr:uid="{00000000-0005-0000-0000-00000F040000}"/>
    <cellStyle name="説明文 6 2" xfId="2581" xr:uid="{CE2E0923-5D4C-4F45-922F-CA6F9EC58587}"/>
    <cellStyle name="説明文 6 3" xfId="2582" xr:uid="{47EF3A68-E838-4BB3-B443-D3AEB8C9F0F2}"/>
    <cellStyle name="説明文 6 4" xfId="2583" xr:uid="{3B58AECF-9145-488D-8576-D51C092491CD}"/>
    <cellStyle name="説明文 7" xfId="1012" xr:uid="{00000000-0005-0000-0000-000010040000}"/>
    <cellStyle name="説明文 7 2" xfId="2584" xr:uid="{B8E432BB-BC88-4903-9313-F5A9B37615EA}"/>
    <cellStyle name="説明文 8" xfId="1013" xr:uid="{00000000-0005-0000-0000-000011040000}"/>
    <cellStyle name="説明文 8 2" xfId="2585" xr:uid="{F77D7A62-74BF-4364-A599-3BD3B99764AF}"/>
    <cellStyle name="説明文 9" xfId="1014" xr:uid="{00000000-0005-0000-0000-000012040000}"/>
    <cellStyle name="説明文 9 2" xfId="2586" xr:uid="{A58B391E-E935-4DBD-991C-BA3E14C8F353}"/>
    <cellStyle name="脱浦 [0.00]_laroux" xfId="1015" xr:uid="{00000000-0005-0000-0000-000013040000}"/>
    <cellStyle name="脱浦_laroux" xfId="1016" xr:uid="{00000000-0005-0000-0000-000014040000}"/>
    <cellStyle name="長谷木ﾚｲｱｳﾄ" xfId="2587" xr:uid="{4407EE8B-B4C3-418E-B3C2-3471631165EF}"/>
    <cellStyle name="通貨 [0.00" xfId="1017" xr:uid="{00000000-0005-0000-0000-000015040000}"/>
    <cellStyle name="通貨 [0.00 2" xfId="1018" xr:uid="{00000000-0005-0000-0000-000016040000}"/>
    <cellStyle name="通貨 [0.00 2 2" xfId="1984" xr:uid="{20D381B5-26BC-499B-B31B-1F2AC639B699}"/>
    <cellStyle name="通貨 [0.00 2 3" xfId="2999" xr:uid="{7C23BA2F-C997-4893-BAB3-B54D648DEB59}"/>
    <cellStyle name="通貨 [0.00 3" xfId="1019" xr:uid="{00000000-0005-0000-0000-000017040000}"/>
    <cellStyle name="通貨 [0.00 3 2" xfId="1985" xr:uid="{EE5A94B7-DE61-4314-A58F-DB6B8059B419}"/>
    <cellStyle name="通貨 [0.00 3 3" xfId="3000" xr:uid="{4BFB911D-61ED-462D-B743-FE82B87B7A61}"/>
    <cellStyle name="通貨 [0.00 4" xfId="1020" xr:uid="{00000000-0005-0000-0000-000018040000}"/>
    <cellStyle name="通貨 [0.00 4 2" xfId="1986" xr:uid="{60236116-6005-44F4-9F09-6A0DCCDC8D62}"/>
    <cellStyle name="通貨 [0.00 4 3" xfId="3001" xr:uid="{666E0F7E-A852-43E5-AB35-FB3669CDDADE}"/>
    <cellStyle name="通貨 [0.00 5" xfId="1021" xr:uid="{00000000-0005-0000-0000-000019040000}"/>
    <cellStyle name="通貨 [0.00 5 2" xfId="1987" xr:uid="{4573EEE2-6092-40B1-A009-ECA318EC1EF0}"/>
    <cellStyle name="通貨 [0.00 5 3" xfId="3002" xr:uid="{28FC3F72-65B8-4CE3-94B0-CB08FF75F345}"/>
    <cellStyle name="通貨 [0.00 6" xfId="1022" xr:uid="{00000000-0005-0000-0000-00001A040000}"/>
    <cellStyle name="通貨 [0.00 6 2" xfId="1988" xr:uid="{7118CECE-A26B-4BC1-8E50-5119CBF20A21}"/>
    <cellStyle name="通貨 [0.00 6 3" xfId="3003" xr:uid="{E388D93F-3846-41F8-BADC-A512457F431A}"/>
    <cellStyle name="通貨 [0.00 7" xfId="1983" xr:uid="{B05D68BD-332E-405A-9C96-AA0DEB538CFC}"/>
    <cellStyle name="通貨 [0.00 8" xfId="2998" xr:uid="{2556CDD6-4098-4C33-9626-72F15DFAD955}"/>
    <cellStyle name="通貨 10" xfId="2588" xr:uid="{85583080-662D-44BA-B866-434EE7C70F83}"/>
    <cellStyle name="通貨 10 2" xfId="3017" xr:uid="{8A43E888-5DFF-4519-9747-EAC39BC1EEE7}"/>
    <cellStyle name="通貨 11" xfId="2589" xr:uid="{C512065D-F9B0-435E-9F5D-657B93CD0A3A}"/>
    <cellStyle name="通貨 11 2" xfId="3018" xr:uid="{EFEA663D-D2D3-4A76-BA01-39FE01489E7B}"/>
    <cellStyle name="通貨 12" xfId="2590" xr:uid="{7A4F609E-DE51-4E23-B654-219AE9C2EB4A}"/>
    <cellStyle name="通貨 12 2" xfId="3019" xr:uid="{54C5ED74-439D-4D98-8737-29FC62CAA1AA}"/>
    <cellStyle name="通貨 13" xfId="2591" xr:uid="{28C8F2FC-DFBE-49C3-88A7-0B431AACD971}"/>
    <cellStyle name="通貨 13 2" xfId="3020" xr:uid="{F982A270-72D9-4D68-AEFB-954D5BA0C160}"/>
    <cellStyle name="通貨 14" xfId="2592" xr:uid="{27E26972-FFF9-4725-9402-F407815A5F38}"/>
    <cellStyle name="通貨 14 2" xfId="3021" xr:uid="{A11F00E9-B574-4627-AD7C-9C6A7A068AA7}"/>
    <cellStyle name="通貨 15" xfId="2593" xr:uid="{8487FA25-C765-4715-ADD6-38741C5F7F00}"/>
    <cellStyle name="通貨 15 2" xfId="3022" xr:uid="{5B4D2837-DA27-4805-9447-5DBA9484C8A5}"/>
    <cellStyle name="通貨 16" xfId="2594" xr:uid="{0924118E-CB97-4444-B852-D1F7400CEF54}"/>
    <cellStyle name="通貨 16 2" xfId="3023" xr:uid="{B9EF7CF4-AF9A-4438-ACA6-9D03714EF10F}"/>
    <cellStyle name="通貨 17" xfId="2595" xr:uid="{D7B2507B-F279-4A98-86C1-3B34775332A1}"/>
    <cellStyle name="通貨 17 2" xfId="3024" xr:uid="{A1E33E92-041A-43A2-8F7A-C50EC0CEDD68}"/>
    <cellStyle name="通貨 18" xfId="2596" xr:uid="{CF065A04-1BEA-489B-AC82-7CE2574E62CC}"/>
    <cellStyle name="通貨 18 2" xfId="3025" xr:uid="{A405E8FC-A493-48C2-8E39-5AA6AB31DBF4}"/>
    <cellStyle name="通貨 19" xfId="2597" xr:uid="{F53A5520-0E60-44DE-82FB-68065BC61A3B}"/>
    <cellStyle name="通貨 19 2" xfId="3026" xr:uid="{4D81A809-B873-4552-94BC-793FC69F2EFD}"/>
    <cellStyle name="通貨 2" xfId="1023" xr:uid="{00000000-0005-0000-0000-00001B040000}"/>
    <cellStyle name="通貨 2 2" xfId="1024" xr:uid="{00000000-0005-0000-0000-00001C040000}"/>
    <cellStyle name="通貨 2 2 2" xfId="1025" xr:uid="{00000000-0005-0000-0000-00001D040000}"/>
    <cellStyle name="通貨 2 2 2 2" xfId="2598" xr:uid="{9E6C85AE-096D-498E-B38C-75EA5C462F89}"/>
    <cellStyle name="通貨 2 2 2 2 2" xfId="3027" xr:uid="{9244B7CF-DD7A-4427-8B63-27550629F75F}"/>
    <cellStyle name="通貨 2 2 2 3" xfId="1991" xr:uid="{80C97E95-FC88-4002-8621-EDD7BE6C0225}"/>
    <cellStyle name="通貨 2 2 2 4" xfId="3006" xr:uid="{412558F8-CB88-4160-961B-A7FE9B655239}"/>
    <cellStyle name="通貨 2 2 3" xfId="1026" xr:uid="{00000000-0005-0000-0000-00001E040000}"/>
    <cellStyle name="通貨 2 2 3 2" xfId="2599" xr:uid="{46397735-4CF8-45B4-9C8E-1CB8D1EDA05E}"/>
    <cellStyle name="通貨 2 2 3 2 2" xfId="3028" xr:uid="{F5CF510D-2B5E-4843-A3EC-17A88267A939}"/>
    <cellStyle name="通貨 2 2 3 3" xfId="1992" xr:uid="{81F8363D-3AE1-4A84-B2D0-58B9F88CD009}"/>
    <cellStyle name="通貨 2 2 3 4" xfId="3007" xr:uid="{46CFD156-79B2-42C2-A1A2-480E78F23E40}"/>
    <cellStyle name="通貨 2 2 4" xfId="2600" xr:uid="{5DEFADDC-3CF5-45C9-BB8B-76B1A60954B2}"/>
    <cellStyle name="通貨 2 2 4 2" xfId="2601" xr:uid="{03978F38-F132-48F6-83E5-5A45CDC424B6}"/>
    <cellStyle name="通貨 2 2 4 2 2" xfId="3030" xr:uid="{F08461A6-33FA-40D5-A139-F38E48502D50}"/>
    <cellStyle name="通貨 2 2 4 3" xfId="2602" xr:uid="{263B9403-8690-4413-8A73-BA5F54BCF694}"/>
    <cellStyle name="通貨 2 2 4 3 2" xfId="3031" xr:uid="{9C9996C6-30E3-4742-B16D-1A5AAC968CCA}"/>
    <cellStyle name="通貨 2 2 4 4" xfId="3029" xr:uid="{2909503B-56E2-4707-8E4C-67903989279A}"/>
    <cellStyle name="通貨 2 2 5" xfId="2603" xr:uid="{06C8EDED-7F9C-4CC1-B9FA-05B0B0EEE431}"/>
    <cellStyle name="通貨 2 2 5 2" xfId="3032" xr:uid="{AA3B6627-B157-4469-A9E5-18FE00900126}"/>
    <cellStyle name="通貨 2 2 6" xfId="2604" xr:uid="{27A39322-B8B2-427E-B842-9986B05FBA27}"/>
    <cellStyle name="通貨 2 2 6 2" xfId="3033" xr:uid="{0FFA5A86-AC49-463B-96CE-A144FE760B27}"/>
    <cellStyle name="通貨 2 2 7" xfId="1990" xr:uid="{70BBD2DE-B240-448E-8DA2-685B09CAA9D2}"/>
    <cellStyle name="通貨 2 2 8" xfId="3005" xr:uid="{3CF6B3E8-FFA8-4288-834E-C4C323B06ABC}"/>
    <cellStyle name="通貨 2 3" xfId="1027" xr:uid="{00000000-0005-0000-0000-00001F040000}"/>
    <cellStyle name="通貨 2 3 2" xfId="2605" xr:uid="{21943985-16FD-456B-837C-A7068A1C0DF0}"/>
    <cellStyle name="通貨 2 3 2 2" xfId="3034" xr:uid="{143C6B25-F989-43E4-AFBF-C1AE344B2C02}"/>
    <cellStyle name="通貨 2 3 3" xfId="2606" xr:uid="{B1D9502E-40E3-4488-AE55-81C12C363A53}"/>
    <cellStyle name="通貨 2 3 3 2" xfId="3035" xr:uid="{9969EC05-0D80-4247-8A13-E95431D74360}"/>
    <cellStyle name="通貨 2 3 4" xfId="2607" xr:uid="{06D63C82-2A80-4834-8F07-9ADF0783F8FF}"/>
    <cellStyle name="通貨 2 3 4 2" xfId="2608" xr:uid="{22ECA046-362C-4B96-9122-D6DB094EC7FC}"/>
    <cellStyle name="通貨 2 3 4 2 2" xfId="3037" xr:uid="{D84561EC-D4BE-44A2-820E-3282D7FE8733}"/>
    <cellStyle name="通貨 2 3 4 3" xfId="2609" xr:uid="{F2F0A350-A5DA-40CD-AA40-4B6E4FC7F095}"/>
    <cellStyle name="通貨 2 3 4 3 2" xfId="3038" xr:uid="{625AB69D-8517-4473-956D-6A427BB81D0C}"/>
    <cellStyle name="通貨 2 3 4 4" xfId="3036" xr:uid="{EBAA24E0-C102-45D1-BD6D-D3FE82AA6D98}"/>
    <cellStyle name="通貨 2 3 5" xfId="2610" xr:uid="{5790981B-32BD-4A45-A945-BE6F3835BE3A}"/>
    <cellStyle name="通貨 2 3 5 2" xfId="3039" xr:uid="{330D0B57-715C-4D99-803D-82AB736EC6CE}"/>
    <cellStyle name="通貨 2 3 6" xfId="2611" xr:uid="{BB9FADF9-1C1A-4D45-B8A2-38E5B3C6E5A2}"/>
    <cellStyle name="通貨 2 3 6 2" xfId="3040" xr:uid="{2FB7FCA1-B9F5-4171-88FE-2453EE0094FB}"/>
    <cellStyle name="通貨 2 3 7" xfId="1993" xr:uid="{C62830DB-AE76-4ABC-AE8D-7C8E89F50BD6}"/>
    <cellStyle name="通貨 2 3 8" xfId="3008" xr:uid="{787B23B9-F519-4C05-8D91-0CFE1479C13E}"/>
    <cellStyle name="通貨 2 4" xfId="1028" xr:uid="{00000000-0005-0000-0000-000020040000}"/>
    <cellStyle name="通貨 2 4 2" xfId="1994" xr:uid="{3A5946C8-85ED-46BA-8C43-AB27317E6A9F}"/>
    <cellStyle name="通貨 2 4 3" xfId="3009" xr:uid="{785E1BBA-9713-4E15-B580-3DEC833B4953}"/>
    <cellStyle name="通貨 2 5" xfId="1029" xr:uid="{00000000-0005-0000-0000-000021040000}"/>
    <cellStyle name="通貨 2 5 2" xfId="1995" xr:uid="{45FF0F7A-9509-40EE-B169-ACA5342A9226}"/>
    <cellStyle name="通貨 2 5 3" xfId="3010" xr:uid="{0A2574E0-E4C0-4DA5-8A1C-F9DFFE395FB1}"/>
    <cellStyle name="通貨 2 6" xfId="1989" xr:uid="{00ABFABE-D0EE-4057-BCD0-75D3983D0F62}"/>
    <cellStyle name="通貨 2 7" xfId="3004" xr:uid="{B043FE3D-5FF6-45E2-8A52-831D14E558DF}"/>
    <cellStyle name="通貨 20" xfId="2612" xr:uid="{F257E95D-7E25-4D74-8060-C6B7D12B0D33}"/>
    <cellStyle name="通貨 20 2" xfId="3041" xr:uid="{6A0E34FD-DCAA-4D52-90B3-7573408F3995}"/>
    <cellStyle name="通貨 21" xfId="2613" xr:uid="{45761AE0-627E-4088-9D8D-990C54C2958D}"/>
    <cellStyle name="通貨 21 2" xfId="3042" xr:uid="{FC58B3E6-17C8-410C-BCD7-B42DA118E134}"/>
    <cellStyle name="通貨 22" xfId="2614" xr:uid="{C858AF2C-2DA9-469C-A77E-89BB1D589AD2}"/>
    <cellStyle name="通貨 22 2" xfId="3043" xr:uid="{EF897F0B-0EDA-4420-8B7D-07F9BEE7B456}"/>
    <cellStyle name="通貨 23" xfId="2615" xr:uid="{C6F56A02-6B8E-4406-A21A-88604CD002F2}"/>
    <cellStyle name="通貨 23 2" xfId="3044" xr:uid="{7CCFA13D-C018-4FEC-B7E1-1EF31BA0B4F0}"/>
    <cellStyle name="通貨 24" xfId="2616" xr:uid="{3C8A1C41-D561-47BD-8182-2639ACC7598D}"/>
    <cellStyle name="通貨 24 2" xfId="3045" xr:uid="{4579876C-444A-4922-A397-D80EC9871CC0}"/>
    <cellStyle name="通貨 25" xfId="2617" xr:uid="{CAAEE21F-B3FF-45F4-9F1A-B460D2BFE1E3}"/>
    <cellStyle name="通貨 25 2" xfId="3046" xr:uid="{FB00AFB7-5C35-4FB8-8E1C-CBA26159E7C1}"/>
    <cellStyle name="通貨 26" xfId="2618" xr:uid="{EE3CE64B-169A-4533-BBE5-5FAD0AEDB124}"/>
    <cellStyle name="通貨 26 2" xfId="3047" xr:uid="{0912F262-E1D7-465A-A123-D81C6692D4DA}"/>
    <cellStyle name="通貨 27" xfId="2619" xr:uid="{2AE9F18A-2A26-43A8-B103-14F609B419DD}"/>
    <cellStyle name="通貨 27 2" xfId="3048" xr:uid="{97A78E3B-E2C7-4580-A9F0-438A1CAA221A}"/>
    <cellStyle name="通貨 28" xfId="2620" xr:uid="{E897366B-8407-4AA2-AFF2-65973F4C2BAC}"/>
    <cellStyle name="通貨 28 2" xfId="3049" xr:uid="{CC39F14F-35FC-4AFF-84BE-E3D9C61776BE}"/>
    <cellStyle name="通貨 29" xfId="2621" xr:uid="{BC421DD5-5BDF-4DC3-A284-1C063187FB4B}"/>
    <cellStyle name="通貨 29 2" xfId="3050" xr:uid="{FFA4E56C-8DF2-41B7-B8C6-4EA83A316F80}"/>
    <cellStyle name="通貨 3" xfId="1030" xr:uid="{00000000-0005-0000-0000-000022040000}"/>
    <cellStyle name="通貨 3 2" xfId="1996" xr:uid="{53C4BDC7-9D03-4C22-9862-BAA38F240F55}"/>
    <cellStyle name="通貨 3 3" xfId="3011" xr:uid="{CF96D2CC-418E-476B-9FB6-796900035FBD}"/>
    <cellStyle name="通貨 4" xfId="2622" xr:uid="{0D784D50-EB30-495C-A797-D65FB6851E5A}"/>
    <cellStyle name="通貨 4 2" xfId="3051" xr:uid="{F73A4508-9E09-446B-9ECC-3267B9BE8B9D}"/>
    <cellStyle name="通貨 5" xfId="2623" xr:uid="{4B984756-602F-4D58-8994-4EFB0E935031}"/>
    <cellStyle name="通貨 5 2" xfId="3052" xr:uid="{4104EB83-9D38-4BE3-A4D9-575AFA6A23B3}"/>
    <cellStyle name="通貨 6" xfId="2624" xr:uid="{1DB9B46C-52D0-4B9E-890A-DD4A43891397}"/>
    <cellStyle name="通貨 6 2" xfId="3053" xr:uid="{A2D854DC-EDB5-4A48-8F44-8998C69A2281}"/>
    <cellStyle name="通貨 7" xfId="2625" xr:uid="{0A751D1B-200A-478F-8200-9635D8242B9F}"/>
    <cellStyle name="通貨 7 2" xfId="3054" xr:uid="{AD5A8924-3E96-4695-A252-ACEF8911D527}"/>
    <cellStyle name="通貨 8" xfId="2626" xr:uid="{572B9A19-7FBE-483B-94DF-8A56611E52C0}"/>
    <cellStyle name="通貨 8 2" xfId="3055" xr:uid="{5430F8D5-A33D-4AD9-A987-E8164736B24B}"/>
    <cellStyle name="通貨 9" xfId="2627" xr:uid="{A161C224-31F9-4600-8D9D-867175E2D40B}"/>
    <cellStyle name="通貨 9 2" xfId="3056" xr:uid="{1755CF40-271C-439C-99CD-0BA7C17D80FC}"/>
    <cellStyle name="入力 2" xfId="1031" xr:uid="{00000000-0005-0000-0000-000023040000}"/>
    <cellStyle name="入力 2 2" xfId="1032" xr:uid="{00000000-0005-0000-0000-000024040000}"/>
    <cellStyle name="入力 2 2 2" xfId="1033" xr:uid="{00000000-0005-0000-0000-000025040000}"/>
    <cellStyle name="入力 2 2 2 2" xfId="1034" xr:uid="{00000000-0005-0000-0000-000026040000}"/>
    <cellStyle name="入力 2 2 2 2 2" xfId="1035" xr:uid="{00000000-0005-0000-0000-000027040000}"/>
    <cellStyle name="入力 2 2 2 3" xfId="1036" xr:uid="{00000000-0005-0000-0000-000028040000}"/>
    <cellStyle name="入力 2 2 2 3 2" xfId="1037" xr:uid="{00000000-0005-0000-0000-000029040000}"/>
    <cellStyle name="入力 2 2 2 4" xfId="1038" xr:uid="{00000000-0005-0000-0000-00002A040000}"/>
    <cellStyle name="入力 2 2 2 4 2" xfId="1039" xr:uid="{00000000-0005-0000-0000-00002B040000}"/>
    <cellStyle name="入力 2 2 2 5" xfId="1040" xr:uid="{00000000-0005-0000-0000-00002C040000}"/>
    <cellStyle name="入力 2 2 2 5 2" xfId="1041" xr:uid="{00000000-0005-0000-0000-00002D040000}"/>
    <cellStyle name="入力 2 2 2 6" xfId="1042" xr:uid="{00000000-0005-0000-0000-00002E040000}"/>
    <cellStyle name="入力 2 2 2 6 2" xfId="1043" xr:uid="{00000000-0005-0000-0000-00002F040000}"/>
    <cellStyle name="入力 2 2 2 7" xfId="1044" xr:uid="{00000000-0005-0000-0000-000030040000}"/>
    <cellStyle name="入力 2 2 3" xfId="1045" xr:uid="{00000000-0005-0000-0000-000031040000}"/>
    <cellStyle name="入力 2 2 3 2" xfId="1046" xr:uid="{00000000-0005-0000-0000-000032040000}"/>
    <cellStyle name="入力 2 2 4" xfId="1047" xr:uid="{00000000-0005-0000-0000-000033040000}"/>
    <cellStyle name="入力 2 3" xfId="1048" xr:uid="{00000000-0005-0000-0000-000034040000}"/>
    <cellStyle name="入力 2 3 2" xfId="1049" xr:uid="{00000000-0005-0000-0000-000035040000}"/>
    <cellStyle name="入力 2 3 2 2" xfId="1050" xr:uid="{00000000-0005-0000-0000-000036040000}"/>
    <cellStyle name="入力 2 3 3" xfId="1051" xr:uid="{00000000-0005-0000-0000-000037040000}"/>
    <cellStyle name="入力 2 3 3 2" xfId="1052" xr:uid="{00000000-0005-0000-0000-000038040000}"/>
    <cellStyle name="入力 2 3 4" xfId="1053" xr:uid="{00000000-0005-0000-0000-000039040000}"/>
    <cellStyle name="入力 2 3 4 2" xfId="1054" xr:uid="{00000000-0005-0000-0000-00003A040000}"/>
    <cellStyle name="入力 2 3 5" xfId="1055" xr:uid="{00000000-0005-0000-0000-00003B040000}"/>
    <cellStyle name="入力 2 3 5 2" xfId="1056" xr:uid="{00000000-0005-0000-0000-00003C040000}"/>
    <cellStyle name="入力 2 3 6" xfId="1057" xr:uid="{00000000-0005-0000-0000-00003D040000}"/>
    <cellStyle name="入力 2 3 6 2" xfId="1058" xr:uid="{00000000-0005-0000-0000-00003E040000}"/>
    <cellStyle name="入力 2 3 7" xfId="1059" xr:uid="{00000000-0005-0000-0000-00003F040000}"/>
    <cellStyle name="入力 2 4" xfId="1060" xr:uid="{00000000-0005-0000-0000-000040040000}"/>
    <cellStyle name="入力 2 4 2" xfId="1061" xr:uid="{00000000-0005-0000-0000-000041040000}"/>
    <cellStyle name="入力 2 5" xfId="1062" xr:uid="{00000000-0005-0000-0000-000042040000}"/>
    <cellStyle name="入力 3" xfId="1063" xr:uid="{00000000-0005-0000-0000-000043040000}"/>
    <cellStyle name="入力 3 2" xfId="1064" xr:uid="{00000000-0005-0000-0000-000044040000}"/>
    <cellStyle name="入力 3 2 2" xfId="1065" xr:uid="{00000000-0005-0000-0000-000045040000}"/>
    <cellStyle name="入力 3 2 2 2" xfId="1066" xr:uid="{00000000-0005-0000-0000-000046040000}"/>
    <cellStyle name="入力 3 2 3" xfId="1067" xr:uid="{00000000-0005-0000-0000-000047040000}"/>
    <cellStyle name="入力 3 2 3 2" xfId="1068" xr:uid="{00000000-0005-0000-0000-000048040000}"/>
    <cellStyle name="入力 3 2 4" xfId="1069" xr:uid="{00000000-0005-0000-0000-000049040000}"/>
    <cellStyle name="入力 3 2 4 2" xfId="1070" xr:uid="{00000000-0005-0000-0000-00004A040000}"/>
    <cellStyle name="入力 3 2 5" xfId="1071" xr:uid="{00000000-0005-0000-0000-00004B040000}"/>
    <cellStyle name="入力 3 2 5 2" xfId="1072" xr:uid="{00000000-0005-0000-0000-00004C040000}"/>
    <cellStyle name="入力 3 2 6" xfId="1073" xr:uid="{00000000-0005-0000-0000-00004D040000}"/>
    <cellStyle name="入力 3 2 6 2" xfId="1074" xr:uid="{00000000-0005-0000-0000-00004E040000}"/>
    <cellStyle name="入力 3 2 7" xfId="1075" xr:uid="{00000000-0005-0000-0000-00004F040000}"/>
    <cellStyle name="入力 3 3" xfId="1076" xr:uid="{00000000-0005-0000-0000-000050040000}"/>
    <cellStyle name="入力 3 3 2" xfId="1077" xr:uid="{00000000-0005-0000-0000-000051040000}"/>
    <cellStyle name="入力 3 4" xfId="1078" xr:uid="{00000000-0005-0000-0000-000052040000}"/>
    <cellStyle name="入力 4" xfId="1079" xr:uid="{00000000-0005-0000-0000-000053040000}"/>
    <cellStyle name="入力 4 2" xfId="1080" xr:uid="{00000000-0005-0000-0000-000054040000}"/>
    <cellStyle name="入力 4 2 2" xfId="1081" xr:uid="{00000000-0005-0000-0000-000055040000}"/>
    <cellStyle name="入力 4 3" xfId="1082" xr:uid="{00000000-0005-0000-0000-000056040000}"/>
    <cellStyle name="入力 4 3 2" xfId="1083" xr:uid="{00000000-0005-0000-0000-000057040000}"/>
    <cellStyle name="入力 4 4" xfId="1084" xr:uid="{00000000-0005-0000-0000-000058040000}"/>
    <cellStyle name="入力 4 4 2" xfId="1085" xr:uid="{00000000-0005-0000-0000-000059040000}"/>
    <cellStyle name="入力 4 5" xfId="1086" xr:uid="{00000000-0005-0000-0000-00005A040000}"/>
    <cellStyle name="入力 4 5 2" xfId="1087" xr:uid="{00000000-0005-0000-0000-00005B040000}"/>
    <cellStyle name="入力 4 6" xfId="1088" xr:uid="{00000000-0005-0000-0000-00005C040000}"/>
    <cellStyle name="入力 4 6 2" xfId="1089" xr:uid="{00000000-0005-0000-0000-00005D040000}"/>
    <cellStyle name="入力 4 7" xfId="1090" xr:uid="{00000000-0005-0000-0000-00005E040000}"/>
    <cellStyle name="入力 5" xfId="1091" xr:uid="{00000000-0005-0000-0000-00005F040000}"/>
    <cellStyle name="入力 5 2" xfId="2628" xr:uid="{89039078-2A0D-4537-999D-5CF4A1454697}"/>
    <cellStyle name="入力 5 3" xfId="2629" xr:uid="{5A371986-A612-4C5E-A575-D86B8F21A3E8}"/>
    <cellStyle name="入力 5 3 2" xfId="2630" xr:uid="{EFCA7BA6-1E2C-4D6A-92A5-0F1875F025E6}"/>
    <cellStyle name="入力 5 4" xfId="2631" xr:uid="{A371CA10-BB22-4AD0-8C33-70FB0248D5F4}"/>
    <cellStyle name="入力 5 5" xfId="2632" xr:uid="{343A8CAF-71C8-481C-B9AF-8DC64C6DF25C}"/>
    <cellStyle name="入力 5 6" xfId="2633" xr:uid="{CAD65276-E348-47EF-8530-A7066FAFAD52}"/>
    <cellStyle name="入力 6" xfId="1092" xr:uid="{00000000-0005-0000-0000-000060040000}"/>
    <cellStyle name="入力 6 2" xfId="2634" xr:uid="{9AB2DAA7-0918-4EA5-B760-A2940A6DEE0A}"/>
    <cellStyle name="入力 6 3" xfId="2635" xr:uid="{512AD104-18D8-4263-8B31-D076F1773B1F}"/>
    <cellStyle name="入力 6 3 2" xfId="2636" xr:uid="{781D741C-AF6D-4C70-8D37-E0704F1FBD24}"/>
    <cellStyle name="入力 6 4" xfId="2637" xr:uid="{8EE62588-0E07-4623-9524-98E78C133DE7}"/>
    <cellStyle name="入力 6 5" xfId="2638" xr:uid="{64FF7BD2-EB77-4BE4-A86E-61F53283096A}"/>
    <cellStyle name="入力 6 6" xfId="2639" xr:uid="{B60E7344-B759-4DBE-9479-ED3AA1A2CED9}"/>
    <cellStyle name="入力 7" xfId="1093" xr:uid="{00000000-0005-0000-0000-000061040000}"/>
    <cellStyle name="入力 7 2" xfId="2640" xr:uid="{50683F79-579E-4970-8798-404FDFFA0CEE}"/>
    <cellStyle name="入力 7 3" xfId="2641" xr:uid="{3A608828-C82C-4EC2-99C9-377986277243}"/>
    <cellStyle name="入力 7 4" xfId="2642" xr:uid="{AAA62DB3-3EE4-4E07-AF4F-43B6D3F2C2C5}"/>
    <cellStyle name="入力 8" xfId="1094" xr:uid="{00000000-0005-0000-0000-000062040000}"/>
    <cellStyle name="入力 8 2" xfId="2643" xr:uid="{BF9F69AE-410E-49AC-B7B7-674A56468E14}"/>
    <cellStyle name="入力 8 3" xfId="2644" xr:uid="{A706C190-57E7-4F5A-BAFE-56B5FA479D5F}"/>
    <cellStyle name="入力 8 4" xfId="2645" xr:uid="{B4C26C7F-D0FA-482C-A41E-8A4C2A789EC8}"/>
    <cellStyle name="入力 9" xfId="1095" xr:uid="{00000000-0005-0000-0000-000063040000}"/>
    <cellStyle name="入力 9 2" xfId="2646" xr:uid="{64194A7F-5E09-49EB-8BD3-4AE9F7A0C195}"/>
    <cellStyle name="入力 9 3" xfId="2647" xr:uid="{23357E31-1604-4929-95C6-36BCBC05D3F1}"/>
    <cellStyle name="標準" xfId="0" builtinId="0"/>
    <cellStyle name="標準 10" xfId="1096" xr:uid="{00000000-0005-0000-0000-000065040000}"/>
    <cellStyle name="標準 10 2" xfId="1097" xr:uid="{00000000-0005-0000-0000-000066040000}"/>
    <cellStyle name="標準 10 3" xfId="14" xr:uid="{00000000-0005-0000-0000-000067040000}"/>
    <cellStyle name="標準 10 4" xfId="1098" xr:uid="{00000000-0005-0000-0000-000068040000}"/>
    <cellStyle name="標準 10 5" xfId="1099" xr:uid="{00000000-0005-0000-0000-000069040000}"/>
    <cellStyle name="標準 100" xfId="1100" xr:uid="{00000000-0005-0000-0000-00006A040000}"/>
    <cellStyle name="標準 100 2" xfId="1101" xr:uid="{00000000-0005-0000-0000-00006B040000}"/>
    <cellStyle name="標準 100 2 2" xfId="1102" xr:uid="{00000000-0005-0000-0000-00006C040000}"/>
    <cellStyle name="標準 100 2 2 2" xfId="1103" xr:uid="{00000000-0005-0000-0000-00006D040000}"/>
    <cellStyle name="標準 100 2 2 2 2" xfId="2648" xr:uid="{65BCD24B-F266-40BE-BDDD-30AB8EA324A5}"/>
    <cellStyle name="標準 100 2 2 3" xfId="1104" xr:uid="{00000000-0005-0000-0000-00006E040000}"/>
    <cellStyle name="標準 100 2 2 4" xfId="1105" xr:uid="{00000000-0005-0000-0000-00006F040000}"/>
    <cellStyle name="標準 100 2 3" xfId="1106" xr:uid="{00000000-0005-0000-0000-000070040000}"/>
    <cellStyle name="標準 100 2 3 2" xfId="2649" xr:uid="{B0356523-88A5-4E34-ADB6-C97C45F8CF4C}"/>
    <cellStyle name="標準 100 2 4" xfId="1107" xr:uid="{00000000-0005-0000-0000-000071040000}"/>
    <cellStyle name="標準 100 2 5" xfId="1108" xr:uid="{00000000-0005-0000-0000-000072040000}"/>
    <cellStyle name="標準 100 3" xfId="1109" xr:uid="{00000000-0005-0000-0000-000073040000}"/>
    <cellStyle name="標準 100 3 2" xfId="1110" xr:uid="{00000000-0005-0000-0000-000074040000}"/>
    <cellStyle name="標準 100 3 2 2" xfId="2650" xr:uid="{248CC1B4-F41D-4070-94B1-74A4E771629E}"/>
    <cellStyle name="標準 100 3 3" xfId="1111" xr:uid="{00000000-0005-0000-0000-000075040000}"/>
    <cellStyle name="標準 100 3 4" xfId="1112" xr:uid="{00000000-0005-0000-0000-000076040000}"/>
    <cellStyle name="標準 100 4" xfId="1113" xr:uid="{00000000-0005-0000-0000-000077040000}"/>
    <cellStyle name="標準 100 4 2" xfId="2651" xr:uid="{E264EEFC-E21E-4BCE-8CCD-4D8642E4DA6F}"/>
    <cellStyle name="標準 100 5" xfId="1114" xr:uid="{00000000-0005-0000-0000-000078040000}"/>
    <cellStyle name="標準 100 6" xfId="1115" xr:uid="{00000000-0005-0000-0000-000079040000}"/>
    <cellStyle name="標準 101" xfId="1116" xr:uid="{00000000-0005-0000-0000-00007A040000}"/>
    <cellStyle name="標準 102" xfId="1117" xr:uid="{00000000-0005-0000-0000-00007B040000}"/>
    <cellStyle name="標準 102 2" xfId="1118" xr:uid="{00000000-0005-0000-0000-00007C040000}"/>
    <cellStyle name="標準 102 2 2" xfId="1119" xr:uid="{00000000-0005-0000-0000-00007D040000}"/>
    <cellStyle name="標準 102 2 2 2" xfId="2652" xr:uid="{4C47E8C0-B044-4B6E-BE6A-48564D791990}"/>
    <cellStyle name="標準 102 2 3" xfId="1120" xr:uid="{00000000-0005-0000-0000-00007E040000}"/>
    <cellStyle name="標準 102 2 4" xfId="1121" xr:uid="{00000000-0005-0000-0000-00007F040000}"/>
    <cellStyle name="標準 102 3" xfId="1122" xr:uid="{00000000-0005-0000-0000-000080040000}"/>
    <cellStyle name="標準 102 3 2" xfId="2653" xr:uid="{EC1B84B4-8935-4E5D-875D-1FA8B5206D61}"/>
    <cellStyle name="標準 102 4" xfId="1123" xr:uid="{00000000-0005-0000-0000-000081040000}"/>
    <cellStyle name="標準 102 5" xfId="1124" xr:uid="{00000000-0005-0000-0000-000082040000}"/>
    <cellStyle name="標準 103" xfId="1125" xr:uid="{00000000-0005-0000-0000-000083040000}"/>
    <cellStyle name="標準 104" xfId="1126" xr:uid="{00000000-0005-0000-0000-000084040000}"/>
    <cellStyle name="標準 104 2" xfId="1127" xr:uid="{00000000-0005-0000-0000-000085040000}"/>
    <cellStyle name="標準 104 2 2" xfId="2654" xr:uid="{937FF07F-7665-4582-B92F-2654FDF7A803}"/>
    <cellStyle name="標準 104 3" xfId="1128" xr:uid="{00000000-0005-0000-0000-000086040000}"/>
    <cellStyle name="標準 104 4" xfId="1129" xr:uid="{00000000-0005-0000-0000-000087040000}"/>
    <cellStyle name="標準 105" xfId="1130" xr:uid="{00000000-0005-0000-0000-000088040000}"/>
    <cellStyle name="標準 105 2" xfId="2655" xr:uid="{7A9A2D34-FF3F-431A-891F-CB1B41B1564C}"/>
    <cellStyle name="標準 106" xfId="1131" xr:uid="{00000000-0005-0000-0000-000089040000}"/>
    <cellStyle name="標準 107" xfId="1132" xr:uid="{00000000-0005-0000-0000-00008A040000}"/>
    <cellStyle name="標準 108" xfId="1133" xr:uid="{00000000-0005-0000-0000-00008B040000}"/>
    <cellStyle name="標準 109" xfId="1134" xr:uid="{00000000-0005-0000-0000-00008C040000}"/>
    <cellStyle name="標準 11" xfId="1135" xr:uid="{00000000-0005-0000-0000-00008D040000}"/>
    <cellStyle name="標準 11 2" xfId="1136" xr:uid="{00000000-0005-0000-0000-00008E040000}"/>
    <cellStyle name="標準 11 2 2" xfId="2656" xr:uid="{D03968CB-ED9C-4F69-9A5D-C35F5892E740}"/>
    <cellStyle name="標準 11 2 3" xfId="2657" xr:uid="{F19E8172-12A5-45C7-99BC-698A333EDA4B}"/>
    <cellStyle name="標準 11 2 4" xfId="2658" xr:uid="{8BF6489B-4D5B-4961-8A54-225104A73E50}"/>
    <cellStyle name="標準 11 3" xfId="1137" xr:uid="{00000000-0005-0000-0000-00008F040000}"/>
    <cellStyle name="標準 110" xfId="1138" xr:uid="{00000000-0005-0000-0000-000090040000}"/>
    <cellStyle name="標準 111" xfId="1139" xr:uid="{00000000-0005-0000-0000-000091040000}"/>
    <cellStyle name="標準 112" xfId="1140" xr:uid="{00000000-0005-0000-0000-000092040000}"/>
    <cellStyle name="標準 113" xfId="1141" xr:uid="{00000000-0005-0000-0000-000093040000}"/>
    <cellStyle name="標準 114" xfId="1142" xr:uid="{00000000-0005-0000-0000-000094040000}"/>
    <cellStyle name="標準 115" xfId="1143" xr:uid="{00000000-0005-0000-0000-000095040000}"/>
    <cellStyle name="標準 116" xfId="1144" xr:uid="{00000000-0005-0000-0000-000096040000}"/>
    <cellStyle name="標準 117" xfId="1145" xr:uid="{00000000-0005-0000-0000-000097040000}"/>
    <cellStyle name="標準 118" xfId="1146" xr:uid="{00000000-0005-0000-0000-000098040000}"/>
    <cellStyle name="標準 119" xfId="1147" xr:uid="{00000000-0005-0000-0000-000099040000}"/>
    <cellStyle name="標準 12" xfId="1148" xr:uid="{00000000-0005-0000-0000-00009A040000}"/>
    <cellStyle name="標準 12 2" xfId="1149" xr:uid="{00000000-0005-0000-0000-00009B040000}"/>
    <cellStyle name="標準 12 2 2" xfId="1150" xr:uid="{00000000-0005-0000-0000-00009C040000}"/>
    <cellStyle name="標準 12 2 3" xfId="1151" xr:uid="{00000000-0005-0000-0000-00009D040000}"/>
    <cellStyle name="標準 12 2 3 2" xfId="2659" xr:uid="{7848D705-F900-4087-AF79-7381224B9AD6}"/>
    <cellStyle name="標準 12 3" xfId="1152" xr:uid="{00000000-0005-0000-0000-00009E040000}"/>
    <cellStyle name="標準 12 3 2" xfId="1153" xr:uid="{00000000-0005-0000-0000-00009F040000}"/>
    <cellStyle name="標準 12 3 3" xfId="1154" xr:uid="{00000000-0005-0000-0000-0000A0040000}"/>
    <cellStyle name="標準 12 3 3 2" xfId="2660" xr:uid="{7132BBA2-8DEB-4F9A-95A6-110C8C582CDD}"/>
    <cellStyle name="標準 12 4" xfId="2661" xr:uid="{1E0DBD8E-E894-4517-8AA7-337F8B0C0456}"/>
    <cellStyle name="標準 120" xfId="1155" xr:uid="{00000000-0005-0000-0000-0000A1040000}"/>
    <cellStyle name="標準 121" xfId="1156" xr:uid="{00000000-0005-0000-0000-0000A2040000}"/>
    <cellStyle name="標準 122" xfId="1157" xr:uid="{00000000-0005-0000-0000-0000A3040000}"/>
    <cellStyle name="標準 123" xfId="1158" xr:uid="{00000000-0005-0000-0000-0000A4040000}"/>
    <cellStyle name="標準 124" xfId="1159" xr:uid="{00000000-0005-0000-0000-0000A5040000}"/>
    <cellStyle name="標準 125" xfId="1160" xr:uid="{00000000-0005-0000-0000-0000A6040000}"/>
    <cellStyle name="標準 126" xfId="1161" xr:uid="{00000000-0005-0000-0000-0000A7040000}"/>
    <cellStyle name="標準 127" xfId="1162" xr:uid="{00000000-0005-0000-0000-0000A8040000}"/>
    <cellStyle name="標準 128" xfId="1163" xr:uid="{00000000-0005-0000-0000-0000A9040000}"/>
    <cellStyle name="標準 129" xfId="1164" xr:uid="{00000000-0005-0000-0000-0000AA040000}"/>
    <cellStyle name="標準 13" xfId="1165" xr:uid="{00000000-0005-0000-0000-0000AB040000}"/>
    <cellStyle name="標準 13 2" xfId="1166" xr:uid="{00000000-0005-0000-0000-0000AC040000}"/>
    <cellStyle name="標準 13 3" xfId="1167" xr:uid="{00000000-0005-0000-0000-0000AD040000}"/>
    <cellStyle name="標準 13 4" xfId="1168" xr:uid="{00000000-0005-0000-0000-0000AE040000}"/>
    <cellStyle name="標準 13 5" xfId="1169" xr:uid="{00000000-0005-0000-0000-0000AF040000}"/>
    <cellStyle name="標準 130" xfId="1170" xr:uid="{00000000-0005-0000-0000-0000B0040000}"/>
    <cellStyle name="標準 131" xfId="1171" xr:uid="{00000000-0005-0000-0000-0000B1040000}"/>
    <cellStyle name="標準 132" xfId="1937" xr:uid="{00000000-0005-0000-0000-0000B2040000}"/>
    <cellStyle name="標準 132 2" xfId="2662" xr:uid="{463796BA-C8B6-44F4-BECC-1D6A3C647E6A}"/>
    <cellStyle name="標準 132 2 2" xfId="2663" xr:uid="{B980D267-C315-4DD7-B475-808EB6E8BE58}"/>
    <cellStyle name="標準 132 2 2 2" xfId="3058" xr:uid="{9B9EDE08-67FF-47C8-AC6D-56FBD7B33BD4}"/>
    <cellStyle name="標準 132 2 3" xfId="3057" xr:uid="{5E686BD8-EFB7-4554-B667-B56D286EF609}"/>
    <cellStyle name="標準 132 3" xfId="2664" xr:uid="{2D91479B-FDFB-49AA-99AF-0700C7D8FF7D}"/>
    <cellStyle name="標準 132 3 2" xfId="3059" xr:uid="{80C55B0C-94FF-4309-A3B0-9582E58FED18}"/>
    <cellStyle name="標準 132 4" xfId="2665" xr:uid="{BE4132FD-4421-434B-93FD-D5F6B16297A0}"/>
    <cellStyle name="標準 132 4 2" xfId="3060" xr:uid="{17AB1CD7-6475-43C2-ACB0-EAA6FF804DDF}"/>
    <cellStyle name="標準 132 5" xfId="2666" xr:uid="{3F7AC66A-84BD-47E1-922B-BBC8F4023867}"/>
    <cellStyle name="標準 132 6" xfId="1997" xr:uid="{4BC3F11A-0852-4EBD-B486-CDCE2584C720}"/>
    <cellStyle name="標準 132 7" xfId="3012" xr:uid="{3C536835-EA5A-400F-8FB2-FC7468F51F84}"/>
    <cellStyle name="標準 133" xfId="1938" xr:uid="{00000000-0005-0000-0000-0000B3040000}"/>
    <cellStyle name="標準 133 2" xfId="2667" xr:uid="{187D247E-46E0-4980-8DBF-43AAF7571112}"/>
    <cellStyle name="標準 133 2 2" xfId="3061" xr:uid="{1C5CCE2C-8493-4F09-9443-F18FAA1E66A6}"/>
    <cellStyle name="標準 133 3" xfId="2668" xr:uid="{8D1D25F8-0A9C-4454-91CF-3634A87EAF6E}"/>
    <cellStyle name="標準 133 3 2" xfId="3062" xr:uid="{922724AF-B8C2-44D4-83C7-1EB05FFC55DC}"/>
    <cellStyle name="標準 133 4" xfId="2669" xr:uid="{23796FBD-B3F6-4252-BCC2-ED75A335F055}"/>
    <cellStyle name="標準 133 5" xfId="1998" xr:uid="{2AF37F2C-EC26-4D18-9F1C-6A45FFB13E0E}"/>
    <cellStyle name="標準 133 6" xfId="3013" xr:uid="{1FB534DD-609A-446D-9BB1-A5F04ED32767}"/>
    <cellStyle name="標準 134" xfId="1940" xr:uid="{00000000-0005-0000-0000-0000B4040000}"/>
    <cellStyle name="標準 134 2" xfId="2670" xr:uid="{7B2520CE-4CC3-41F1-9FBB-3A3AA691EEFE}"/>
    <cellStyle name="標準 135" xfId="2671" xr:uid="{67D31B58-7572-48F0-98EC-96CD62ACF1A5}"/>
    <cellStyle name="標準 135 2" xfId="2672" xr:uid="{DBCD7C7C-11CB-4529-A985-FA5D8A7CA1FE}"/>
    <cellStyle name="標準 135 3" xfId="2673" xr:uid="{F005213A-CFCC-4AB3-AF38-EDEBCB4656A8}"/>
    <cellStyle name="標準 135 4" xfId="3063" xr:uid="{48484CB4-1F6F-48E0-B0A1-0A9640256FF8}"/>
    <cellStyle name="標準 136" xfId="1172" xr:uid="{00000000-0005-0000-0000-0000B5040000}"/>
    <cellStyle name="標準 137" xfId="2674" xr:uid="{78192922-5D80-49C6-B8F5-FCB69A7FD2FE}"/>
    <cellStyle name="標準 138" xfId="3069" xr:uid="{14DFEBA6-253C-448D-9E19-A8FBF00C8D01}"/>
    <cellStyle name="標準 14" xfId="1173" xr:uid="{00000000-0005-0000-0000-0000B6040000}"/>
    <cellStyle name="標準 14 2" xfId="1174" xr:uid="{00000000-0005-0000-0000-0000B7040000}"/>
    <cellStyle name="標準 14 2 2" xfId="1175" xr:uid="{00000000-0005-0000-0000-0000B8040000}"/>
    <cellStyle name="標準 14 2 2 2" xfId="2675" xr:uid="{87B89E52-8F3E-4E63-8463-9535A608AFD2}"/>
    <cellStyle name="標準 14 2 3" xfId="1176" xr:uid="{00000000-0005-0000-0000-0000B9040000}"/>
    <cellStyle name="標準 14 2 3 2" xfId="2676" xr:uid="{AC6EE205-9D13-48F0-B805-25F80221F57E}"/>
    <cellStyle name="標準 14 2 4" xfId="2677" xr:uid="{246A3271-51FC-48DE-BA78-D1BA66C43358}"/>
    <cellStyle name="標準 14 2 5" xfId="2678" xr:uid="{19C1D1D8-44E2-405C-83B2-FEE94F968514}"/>
    <cellStyle name="標準 14 3" xfId="1177" xr:uid="{00000000-0005-0000-0000-0000BA040000}"/>
    <cellStyle name="標準 14 4" xfId="1178" xr:uid="{00000000-0005-0000-0000-0000BB040000}"/>
    <cellStyle name="標準 14 4 2" xfId="2679" xr:uid="{F0B7417D-CE4E-4756-BA06-AEA267D3A06E}"/>
    <cellStyle name="標準 14 5" xfId="2680" xr:uid="{25ADD2B5-9DBE-426F-9712-10F38CAD920C}"/>
    <cellStyle name="標準 14 6" xfId="2681" xr:uid="{2785AE66-DFB7-462F-AD01-9C35F4869C34}"/>
    <cellStyle name="標準 14 7" xfId="2682" xr:uid="{9D1DC8A6-CB1E-49B9-9B75-D124FAFDF9D8}"/>
    <cellStyle name="標準 14 8" xfId="2683" xr:uid="{C0CE2758-1B2A-435A-B33A-6376D7293768}"/>
    <cellStyle name="標準 15" xfId="1179" xr:uid="{00000000-0005-0000-0000-0000BC040000}"/>
    <cellStyle name="標準 15 10" xfId="2684" xr:uid="{B9EC0977-0A8B-451E-9078-2DB87F785139}"/>
    <cellStyle name="標準 15 2" xfId="1180" xr:uid="{00000000-0005-0000-0000-0000BD040000}"/>
    <cellStyle name="標準 15 2 2" xfId="1181" xr:uid="{00000000-0005-0000-0000-0000BE040000}"/>
    <cellStyle name="標準 15 2 3" xfId="1182" xr:uid="{00000000-0005-0000-0000-0000BF040000}"/>
    <cellStyle name="標準 15 2 3 2" xfId="2685" xr:uid="{62D63366-CBB1-4E8E-B4B2-4E74243CBF00}"/>
    <cellStyle name="標準 15 3" xfId="1183" xr:uid="{00000000-0005-0000-0000-0000C0040000}"/>
    <cellStyle name="標準 15 3 2" xfId="2686" xr:uid="{80260A4C-37DB-4A7B-9865-8A584E72C018}"/>
    <cellStyle name="標準 15 3 3" xfId="2687" xr:uid="{FFD56735-570C-4437-B180-0DBC8BA0BA7B}"/>
    <cellStyle name="標準 15 3 4" xfId="2688" xr:uid="{40B1ADF0-A2A1-4CFF-AC5A-F0B5EA819B2C}"/>
    <cellStyle name="標準 15 4" xfId="1184" xr:uid="{00000000-0005-0000-0000-0000C1040000}"/>
    <cellStyle name="標準 15 5" xfId="1185" xr:uid="{00000000-0005-0000-0000-0000C2040000}"/>
    <cellStyle name="標準 15 6" xfId="1186" xr:uid="{00000000-0005-0000-0000-0000C3040000}"/>
    <cellStyle name="標準 15 7" xfId="2689" xr:uid="{B76E1C46-6D57-4CF4-A967-8D73BCDCCE4D}"/>
    <cellStyle name="標準 15 8" xfId="2690" xr:uid="{5939ECC4-0F15-4F02-8F1A-83C87D2506D4}"/>
    <cellStyle name="標準 15 9" xfId="2691" xr:uid="{93693FEB-3D65-4CDD-AE5B-3DECA7AD42F5}"/>
    <cellStyle name="標準 16" xfId="1187" xr:uid="{00000000-0005-0000-0000-0000C4040000}"/>
    <cellStyle name="標準 16 2" xfId="1188" xr:uid="{00000000-0005-0000-0000-0000C5040000}"/>
    <cellStyle name="標準 16 2 2" xfId="1189" xr:uid="{00000000-0005-0000-0000-0000C6040000}"/>
    <cellStyle name="標準 16 2 2 2" xfId="2692" xr:uid="{86B421AA-4FCE-4B6E-9AE2-9972E606FFF5}"/>
    <cellStyle name="標準 16 2 3" xfId="1190" xr:uid="{00000000-0005-0000-0000-0000C7040000}"/>
    <cellStyle name="標準 16 2 3 2" xfId="2693" xr:uid="{BB075E99-7A5B-46A5-9154-1F596D95B160}"/>
    <cellStyle name="標準 16 2 4" xfId="2694" xr:uid="{2990756C-B430-4D8C-8E38-3CF9C20AB57B}"/>
    <cellStyle name="標準 16 3" xfId="1191" xr:uid="{00000000-0005-0000-0000-0000C8040000}"/>
    <cellStyle name="標準 16 3 2" xfId="2695" xr:uid="{6E5F8EB1-44ED-4FC2-A5AA-857A526FB187}"/>
    <cellStyle name="標準 16 3 3" xfId="2696" xr:uid="{2A718800-8EF1-4F34-B610-7E24FF21455F}"/>
    <cellStyle name="標準 16 3 4" xfId="2697" xr:uid="{A3B37175-85E9-44A7-9D84-D4BCF00C5A58}"/>
    <cellStyle name="標準 16 4" xfId="1192" xr:uid="{00000000-0005-0000-0000-0000C9040000}"/>
    <cellStyle name="標準 16 4 2" xfId="2698" xr:uid="{6AFBD457-4444-4FAF-8617-FE323CD1ADD9}"/>
    <cellStyle name="標準 16 4 3" xfId="2699" xr:uid="{7D31DBCD-34E9-4BB4-9D95-047294BCC150}"/>
    <cellStyle name="標準 16 4 4" xfId="2700" xr:uid="{E93AAC6F-9121-4B08-A03F-32AE88CA5034}"/>
    <cellStyle name="標準 16 5" xfId="1193" xr:uid="{00000000-0005-0000-0000-0000CA040000}"/>
    <cellStyle name="標準 16 6" xfId="2701" xr:uid="{2394E29D-EE38-433F-BDEF-18DD0587C08C}"/>
    <cellStyle name="標準 16 7" xfId="2702" xr:uid="{ABBE5D1D-41CF-44F8-AC1D-E3116380D0B3}"/>
    <cellStyle name="標準 17" xfId="1194" xr:uid="{00000000-0005-0000-0000-0000CB040000}"/>
    <cellStyle name="標準 17 2" xfId="1195" xr:uid="{00000000-0005-0000-0000-0000CC040000}"/>
    <cellStyle name="標準 17 2 2" xfId="1196" xr:uid="{00000000-0005-0000-0000-0000CD040000}"/>
    <cellStyle name="標準 17 2 3" xfId="1197" xr:uid="{00000000-0005-0000-0000-0000CE040000}"/>
    <cellStyle name="標準 17 2 3 2" xfId="2703" xr:uid="{17EAC56C-AF62-4F03-8911-96A58E61DE59}"/>
    <cellStyle name="標準 17 2 4" xfId="2704" xr:uid="{50C294C2-24B5-47DB-82A1-9ACEE4AC26D3}"/>
    <cellStyle name="標準 17 3" xfId="1198" xr:uid="{00000000-0005-0000-0000-0000CF040000}"/>
    <cellStyle name="標準 17 3 2" xfId="2705" xr:uid="{17B22318-78E2-4CAE-B463-D5CA17F1A715}"/>
    <cellStyle name="標準 17 3 3" xfId="2706" xr:uid="{1FCDF3CE-430E-4534-9C72-4F9A4A6594F6}"/>
    <cellStyle name="標準 17 3 4" xfId="2707" xr:uid="{839C289B-69BE-4B17-9B79-6566C9EB6B63}"/>
    <cellStyle name="標準 17 3 5" xfId="2708" xr:uid="{D965A958-CDB3-4C2E-B18B-4D74159A35F2}"/>
    <cellStyle name="標準 17 4" xfId="1199" xr:uid="{00000000-0005-0000-0000-0000D0040000}"/>
    <cellStyle name="標準 17 5" xfId="1200" xr:uid="{00000000-0005-0000-0000-0000D1040000}"/>
    <cellStyle name="標準 17 6" xfId="2709" xr:uid="{5DEC6DF9-05DB-4967-98C5-11DF27DD79BD}"/>
    <cellStyle name="標準 17 7" xfId="2710" xr:uid="{3F3C0DD2-A230-42F2-9938-7DECF9F24C56}"/>
    <cellStyle name="標準 17 8" xfId="2711" xr:uid="{259F8BDD-07B6-474C-8792-D7E3ABFBE59E}"/>
    <cellStyle name="標準 17 9" xfId="2712" xr:uid="{ACC2B30D-7004-4F9B-931F-C3C473DD9919}"/>
    <cellStyle name="標準 18" xfId="1201" xr:uid="{00000000-0005-0000-0000-0000D2040000}"/>
    <cellStyle name="標準 18 10" xfId="2713" xr:uid="{6035B45B-5AD7-49C6-A444-9ED591F9B1FC}"/>
    <cellStyle name="標準 18 2" xfId="1202" xr:uid="{00000000-0005-0000-0000-0000D3040000}"/>
    <cellStyle name="標準 18 2 2" xfId="1203" xr:uid="{00000000-0005-0000-0000-0000D4040000}"/>
    <cellStyle name="標準 18 2 3" xfId="1204" xr:uid="{00000000-0005-0000-0000-0000D5040000}"/>
    <cellStyle name="標準 18 2 4" xfId="1205" xr:uid="{00000000-0005-0000-0000-0000D6040000}"/>
    <cellStyle name="標準 18 2 4 2" xfId="2714" xr:uid="{0E0278CC-4787-4B24-ABCE-46DD325C7448}"/>
    <cellStyle name="標準 18 2 5" xfId="2715" xr:uid="{BD51A0B4-A41B-46D8-8589-F6533AD50DC5}"/>
    <cellStyle name="標準 18 2 6" xfId="2716" xr:uid="{CC599DB0-D9FD-4FCF-AB51-646DD80F3CF2}"/>
    <cellStyle name="標準 18 3" xfId="1206" xr:uid="{00000000-0005-0000-0000-0000D7040000}"/>
    <cellStyle name="標準 18 4" xfId="1207" xr:uid="{00000000-0005-0000-0000-0000D8040000}"/>
    <cellStyle name="標準 18 5" xfId="1208" xr:uid="{00000000-0005-0000-0000-0000D9040000}"/>
    <cellStyle name="標準 18 6" xfId="1209" xr:uid="{00000000-0005-0000-0000-0000DA040000}"/>
    <cellStyle name="標準 18 7" xfId="2717" xr:uid="{141F3327-0DCC-43EF-B4E9-EA2706E0866F}"/>
    <cellStyle name="標準 18 8" xfId="2718" xr:uid="{4CAE411C-227D-4032-BCAA-7B8E86973A05}"/>
    <cellStyle name="標準 18 9" xfId="2719" xr:uid="{40AF001D-87B4-4033-9E73-49091D538A12}"/>
    <cellStyle name="標準 19" xfId="1210" xr:uid="{00000000-0005-0000-0000-0000DB040000}"/>
    <cellStyle name="標準 19 2" xfId="1211" xr:uid="{00000000-0005-0000-0000-0000DC040000}"/>
    <cellStyle name="標準 19 3" xfId="1212" xr:uid="{00000000-0005-0000-0000-0000DD040000}"/>
    <cellStyle name="標準 19 4" xfId="2720" xr:uid="{D3688597-2CFC-43BA-BA5D-4970A1965B1E}"/>
    <cellStyle name="標準 19 4 2" xfId="2721" xr:uid="{356F64EB-193E-4276-945B-D1B586453747}"/>
    <cellStyle name="標準 2" xfId="9" xr:uid="{00000000-0005-0000-0000-0000DE040000}"/>
    <cellStyle name="標準 2 10" xfId="1213" xr:uid="{00000000-0005-0000-0000-0000DF040000}"/>
    <cellStyle name="標準 2 11" xfId="1214" xr:uid="{00000000-0005-0000-0000-0000E0040000}"/>
    <cellStyle name="標準 2 11 2" xfId="2722" xr:uid="{2AF3E835-C3E5-46DB-BC70-33748A0CC4C3}"/>
    <cellStyle name="標準 2 11 3" xfId="2723" xr:uid="{2363B4BE-1DF5-4FA0-A50F-7AFF1E62F78F}"/>
    <cellStyle name="標準 2 12" xfId="1215" xr:uid="{00000000-0005-0000-0000-0000E1040000}"/>
    <cellStyle name="標準 2 13" xfId="1216" xr:uid="{00000000-0005-0000-0000-0000E2040000}"/>
    <cellStyle name="標準 2 14" xfId="2724" xr:uid="{317F8EB2-142A-4E94-BDE4-CA1802881D56}"/>
    <cellStyle name="標準 2 14 2" xfId="2725" xr:uid="{A933EF13-F178-4D71-B1AE-20FD22C8DAEF}"/>
    <cellStyle name="標準 2 2" xfId="10" xr:uid="{00000000-0005-0000-0000-0000E3040000}"/>
    <cellStyle name="標準 2 2 2" xfId="1217" xr:uid="{00000000-0005-0000-0000-0000E4040000}"/>
    <cellStyle name="標準 2 2 2 2" xfId="1218" xr:uid="{00000000-0005-0000-0000-0000E5040000}"/>
    <cellStyle name="標準 2 2 2 2 2" xfId="1219" xr:uid="{00000000-0005-0000-0000-0000E6040000}"/>
    <cellStyle name="標準 2 2 2 2 2 2" xfId="2726" xr:uid="{6F689F98-41B6-4418-BC57-314AA94359BE}"/>
    <cellStyle name="標準 2 2 2 2 3" xfId="1220" xr:uid="{00000000-0005-0000-0000-0000E7040000}"/>
    <cellStyle name="標準 2 2 2 2 3 2" xfId="2727" xr:uid="{755F5C54-EBAF-4A04-AF35-7BA349F5BA60}"/>
    <cellStyle name="標準 2 2 2 2 4" xfId="2728" xr:uid="{1F77D2F8-4D5F-4327-86BC-720D091035CF}"/>
    <cellStyle name="標準 2 2 2 3" xfId="1221" xr:uid="{00000000-0005-0000-0000-0000E8040000}"/>
    <cellStyle name="標準 2 2 2 3 2" xfId="2729" xr:uid="{221315B5-2E7A-4319-91CA-F48EE0451061}"/>
    <cellStyle name="標準 2 2 2 3 3" xfId="2730" xr:uid="{BF669981-AA2B-4EBF-80B7-F4DF5A1B4B76}"/>
    <cellStyle name="標準 2 2 3" xfId="1222" xr:uid="{00000000-0005-0000-0000-0000E9040000}"/>
    <cellStyle name="標準 2 2 3 2" xfId="1223" xr:uid="{00000000-0005-0000-0000-0000EA040000}"/>
    <cellStyle name="標準 2 2 3 3" xfId="1224" xr:uid="{00000000-0005-0000-0000-0000EB040000}"/>
    <cellStyle name="標準 2 2 3 3 2" xfId="2731" xr:uid="{2D35C617-6FF4-4919-8899-11479FB0E255}"/>
    <cellStyle name="標準 2 2 4" xfId="1225" xr:uid="{00000000-0005-0000-0000-0000EC040000}"/>
    <cellStyle name="標準 2 2 4 2" xfId="1226" xr:uid="{00000000-0005-0000-0000-0000ED040000}"/>
    <cellStyle name="標準 2 2 4 3" xfId="1227" xr:uid="{00000000-0005-0000-0000-0000EE040000}"/>
    <cellStyle name="標準 2 2 4 3 2" xfId="2732" xr:uid="{267A3123-6F4D-4D51-BCC9-B5C0E286396F}"/>
    <cellStyle name="標準 2 2 5" xfId="1228" xr:uid="{00000000-0005-0000-0000-0000EF040000}"/>
    <cellStyle name="標準 2 2 5 2" xfId="1229" xr:uid="{00000000-0005-0000-0000-0000F0040000}"/>
    <cellStyle name="標準 2 2 5 3" xfId="1230" xr:uid="{00000000-0005-0000-0000-0000F1040000}"/>
    <cellStyle name="標準 2 2 5 3 2" xfId="2733" xr:uid="{ECEC561C-3BF2-4506-88EB-7E71E779F3AA}"/>
    <cellStyle name="標準 2 2 5 4" xfId="1941" xr:uid="{00000000-0005-0000-0000-0000F2040000}"/>
    <cellStyle name="標準 2 2 6" xfId="1231" xr:uid="{00000000-0005-0000-0000-0000F3040000}"/>
    <cellStyle name="標準 2 2 6 2" xfId="1232" xr:uid="{00000000-0005-0000-0000-0000F4040000}"/>
    <cellStyle name="標準 2 2 6 3" xfId="1233" xr:uid="{00000000-0005-0000-0000-0000F5040000}"/>
    <cellStyle name="標準 2 2 7" xfId="1234" xr:uid="{00000000-0005-0000-0000-0000F6040000}"/>
    <cellStyle name="標準 2 2 8" xfId="1235" xr:uid="{00000000-0005-0000-0000-0000F7040000}"/>
    <cellStyle name="標準 2 2_(別紙1)参加者テスト仕様書(JPN)_ver1.81" xfId="1236" xr:uid="{00000000-0005-0000-0000-0000F8040000}"/>
    <cellStyle name="標準 2 3" xfId="13" xr:uid="{00000000-0005-0000-0000-0000F9040000}"/>
    <cellStyle name="標準 2 3 2" xfId="1237" xr:uid="{00000000-0005-0000-0000-0000FA040000}"/>
    <cellStyle name="標準 2 3 2 2" xfId="1238" xr:uid="{00000000-0005-0000-0000-0000FB040000}"/>
    <cellStyle name="標準 2 3 2 3" xfId="2734" xr:uid="{E58574A9-23D4-468C-939A-1C49CD26B56D}"/>
    <cellStyle name="標準 2 3 3" xfId="1239" xr:uid="{00000000-0005-0000-0000-0000FC040000}"/>
    <cellStyle name="標準 2 3 3 2" xfId="1240" xr:uid="{00000000-0005-0000-0000-0000FD040000}"/>
    <cellStyle name="標準 2 3 3 3" xfId="1241" xr:uid="{00000000-0005-0000-0000-0000FE040000}"/>
    <cellStyle name="標準 2 3 3 4" xfId="2735" xr:uid="{45F51A6F-620B-4543-BAE7-3FEBF9E850DD}"/>
    <cellStyle name="標準 2 3 4" xfId="1242" xr:uid="{00000000-0005-0000-0000-0000FF040000}"/>
    <cellStyle name="標準 2 3 5" xfId="2736" xr:uid="{B6825965-861A-437D-940B-1F6A69927D7B}"/>
    <cellStyle name="標準 2 3 6" xfId="2737" xr:uid="{CD806A1E-334E-4DB9-A4F6-7A40FEBC0D9E}"/>
    <cellStyle name="標準 2 4" xfId="1243" xr:uid="{00000000-0005-0000-0000-000000050000}"/>
    <cellStyle name="標準 2 4 2" xfId="1244" xr:uid="{00000000-0005-0000-0000-000001050000}"/>
    <cellStyle name="標準 2 4 2 2" xfId="1245" xr:uid="{00000000-0005-0000-0000-000002050000}"/>
    <cellStyle name="標準 2 4 2 3" xfId="2738" xr:uid="{30EEA57F-F345-4FC7-947B-7BE52A066023}"/>
    <cellStyle name="標準 2 4 2 4" xfId="2739" xr:uid="{797FF0F0-2056-4DE3-ADF6-3146E7840655}"/>
    <cellStyle name="標準 2 4 2 5" xfId="2740" xr:uid="{672F0AD0-9024-419F-A7F8-F9E261FB212B}"/>
    <cellStyle name="標準 2 4 3" xfId="1246" xr:uid="{00000000-0005-0000-0000-000003050000}"/>
    <cellStyle name="標準 2 4 4" xfId="2741" xr:uid="{0371B2AB-29DD-493B-8098-7476E925E698}"/>
    <cellStyle name="標準 2 4 4 2" xfId="2742" xr:uid="{495D1DE2-2603-41EE-937B-47D2A7BB0B13}"/>
    <cellStyle name="標準 2 5" xfId="1247" xr:uid="{00000000-0005-0000-0000-000004050000}"/>
    <cellStyle name="標準 2 5 2" xfId="1248" xr:uid="{00000000-0005-0000-0000-000005050000}"/>
    <cellStyle name="標準 2 5 2 2" xfId="2743" xr:uid="{DD09F547-D0E1-418E-B2D1-C5947070E3D6}"/>
    <cellStyle name="標準 2 5 2 3" xfId="2744" xr:uid="{7655482F-330A-479F-9597-65402D14EA0E}"/>
    <cellStyle name="標準 2 5 2 4" xfId="2745" xr:uid="{95742BFD-85A7-4E87-8C71-894D60D7D561}"/>
    <cellStyle name="標準 2 5 3" xfId="1249" xr:uid="{00000000-0005-0000-0000-000006050000}"/>
    <cellStyle name="標準 2 5 4" xfId="2746" xr:uid="{E3DC1902-DFE9-45CF-BF60-29FE5B642FEF}"/>
    <cellStyle name="標準 2 6" xfId="1250" xr:uid="{00000000-0005-0000-0000-000007050000}"/>
    <cellStyle name="標準 2 6 2" xfId="1251" xr:uid="{00000000-0005-0000-0000-000008050000}"/>
    <cellStyle name="標準 2 6 2 2" xfId="2747" xr:uid="{F7E26B3A-25CE-4459-9559-9E318C81D1D6}"/>
    <cellStyle name="標準 2 6 2 3" xfId="2748" xr:uid="{670C9371-3626-4041-BCC2-80561516492C}"/>
    <cellStyle name="標準 2 6 2 4" xfId="2749" xr:uid="{C74187E1-9DA0-43B9-AEB5-49ED7B8C60D5}"/>
    <cellStyle name="標準 2 6 3" xfId="1252" xr:uid="{00000000-0005-0000-0000-000009050000}"/>
    <cellStyle name="標準 2 6 4" xfId="1253" xr:uid="{00000000-0005-0000-0000-00000A050000}"/>
    <cellStyle name="標準 2 6 4 2" xfId="2750" xr:uid="{8A79F835-F001-4EE8-AF05-3AF975CFA8A3}"/>
    <cellStyle name="標準 2 6 5" xfId="2751" xr:uid="{3130566E-DB41-444F-B8EE-FCC881DA09FA}"/>
    <cellStyle name="標準 2 7" xfId="1254" xr:uid="{00000000-0005-0000-0000-00000B050000}"/>
    <cellStyle name="標準 2 7 2" xfId="1255" xr:uid="{00000000-0005-0000-0000-00000C050000}"/>
    <cellStyle name="標準 2 7 2 2" xfId="2752" xr:uid="{44D81AE6-4442-441B-84F7-F8BE7F7A0EDC}"/>
    <cellStyle name="標準 2 7 2 3" xfId="2753" xr:uid="{8996B3B4-CEF5-42D7-8966-CA8D8F15C43C}"/>
    <cellStyle name="標準 2 7 2 4" xfId="2754" xr:uid="{AE24E6FC-A5BF-4F85-9E56-906637F07CBC}"/>
    <cellStyle name="標準 2 7 3" xfId="2755" xr:uid="{3BE4ADD9-9A18-40BB-92A2-113EEE804667}"/>
    <cellStyle name="標準 2 8" xfId="1256" xr:uid="{00000000-0005-0000-0000-00000D050000}"/>
    <cellStyle name="標準 2 8 2" xfId="1257" xr:uid="{00000000-0005-0000-0000-00000E050000}"/>
    <cellStyle name="標準 2 8 3" xfId="2756" xr:uid="{9FA9CE48-9B56-4695-8559-D8E93EA236C0}"/>
    <cellStyle name="標準 2 8 4" xfId="2757" xr:uid="{6C066A29-9109-4594-A79C-58CD37B9FCEE}"/>
    <cellStyle name="標準 2 9" xfId="1258" xr:uid="{00000000-0005-0000-0000-00000F050000}"/>
    <cellStyle name="標準 2_(別紙1)参加者テスト仕様書(JPN)_ver1.81" xfId="1259" xr:uid="{00000000-0005-0000-0000-000010050000}"/>
    <cellStyle name="標準 20" xfId="1260" xr:uid="{00000000-0005-0000-0000-000011050000}"/>
    <cellStyle name="標準 20 2" xfId="1261" xr:uid="{00000000-0005-0000-0000-000012050000}"/>
    <cellStyle name="標準 20 3" xfId="1262" xr:uid="{00000000-0005-0000-0000-000013050000}"/>
    <cellStyle name="標準 20 4" xfId="1263" xr:uid="{00000000-0005-0000-0000-000014050000}"/>
    <cellStyle name="標準 20 5" xfId="1264" xr:uid="{00000000-0005-0000-0000-000015050000}"/>
    <cellStyle name="標準 20 5 2" xfId="2758" xr:uid="{EEF02D51-526C-4218-B922-2168DF36C234}"/>
    <cellStyle name="標準 20 6" xfId="2759" xr:uid="{43D785CE-CFC2-4AB2-ACAA-EA77DB5A6DA4}"/>
    <cellStyle name="標準 21" xfId="1265" xr:uid="{00000000-0005-0000-0000-000016050000}"/>
    <cellStyle name="標準 21 2" xfId="1266" xr:uid="{00000000-0005-0000-0000-000017050000}"/>
    <cellStyle name="標準 21 2 2" xfId="1267" xr:uid="{00000000-0005-0000-0000-000018050000}"/>
    <cellStyle name="標準 21 2 2 2" xfId="2760" xr:uid="{4674528F-9714-476C-89FC-AD0AD65EE2E7}"/>
    <cellStyle name="標準 21 2 3" xfId="2761" xr:uid="{9FD55A3E-93E3-47DD-A3E7-C7EC019AB697}"/>
    <cellStyle name="標準 21 3" xfId="1268" xr:uid="{00000000-0005-0000-0000-000019050000}"/>
    <cellStyle name="標準 21 3 2" xfId="1269" xr:uid="{00000000-0005-0000-0000-00001A050000}"/>
    <cellStyle name="標準 21 3 2 2" xfId="2762" xr:uid="{EDCE8AF3-35A9-4398-B6EC-D69B66E1B788}"/>
    <cellStyle name="標準 21 3 3" xfId="2763" xr:uid="{5381D522-BD3C-4DFD-9D63-A91EB05DB6BC}"/>
    <cellStyle name="標準 21 4" xfId="1270" xr:uid="{00000000-0005-0000-0000-00001B050000}"/>
    <cellStyle name="標準 21 5" xfId="1271" xr:uid="{00000000-0005-0000-0000-00001C050000}"/>
    <cellStyle name="標準 21 5 2" xfId="2764" xr:uid="{1278888A-D623-4CEA-81F1-FF995B086A8F}"/>
    <cellStyle name="標準 21 6" xfId="2765" xr:uid="{61BFB228-BE1A-4030-8685-FBDF365F97AF}"/>
    <cellStyle name="標準 22" xfId="1272" xr:uid="{00000000-0005-0000-0000-00001D050000}"/>
    <cellStyle name="標準 22 2" xfId="1273" xr:uid="{00000000-0005-0000-0000-00001E050000}"/>
    <cellStyle name="標準 22 3" xfId="1274" xr:uid="{00000000-0005-0000-0000-00001F050000}"/>
    <cellStyle name="標準 23" xfId="1275" xr:uid="{00000000-0005-0000-0000-000020050000}"/>
    <cellStyle name="標準 23 2" xfId="1276" xr:uid="{00000000-0005-0000-0000-000021050000}"/>
    <cellStyle name="標準 23 3" xfId="1277" xr:uid="{00000000-0005-0000-0000-000022050000}"/>
    <cellStyle name="標準 24" xfId="1278" xr:uid="{00000000-0005-0000-0000-000023050000}"/>
    <cellStyle name="標準 24 2" xfId="1279" xr:uid="{00000000-0005-0000-0000-000024050000}"/>
    <cellStyle name="標準 24 3" xfId="1280" xr:uid="{00000000-0005-0000-0000-000025050000}"/>
    <cellStyle name="標準 24 3 2" xfId="2766" xr:uid="{BEDD5484-FFBF-4B5C-8914-86BF6E22BCAB}"/>
    <cellStyle name="標準 25" xfId="1281" xr:uid="{00000000-0005-0000-0000-000026050000}"/>
    <cellStyle name="標準 25 2" xfId="2767" xr:uid="{BC7D5F9A-7B28-4342-83C4-5E44FC8EC45C}"/>
    <cellStyle name="標準 26" xfId="1282" xr:uid="{00000000-0005-0000-0000-000027050000}"/>
    <cellStyle name="標準 26 2" xfId="2768" xr:uid="{38E01C3A-62AD-4D4F-8468-25B9A24D6BD4}"/>
    <cellStyle name="標準 26 3" xfId="2769" xr:uid="{EECFA79D-ECDA-4F9A-BB7C-5359BACC252A}"/>
    <cellStyle name="標準 27" xfId="1283" xr:uid="{00000000-0005-0000-0000-000028050000}"/>
    <cellStyle name="標準 27 2" xfId="2770" xr:uid="{7039029E-DBE7-4924-BA4B-9B4C37ACF49B}"/>
    <cellStyle name="標準 27 3" xfId="2771" xr:uid="{1B783E25-7BF0-4343-A460-A34B9774AADD}"/>
    <cellStyle name="標準 27 4" xfId="2772" xr:uid="{21428103-CBB9-41F8-92DD-D1DCAEC946EF}"/>
    <cellStyle name="標準 28" xfId="1284" xr:uid="{00000000-0005-0000-0000-000029050000}"/>
    <cellStyle name="標準 28 2" xfId="2773" xr:uid="{B9A7E026-2769-4B7F-81AD-12FC36E5E028}"/>
    <cellStyle name="標準 28 3" xfId="2774" xr:uid="{6AC96F0E-5C85-4003-AF25-CD56DFA4A90A}"/>
    <cellStyle name="標準 29" xfId="1285" xr:uid="{00000000-0005-0000-0000-00002A050000}"/>
    <cellStyle name="標準 29 2" xfId="2775" xr:uid="{666CCDD8-B586-45DD-A2D4-C8AEA79BC846}"/>
    <cellStyle name="標準 3" xfId="11" xr:uid="{00000000-0005-0000-0000-00002B050000}"/>
    <cellStyle name="標準 3 10" xfId="1286" xr:uid="{00000000-0005-0000-0000-00002C050000}"/>
    <cellStyle name="標準 3 11" xfId="1287" xr:uid="{00000000-0005-0000-0000-00002D050000}"/>
    <cellStyle name="標準 3 2" xfId="1288" xr:uid="{00000000-0005-0000-0000-00002E050000}"/>
    <cellStyle name="標準 3 2 2" xfId="1289" xr:uid="{00000000-0005-0000-0000-00002F050000}"/>
    <cellStyle name="標準 3 2 2 2" xfId="1290" xr:uid="{00000000-0005-0000-0000-000030050000}"/>
    <cellStyle name="標準 3 2 2 2 2" xfId="2776" xr:uid="{D9D0D7A6-C31F-4C15-BEE7-152991606E77}"/>
    <cellStyle name="標準 3 2 2 2 3" xfId="2777" xr:uid="{C86AC60A-D5EC-434D-B001-C27B6E31AD0C}"/>
    <cellStyle name="標準 3 2 2 2 4" xfId="2778" xr:uid="{044C1E33-C7E8-4E71-81D6-5DCC3B3F5D4D}"/>
    <cellStyle name="標準 3 2 2 2 5" xfId="2779" xr:uid="{1157B49D-55EC-40BF-9E37-F1FF19E73976}"/>
    <cellStyle name="標準 3 2 2 3" xfId="1291" xr:uid="{00000000-0005-0000-0000-000031050000}"/>
    <cellStyle name="標準 3 2 2 4" xfId="2780" xr:uid="{4A356A16-17EA-4B78-BA8B-10C2AC7D5A3E}"/>
    <cellStyle name="標準 3 2 3" xfId="1292" xr:uid="{00000000-0005-0000-0000-000032050000}"/>
    <cellStyle name="標準 3 2 3 2" xfId="1293" xr:uid="{00000000-0005-0000-0000-000033050000}"/>
    <cellStyle name="標準 3 2 3 3" xfId="1294" xr:uid="{00000000-0005-0000-0000-000034050000}"/>
    <cellStyle name="標準 3 2 3 3 2" xfId="2781" xr:uid="{938AB4CB-F9D9-4210-90C7-A77AD2E7A87F}"/>
    <cellStyle name="標準 3 2 3 4" xfId="2782" xr:uid="{8FFE664D-2201-4589-897B-C2F7E51AC2B8}"/>
    <cellStyle name="標準 3 2 4" xfId="1295" xr:uid="{00000000-0005-0000-0000-000035050000}"/>
    <cellStyle name="標準 3 2 4 2" xfId="2783" xr:uid="{DB33D724-9679-40B2-89E7-6E8D64F05AE4}"/>
    <cellStyle name="標準 3 2 4 3" xfId="2784" xr:uid="{FCF9A66B-9D0C-4DB5-A581-AF26D735CA43}"/>
    <cellStyle name="標準 3 2 4 4" xfId="2785" xr:uid="{5A9F97F0-3EE6-430A-AB28-E264CB44383E}"/>
    <cellStyle name="標準 3 2 5" xfId="1296" xr:uid="{00000000-0005-0000-0000-000036050000}"/>
    <cellStyle name="標準 3 2 6" xfId="2786" xr:uid="{188F681C-28D9-4558-B72F-6D06B66C9107}"/>
    <cellStyle name="標準 3 2 7" xfId="2787" xr:uid="{F0055A86-97AA-479A-9839-DE5B9E5A8B34}"/>
    <cellStyle name="標準 3 3" xfId="1297" xr:uid="{00000000-0005-0000-0000-000037050000}"/>
    <cellStyle name="標準 3 4" xfId="1298" xr:uid="{00000000-0005-0000-0000-000038050000}"/>
    <cellStyle name="標準 3 4 2" xfId="1299" xr:uid="{00000000-0005-0000-0000-000039050000}"/>
    <cellStyle name="標準 3 4 2 2" xfId="2788" xr:uid="{DB38C4AA-A99D-41B1-989C-F34C9E367AAC}"/>
    <cellStyle name="標準 3 4 2 3" xfId="2789" xr:uid="{FB1163F8-9FD1-4657-84DF-9FBCEBB1842A}"/>
    <cellStyle name="標準 3 4 2 4" xfId="2790" xr:uid="{38AC6F7C-8620-4AF3-B049-37B5E9E727A8}"/>
    <cellStyle name="標準 3 4 3" xfId="1300" xr:uid="{00000000-0005-0000-0000-00003A050000}"/>
    <cellStyle name="標準 3 4 4" xfId="2791" xr:uid="{295844AB-64D7-439B-ADE1-AFD6D9027FE1}"/>
    <cellStyle name="標準 3 4 5" xfId="2792" xr:uid="{A8D30BDC-93D9-4330-91C7-CBE44C549BC3}"/>
    <cellStyle name="標準 3 5" xfId="1301" xr:uid="{00000000-0005-0000-0000-00003B050000}"/>
    <cellStyle name="標準 3 5 2" xfId="1302" xr:uid="{00000000-0005-0000-0000-00003C050000}"/>
    <cellStyle name="標準 3 5 3" xfId="1303" xr:uid="{00000000-0005-0000-0000-00003D050000}"/>
    <cellStyle name="標準 3 5 3 2" xfId="2793" xr:uid="{D6EE8BE3-8334-4595-9B4F-EC2CD88E3EE6}"/>
    <cellStyle name="標準 3 5 4" xfId="2794" xr:uid="{210715CF-6818-4A8B-A5C2-A318FF2AE204}"/>
    <cellStyle name="標準 3 6" xfId="1304" xr:uid="{00000000-0005-0000-0000-00003E050000}"/>
    <cellStyle name="標準 3 6 2" xfId="1305" xr:uid="{00000000-0005-0000-0000-00003F050000}"/>
    <cellStyle name="標準 3 6 2 2" xfId="2795" xr:uid="{FC6E4749-6B34-485F-8C2A-61F092AC4D76}"/>
    <cellStyle name="標準 3 7" xfId="1306" xr:uid="{00000000-0005-0000-0000-000040050000}"/>
    <cellStyle name="標準 3 7 2" xfId="2796" xr:uid="{9860C10F-9BA1-4882-99F1-3310D1ADA315}"/>
    <cellStyle name="標準 3 8" xfId="1307" xr:uid="{00000000-0005-0000-0000-000041050000}"/>
    <cellStyle name="標準 3 8 2" xfId="2797" xr:uid="{75A840F8-9813-4D6F-891E-188C814672EF}"/>
    <cellStyle name="標準 3 9" xfId="1308" xr:uid="{00000000-0005-0000-0000-000042050000}"/>
    <cellStyle name="標準 3 9 2" xfId="2798" xr:uid="{3E366199-EC98-4D10-87CD-21A7FAA37C75}"/>
    <cellStyle name="標準 3 9 3" xfId="2799" xr:uid="{48DD51E7-73B2-44F3-B58C-56D2733FBAB8}"/>
    <cellStyle name="標準 3_【Quick取得データ配信ツール(仮)】課題管理表（EUC）_20121210" xfId="1309" xr:uid="{00000000-0005-0000-0000-000043050000}"/>
    <cellStyle name="標準 30" xfId="1310" xr:uid="{00000000-0005-0000-0000-000044050000}"/>
    <cellStyle name="標準 30 2" xfId="2800" xr:uid="{F103A688-41F1-4CEB-93EE-B5E13B7E6C83}"/>
    <cellStyle name="標準 30 3" xfId="2801" xr:uid="{4AB0AD49-41D8-4932-BA19-E61A489AD448}"/>
    <cellStyle name="標準 31" xfId="1311" xr:uid="{00000000-0005-0000-0000-000045050000}"/>
    <cellStyle name="標準 31 2" xfId="1312" xr:uid="{00000000-0005-0000-0000-000046050000}"/>
    <cellStyle name="標準 31 2 2" xfId="2802" xr:uid="{E00D8451-ABC9-4F4E-AE1B-32B20F95B9FB}"/>
    <cellStyle name="標準 31 3" xfId="1313" xr:uid="{00000000-0005-0000-0000-000047050000}"/>
    <cellStyle name="標準 31 3 2" xfId="2803" xr:uid="{0B740DBB-B5CA-433F-AE3D-BDC3B80EAFB4}"/>
    <cellStyle name="標準 31 4" xfId="2804" xr:uid="{EFFCBC08-EDB4-4C53-B649-E1CD49474A72}"/>
    <cellStyle name="標準 32" xfId="1314" xr:uid="{00000000-0005-0000-0000-000048050000}"/>
    <cellStyle name="標準 32 2" xfId="1315" xr:uid="{00000000-0005-0000-0000-000049050000}"/>
    <cellStyle name="標準 32 3" xfId="1316" xr:uid="{00000000-0005-0000-0000-00004A050000}"/>
    <cellStyle name="標準 33" xfId="1317" xr:uid="{00000000-0005-0000-0000-00004B050000}"/>
    <cellStyle name="標準 33 2" xfId="1318" xr:uid="{00000000-0005-0000-0000-00004C050000}"/>
    <cellStyle name="標準 33 3" xfId="1319" xr:uid="{00000000-0005-0000-0000-00004D050000}"/>
    <cellStyle name="標準 34" xfId="1320" xr:uid="{00000000-0005-0000-0000-00004E050000}"/>
    <cellStyle name="標準 34 2" xfId="1321" xr:uid="{00000000-0005-0000-0000-00004F050000}"/>
    <cellStyle name="標準 34 3" xfId="1322" xr:uid="{00000000-0005-0000-0000-000050050000}"/>
    <cellStyle name="標準 35" xfId="1323" xr:uid="{00000000-0005-0000-0000-000051050000}"/>
    <cellStyle name="標準 35 2" xfId="1324" xr:uid="{00000000-0005-0000-0000-000052050000}"/>
    <cellStyle name="標準 35 3" xfId="1325" xr:uid="{00000000-0005-0000-0000-000053050000}"/>
    <cellStyle name="標準 36" xfId="1326" xr:uid="{00000000-0005-0000-0000-000054050000}"/>
    <cellStyle name="標準 36 2" xfId="1327" xr:uid="{00000000-0005-0000-0000-000055050000}"/>
    <cellStyle name="標準 36 3" xfId="1328" xr:uid="{00000000-0005-0000-0000-000056050000}"/>
    <cellStyle name="標準 37" xfId="1329" xr:uid="{00000000-0005-0000-0000-000057050000}"/>
    <cellStyle name="標準 37 2" xfId="1330" xr:uid="{00000000-0005-0000-0000-000058050000}"/>
    <cellStyle name="標準 37 3" xfId="1331" xr:uid="{00000000-0005-0000-0000-000059050000}"/>
    <cellStyle name="標準 38" xfId="1332" xr:uid="{00000000-0005-0000-0000-00005A050000}"/>
    <cellStyle name="標準 38 2" xfId="2805" xr:uid="{8B463D87-D31E-46A5-86BF-97CAF9037583}"/>
    <cellStyle name="標準 39" xfId="1333" xr:uid="{00000000-0005-0000-0000-00005B050000}"/>
    <cellStyle name="標準 39 2" xfId="1334" xr:uid="{00000000-0005-0000-0000-00005C050000}"/>
    <cellStyle name="標準 39 3" xfId="1335" xr:uid="{00000000-0005-0000-0000-00005D050000}"/>
    <cellStyle name="標準 4" xfId="16" xr:uid="{00000000-0005-0000-0000-00005E050000}"/>
    <cellStyle name="標準 4 10" xfId="1982" xr:uid="{65F5670D-ABF0-4EF0-9111-4433BA5CF4CB}"/>
    <cellStyle name="標準 4 11" xfId="2997" xr:uid="{67E42F7B-1E89-4673-A7F7-BC4B26B04990}"/>
    <cellStyle name="標準 4 2" xfId="1336" xr:uid="{00000000-0005-0000-0000-00005F050000}"/>
    <cellStyle name="標準 4 2 2" xfId="1337" xr:uid="{00000000-0005-0000-0000-000060050000}"/>
    <cellStyle name="標準 4 2 2 2" xfId="1338" xr:uid="{00000000-0005-0000-0000-000061050000}"/>
    <cellStyle name="標準 4 2 2 3" xfId="1339" xr:uid="{00000000-0005-0000-0000-000062050000}"/>
    <cellStyle name="標準 4 2 2 3 2" xfId="2806" xr:uid="{A683EBB2-DB4D-40C5-8656-AE74AAE219A4}"/>
    <cellStyle name="標準 4 2 3" xfId="1340" xr:uid="{00000000-0005-0000-0000-000063050000}"/>
    <cellStyle name="標準 4 2 3 2" xfId="2807" xr:uid="{1C59FAD8-7977-4618-9800-9C0722AEC204}"/>
    <cellStyle name="標準 4 2 3 3" xfId="2808" xr:uid="{F01B5910-05B6-4161-84AA-C358C78DB675}"/>
    <cellStyle name="標準 4 2 3 4" xfId="2809" xr:uid="{1094631E-BAFE-4D4B-A155-C6D9D39656E3}"/>
    <cellStyle name="標準 4 2 4" xfId="2810" xr:uid="{28A7C9E9-A343-461A-A0BE-8A8CE3FDCF51}"/>
    <cellStyle name="標準 4 3" xfId="1341" xr:uid="{00000000-0005-0000-0000-000064050000}"/>
    <cellStyle name="標準 4 3 2" xfId="1342" xr:uid="{00000000-0005-0000-0000-000065050000}"/>
    <cellStyle name="標準 4 3 3" xfId="1343" xr:uid="{00000000-0005-0000-0000-000066050000}"/>
    <cellStyle name="標準 4 4" xfId="1344" xr:uid="{00000000-0005-0000-0000-000067050000}"/>
    <cellStyle name="標準 4 4 2" xfId="1345" xr:uid="{00000000-0005-0000-0000-000068050000}"/>
    <cellStyle name="標準 4 4 2 2" xfId="2811" xr:uid="{9D2662AC-B7FD-4DEA-936D-94B334AEF7FA}"/>
    <cellStyle name="標準 4 4 2 3" xfId="2812" xr:uid="{77FE2CAE-09EA-4938-B8E3-07E1329173D2}"/>
    <cellStyle name="標準 4 4 3" xfId="1346" xr:uid="{00000000-0005-0000-0000-000069050000}"/>
    <cellStyle name="標準 4 4 4" xfId="2813" xr:uid="{A4FDE7EF-363E-44A2-8599-C4FCEFD419DB}"/>
    <cellStyle name="標準 4 5" xfId="1347" xr:uid="{00000000-0005-0000-0000-00006A050000}"/>
    <cellStyle name="標準 4 5 2" xfId="2814" xr:uid="{000A4F68-6AD8-4247-A581-E89FF9BC0F6D}"/>
    <cellStyle name="標準 4 5 3" xfId="2815" xr:uid="{4AEB6300-AF03-4D0B-A63B-2DFADE62B6A3}"/>
    <cellStyle name="標準 4 6" xfId="1348" xr:uid="{00000000-0005-0000-0000-00006B050000}"/>
    <cellStyle name="標準 4 7" xfId="2816" xr:uid="{A2B31902-7BBC-4DD4-8574-C4261F217D61}"/>
    <cellStyle name="標準 4 7 2" xfId="2817" xr:uid="{F855A8DC-9F83-48F7-AC6F-CF8E26E9823B}"/>
    <cellStyle name="標準 4 7 2 2" xfId="3065" xr:uid="{82FADF0A-8688-4853-BECE-B6450C6CDEF8}"/>
    <cellStyle name="標準 4 7 3" xfId="3064" xr:uid="{AAC572DF-73BB-4CB3-A30D-B7A1AFC95444}"/>
    <cellStyle name="標準 4 8" xfId="2818" xr:uid="{B76FF2EC-D8D2-4815-8A51-A81DBEB020F8}"/>
    <cellStyle name="標準 4 8 2" xfId="3066" xr:uid="{0D0BDA49-A869-4270-B38A-EFA7ADFA8BE3}"/>
    <cellStyle name="標準 4 9" xfId="2819" xr:uid="{CF213B3D-1531-4560-9933-80ECC8884A51}"/>
    <cellStyle name="標準 4 9 2" xfId="3067" xr:uid="{15C03198-F1BE-4ECF-B862-47A7CA64351B}"/>
    <cellStyle name="標準 4_20121011__1_F⇒O_【証拠金１本化】課題管理（清算）" xfId="1349" xr:uid="{00000000-0005-0000-0000-00006C050000}"/>
    <cellStyle name="標準 40" xfId="1350" xr:uid="{00000000-0005-0000-0000-00006D050000}"/>
    <cellStyle name="標準 40 2" xfId="2820" xr:uid="{1CC9E001-2567-414A-8DA6-E3A45093F246}"/>
    <cellStyle name="標準 41" xfId="1351" xr:uid="{00000000-0005-0000-0000-00006E050000}"/>
    <cellStyle name="標準 41 2" xfId="2821" xr:uid="{7DC5A09F-366B-4B76-A8D2-4E437AF9FDCC}"/>
    <cellStyle name="標準 41 3" xfId="2822" xr:uid="{08EA5808-13A5-4F50-9F50-13C66F49CF38}"/>
    <cellStyle name="標準 42" xfId="1352" xr:uid="{00000000-0005-0000-0000-00006F050000}"/>
    <cellStyle name="標準 42 2" xfId="2823" xr:uid="{D142A1EB-8C6B-4FEB-8A90-76A9C4A04D76}"/>
    <cellStyle name="標準 42 3" xfId="2824" xr:uid="{2B534633-A327-462D-9D47-C4FD4D3CFA01}"/>
    <cellStyle name="標準 43" xfId="1353" xr:uid="{00000000-0005-0000-0000-000070050000}"/>
    <cellStyle name="標準 43 2" xfId="2825" xr:uid="{B20A02D9-D4B9-46DE-B2DE-C20B07B90EA7}"/>
    <cellStyle name="標準 44" xfId="1354" xr:uid="{00000000-0005-0000-0000-000071050000}"/>
    <cellStyle name="標準 44 2" xfId="2826" xr:uid="{398444BE-307B-4CEF-A491-BE14333AC2B3}"/>
    <cellStyle name="標準 45" xfId="1355" xr:uid="{00000000-0005-0000-0000-000072050000}"/>
    <cellStyle name="標準 46" xfId="1356" xr:uid="{00000000-0005-0000-0000-000073050000}"/>
    <cellStyle name="標準 47" xfId="1357" xr:uid="{00000000-0005-0000-0000-000074050000}"/>
    <cellStyle name="標準 48" xfId="1358" xr:uid="{00000000-0005-0000-0000-000075050000}"/>
    <cellStyle name="標準 49" xfId="1359" xr:uid="{00000000-0005-0000-0000-000076050000}"/>
    <cellStyle name="標準 5" xfId="1360" xr:uid="{00000000-0005-0000-0000-000077050000}"/>
    <cellStyle name="標準 5 2" xfId="1361" xr:uid="{00000000-0005-0000-0000-000078050000}"/>
    <cellStyle name="標準 5 2 2" xfId="1362" xr:uid="{00000000-0005-0000-0000-000079050000}"/>
    <cellStyle name="標準 5 2 2 2" xfId="15" xr:uid="{00000000-0005-0000-0000-00007A050000}"/>
    <cellStyle name="標準 5 2 2 3" xfId="1363" xr:uid="{00000000-0005-0000-0000-00007B050000}"/>
    <cellStyle name="標準 5 2 2 3 2" xfId="2827" xr:uid="{76EB9957-B5EA-489E-899A-E6FBADED495A}"/>
    <cellStyle name="標準 5 2 3" xfId="1364" xr:uid="{00000000-0005-0000-0000-00007C050000}"/>
    <cellStyle name="標準 5 2 3 2" xfId="1365" xr:uid="{00000000-0005-0000-0000-00007D050000}"/>
    <cellStyle name="標準 5 2 3 3" xfId="1366" xr:uid="{00000000-0005-0000-0000-00007E050000}"/>
    <cellStyle name="標準 5 2 3 3 2" xfId="2828" xr:uid="{5DA4DDDB-F812-4358-9851-7A5DC2F27AB9}"/>
    <cellStyle name="標準 5 2 3 4" xfId="2829" xr:uid="{30907C03-F5FD-42CD-9112-AAB7991D7403}"/>
    <cellStyle name="標準 5 2 4" xfId="2830" xr:uid="{20C9C900-6840-4046-A0D1-4D46E17FE31C}"/>
    <cellStyle name="標準 5 3" xfId="1367" xr:uid="{00000000-0005-0000-0000-00007F050000}"/>
    <cellStyle name="標準 5 3 2" xfId="2831" xr:uid="{ADF62E2E-5000-49DF-84FB-9067AF2D17D3}"/>
    <cellStyle name="標準 5 4" xfId="1368" xr:uid="{00000000-0005-0000-0000-000080050000}"/>
    <cellStyle name="標準 5 4 2" xfId="1369" xr:uid="{00000000-0005-0000-0000-000081050000}"/>
    <cellStyle name="標準 5 4 3" xfId="2832" xr:uid="{C4B3CF64-A7D1-4F43-BA7D-26E8A4C4D3FD}"/>
    <cellStyle name="標準 5 4 4" xfId="2833" xr:uid="{222EB159-21EB-475F-BA4C-28C354386F5B}"/>
    <cellStyle name="標準 5 4 5" xfId="2834" xr:uid="{CA29058F-25BB-4673-92BD-3620877428CF}"/>
    <cellStyle name="標準 5 5" xfId="2835" xr:uid="{F37D0453-DFE7-4D05-8E21-CEA18BA4BA9B}"/>
    <cellStyle name="標準 5_バックアップセンタ_切替テストスケジュール_20120406~10" xfId="1370" xr:uid="{00000000-0005-0000-0000-000082050000}"/>
    <cellStyle name="標準 50" xfId="1371" xr:uid="{00000000-0005-0000-0000-000083050000}"/>
    <cellStyle name="標準 51" xfId="1372" xr:uid="{00000000-0005-0000-0000-000084050000}"/>
    <cellStyle name="標準 52" xfId="1373" xr:uid="{00000000-0005-0000-0000-000085050000}"/>
    <cellStyle name="標準 53" xfId="1374" xr:uid="{00000000-0005-0000-0000-000086050000}"/>
    <cellStyle name="標準 54" xfId="1375" xr:uid="{00000000-0005-0000-0000-000087050000}"/>
    <cellStyle name="標準 55" xfId="1376" xr:uid="{00000000-0005-0000-0000-000088050000}"/>
    <cellStyle name="標準 56" xfId="1377" xr:uid="{00000000-0005-0000-0000-000089050000}"/>
    <cellStyle name="標準 57" xfId="1378" xr:uid="{00000000-0005-0000-0000-00008A050000}"/>
    <cellStyle name="標準 58" xfId="1379" xr:uid="{00000000-0005-0000-0000-00008B050000}"/>
    <cellStyle name="標準 59" xfId="1380" xr:uid="{00000000-0005-0000-0000-00008C050000}"/>
    <cellStyle name="標準 6" xfId="1381" xr:uid="{00000000-0005-0000-0000-00008D050000}"/>
    <cellStyle name="標準 6 2" xfId="1382" xr:uid="{00000000-0005-0000-0000-00008E050000}"/>
    <cellStyle name="標準 6 2 2" xfId="1383" xr:uid="{00000000-0005-0000-0000-00008F050000}"/>
    <cellStyle name="標準 6 2 3" xfId="1384" xr:uid="{00000000-0005-0000-0000-000090050000}"/>
    <cellStyle name="標準 6 2 4" xfId="1385" xr:uid="{00000000-0005-0000-0000-000091050000}"/>
    <cellStyle name="標準 6 2 4 2" xfId="2836" xr:uid="{8D5CE127-1240-4961-A5FC-2A4333CF20B8}"/>
    <cellStyle name="標準 6 3" xfId="1386" xr:uid="{00000000-0005-0000-0000-000092050000}"/>
    <cellStyle name="標準 6 4" xfId="2837" xr:uid="{4D139608-930E-4E37-8D41-540F8641E386}"/>
    <cellStyle name="標準 6_バックアップセンタ_切替テストスケジュール_20120406~10" xfId="1387" xr:uid="{00000000-0005-0000-0000-000093050000}"/>
    <cellStyle name="標準 60" xfId="1388" xr:uid="{00000000-0005-0000-0000-000094050000}"/>
    <cellStyle name="標準 61" xfId="1389" xr:uid="{00000000-0005-0000-0000-000095050000}"/>
    <cellStyle name="標準 62" xfId="1390" xr:uid="{00000000-0005-0000-0000-000096050000}"/>
    <cellStyle name="標準 63" xfId="1391" xr:uid="{00000000-0005-0000-0000-000097050000}"/>
    <cellStyle name="標準 64" xfId="1392" xr:uid="{00000000-0005-0000-0000-000098050000}"/>
    <cellStyle name="標準 65" xfId="1393" xr:uid="{00000000-0005-0000-0000-000099050000}"/>
    <cellStyle name="標準 66" xfId="1394" xr:uid="{00000000-0005-0000-0000-00009A050000}"/>
    <cellStyle name="標準 67" xfId="1395" xr:uid="{00000000-0005-0000-0000-00009B050000}"/>
    <cellStyle name="標準 68" xfId="1396" xr:uid="{00000000-0005-0000-0000-00009C050000}"/>
    <cellStyle name="標準 68 2" xfId="2838" xr:uid="{21FEA191-1EEF-47E9-BF05-A6C2B63EB296}"/>
    <cellStyle name="標準 68 3" xfId="2839" xr:uid="{F5285C77-5D4C-4592-A8CB-865D054E61E2}"/>
    <cellStyle name="標準 69" xfId="1397" xr:uid="{00000000-0005-0000-0000-00009D050000}"/>
    <cellStyle name="標準 69 2" xfId="1398" xr:uid="{00000000-0005-0000-0000-00009E050000}"/>
    <cellStyle name="標準 69 2 2" xfId="1399" xr:uid="{00000000-0005-0000-0000-00009F050000}"/>
    <cellStyle name="標準 69 2 2 2" xfId="1400" xr:uid="{00000000-0005-0000-0000-0000A0050000}"/>
    <cellStyle name="標準 69 2 2 2 2" xfId="2840" xr:uid="{80D6A9D1-F104-436E-AF73-E0C34E3B598B}"/>
    <cellStyle name="標準 69 2 2 3" xfId="1401" xr:uid="{00000000-0005-0000-0000-0000A1050000}"/>
    <cellStyle name="標準 69 2 2 4" xfId="1402" xr:uid="{00000000-0005-0000-0000-0000A2050000}"/>
    <cellStyle name="標準 69 2 3" xfId="1403" xr:uid="{00000000-0005-0000-0000-0000A3050000}"/>
    <cellStyle name="標準 69 2 3 2" xfId="2841" xr:uid="{09D4B9F7-776B-4318-B798-45A17B66A1AD}"/>
    <cellStyle name="標準 69 2 4" xfId="1404" xr:uid="{00000000-0005-0000-0000-0000A4050000}"/>
    <cellStyle name="標準 69 2 5" xfId="1405" xr:uid="{00000000-0005-0000-0000-0000A5050000}"/>
    <cellStyle name="標準 69 3" xfId="1406" xr:uid="{00000000-0005-0000-0000-0000A6050000}"/>
    <cellStyle name="標準 69 3 2" xfId="1407" xr:uid="{00000000-0005-0000-0000-0000A7050000}"/>
    <cellStyle name="標準 69 3 2 2" xfId="2842" xr:uid="{A3364AC9-EFFD-4724-8FD7-08088C12AED2}"/>
    <cellStyle name="標準 69 3 3" xfId="1408" xr:uid="{00000000-0005-0000-0000-0000A8050000}"/>
    <cellStyle name="標準 69 3 4" xfId="1409" xr:uid="{00000000-0005-0000-0000-0000A9050000}"/>
    <cellStyle name="標準 69 4" xfId="1410" xr:uid="{00000000-0005-0000-0000-0000AA050000}"/>
    <cellStyle name="標準 69 4 2" xfId="2843" xr:uid="{AF41048D-C0A3-45D9-8622-460981E72D80}"/>
    <cellStyle name="標準 69 5" xfId="1411" xr:uid="{00000000-0005-0000-0000-0000AB050000}"/>
    <cellStyle name="標準 69 6" xfId="1412" xr:uid="{00000000-0005-0000-0000-0000AC050000}"/>
    <cellStyle name="標準 69 7" xfId="1413" xr:uid="{00000000-0005-0000-0000-0000AD050000}"/>
    <cellStyle name="標準 69 8" xfId="1414" xr:uid="{00000000-0005-0000-0000-0000AE050000}"/>
    <cellStyle name="標準 7" xfId="1415" xr:uid="{00000000-0005-0000-0000-0000AF050000}"/>
    <cellStyle name="標準 7 2" xfId="1416" xr:uid="{00000000-0005-0000-0000-0000B0050000}"/>
    <cellStyle name="標準 7 2 2" xfId="1417" xr:uid="{00000000-0005-0000-0000-0000B1050000}"/>
    <cellStyle name="標準 7 2 3" xfId="1418" xr:uid="{00000000-0005-0000-0000-0000B2050000}"/>
    <cellStyle name="標準 7 2 3 2" xfId="2844" xr:uid="{35269FE8-70BD-4940-8B2C-2E9911FB3D36}"/>
    <cellStyle name="標準 7 3" xfId="1419" xr:uid="{00000000-0005-0000-0000-0000B3050000}"/>
    <cellStyle name="標準 7 3 2" xfId="1420" xr:uid="{00000000-0005-0000-0000-0000B4050000}"/>
    <cellStyle name="標準 7 3 3" xfId="1421" xr:uid="{00000000-0005-0000-0000-0000B5050000}"/>
    <cellStyle name="標準 7 3 3 2" xfId="2845" xr:uid="{38ECCB7F-4C56-44FD-B1ED-FD9C7CF75691}"/>
    <cellStyle name="標準 7 4" xfId="1422" xr:uid="{00000000-0005-0000-0000-0000B6050000}"/>
    <cellStyle name="標準 7 4 2" xfId="1423" xr:uid="{00000000-0005-0000-0000-0000B7050000}"/>
    <cellStyle name="標準 7 4 3" xfId="1424" xr:uid="{00000000-0005-0000-0000-0000B8050000}"/>
    <cellStyle name="標準 7 4 3 2" xfId="2846" xr:uid="{1B24E389-03D9-4972-8E1D-5D947AEFE00A}"/>
    <cellStyle name="標準 7 5" xfId="1425" xr:uid="{00000000-0005-0000-0000-0000B9050000}"/>
    <cellStyle name="標準 7 5 2" xfId="2847" xr:uid="{FB7A88B5-2084-47F8-8B04-3E41E4CE190A}"/>
    <cellStyle name="標準 7 5 3" xfId="2848" xr:uid="{785D8176-7068-4947-8C93-66D97D750280}"/>
    <cellStyle name="標準 70" xfId="1426" xr:uid="{00000000-0005-0000-0000-0000BA050000}"/>
    <cellStyle name="標準 70 2" xfId="1427" xr:uid="{00000000-0005-0000-0000-0000BB050000}"/>
    <cellStyle name="標準 70 2 2" xfId="1428" xr:uid="{00000000-0005-0000-0000-0000BC050000}"/>
    <cellStyle name="標準 70 2 2 2" xfId="1429" xr:uid="{00000000-0005-0000-0000-0000BD050000}"/>
    <cellStyle name="標準 70 2 2 2 2" xfId="2849" xr:uid="{578D5870-E054-4F3F-BB40-D1D58CC79806}"/>
    <cellStyle name="標準 70 2 2 3" xfId="1430" xr:uid="{00000000-0005-0000-0000-0000BE050000}"/>
    <cellStyle name="標準 70 2 2 4" xfId="1431" xr:uid="{00000000-0005-0000-0000-0000BF050000}"/>
    <cellStyle name="標準 70 2 3" xfId="1432" xr:uid="{00000000-0005-0000-0000-0000C0050000}"/>
    <cellStyle name="標準 70 2 3 2" xfId="2850" xr:uid="{8A80D2CA-FC03-4E73-B7C9-AC6363435BEB}"/>
    <cellStyle name="標準 70 2 4" xfId="1433" xr:uid="{00000000-0005-0000-0000-0000C1050000}"/>
    <cellStyle name="標準 70 2 5" xfId="1434" xr:uid="{00000000-0005-0000-0000-0000C2050000}"/>
    <cellStyle name="標準 70 3" xfId="1435" xr:uid="{00000000-0005-0000-0000-0000C3050000}"/>
    <cellStyle name="標準 70 3 2" xfId="1436" xr:uid="{00000000-0005-0000-0000-0000C4050000}"/>
    <cellStyle name="標準 70 3 2 2" xfId="2851" xr:uid="{AE250A77-4658-400B-AF2A-98341DDF9A97}"/>
    <cellStyle name="標準 70 3 3" xfId="1437" xr:uid="{00000000-0005-0000-0000-0000C5050000}"/>
    <cellStyle name="標準 70 3 4" xfId="1438" xr:uid="{00000000-0005-0000-0000-0000C6050000}"/>
    <cellStyle name="標準 70 4" xfId="1439" xr:uid="{00000000-0005-0000-0000-0000C7050000}"/>
    <cellStyle name="標準 70 4 2" xfId="2852" xr:uid="{5F02F4D2-24D7-4B50-B61A-1A48B4F25A72}"/>
    <cellStyle name="標準 70 5" xfId="1440" xr:uid="{00000000-0005-0000-0000-0000C8050000}"/>
    <cellStyle name="標準 70 6" xfId="1441" xr:uid="{00000000-0005-0000-0000-0000C9050000}"/>
    <cellStyle name="標準 70 7" xfId="1442" xr:uid="{00000000-0005-0000-0000-0000CA050000}"/>
    <cellStyle name="標準 70 8" xfId="1443" xr:uid="{00000000-0005-0000-0000-0000CB050000}"/>
    <cellStyle name="標準 71" xfId="1444" xr:uid="{00000000-0005-0000-0000-0000CC050000}"/>
    <cellStyle name="標準 71 2" xfId="1445" xr:uid="{00000000-0005-0000-0000-0000CD050000}"/>
    <cellStyle name="標準 71 2 2" xfId="1446" xr:uid="{00000000-0005-0000-0000-0000CE050000}"/>
    <cellStyle name="標準 71 2 2 2" xfId="1447" xr:uid="{00000000-0005-0000-0000-0000CF050000}"/>
    <cellStyle name="標準 71 2 2 2 2" xfId="2853" xr:uid="{221D95A5-BD3E-455F-9E0B-B3D29234D945}"/>
    <cellStyle name="標準 71 2 2 3" xfId="1448" xr:uid="{00000000-0005-0000-0000-0000D0050000}"/>
    <cellStyle name="標準 71 2 2 4" xfId="1449" xr:uid="{00000000-0005-0000-0000-0000D1050000}"/>
    <cellStyle name="標準 71 2 3" xfId="1450" xr:uid="{00000000-0005-0000-0000-0000D2050000}"/>
    <cellStyle name="標準 71 2 3 2" xfId="2854" xr:uid="{2F020132-0C29-4C60-B608-0B599D4774D3}"/>
    <cellStyle name="標準 71 2 4" xfId="1451" xr:uid="{00000000-0005-0000-0000-0000D3050000}"/>
    <cellStyle name="標準 71 2 5" xfId="1452" xr:uid="{00000000-0005-0000-0000-0000D4050000}"/>
    <cellStyle name="標準 71 3" xfId="1453" xr:uid="{00000000-0005-0000-0000-0000D5050000}"/>
    <cellStyle name="標準 71 3 2" xfId="1454" xr:uid="{00000000-0005-0000-0000-0000D6050000}"/>
    <cellStyle name="標準 71 3 2 2" xfId="2855" xr:uid="{2D7E026B-196F-44CB-92C1-686A5E8D253B}"/>
    <cellStyle name="標準 71 3 3" xfId="1455" xr:uid="{00000000-0005-0000-0000-0000D7050000}"/>
    <cellStyle name="標準 71 3 4" xfId="1456" xr:uid="{00000000-0005-0000-0000-0000D8050000}"/>
    <cellStyle name="標準 71 4" xfId="1457" xr:uid="{00000000-0005-0000-0000-0000D9050000}"/>
    <cellStyle name="標準 71 4 2" xfId="2856" xr:uid="{3FDDDE5C-90A8-485E-B8FE-5A11A4006E71}"/>
    <cellStyle name="標準 71 5" xfId="1458" xr:uid="{00000000-0005-0000-0000-0000DA050000}"/>
    <cellStyle name="標準 71 6" xfId="1459" xr:uid="{00000000-0005-0000-0000-0000DB050000}"/>
    <cellStyle name="標準 71 7" xfId="1460" xr:uid="{00000000-0005-0000-0000-0000DC050000}"/>
    <cellStyle name="標準 71 8" xfId="1461" xr:uid="{00000000-0005-0000-0000-0000DD050000}"/>
    <cellStyle name="標準 72" xfId="1462" xr:uid="{00000000-0005-0000-0000-0000DE050000}"/>
    <cellStyle name="標準 72 2" xfId="1463" xr:uid="{00000000-0005-0000-0000-0000DF050000}"/>
    <cellStyle name="標準 72 2 2" xfId="1464" xr:uid="{00000000-0005-0000-0000-0000E0050000}"/>
    <cellStyle name="標準 72 2 2 2" xfId="1465" xr:uid="{00000000-0005-0000-0000-0000E1050000}"/>
    <cellStyle name="標準 72 2 2 2 2" xfId="2857" xr:uid="{10282F79-723C-4914-B4E9-913D562538D3}"/>
    <cellStyle name="標準 72 2 2 3" xfId="1466" xr:uid="{00000000-0005-0000-0000-0000E2050000}"/>
    <cellStyle name="標準 72 2 2 4" xfId="1467" xr:uid="{00000000-0005-0000-0000-0000E3050000}"/>
    <cellStyle name="標準 72 2 3" xfId="1468" xr:uid="{00000000-0005-0000-0000-0000E4050000}"/>
    <cellStyle name="標準 72 2 3 2" xfId="2858" xr:uid="{670C7DED-DF50-41FF-9049-FCFD24D0578C}"/>
    <cellStyle name="標準 72 2 4" xfId="1469" xr:uid="{00000000-0005-0000-0000-0000E5050000}"/>
    <cellStyle name="標準 72 2 5" xfId="1470" xr:uid="{00000000-0005-0000-0000-0000E6050000}"/>
    <cellStyle name="標準 72 3" xfId="1471" xr:uid="{00000000-0005-0000-0000-0000E7050000}"/>
    <cellStyle name="標準 72 3 2" xfId="1472" xr:uid="{00000000-0005-0000-0000-0000E8050000}"/>
    <cellStyle name="標準 72 3 2 2" xfId="2859" xr:uid="{507B8E25-F4A4-416A-8544-6F7DDE17B17A}"/>
    <cellStyle name="標準 72 3 3" xfId="1473" xr:uid="{00000000-0005-0000-0000-0000E9050000}"/>
    <cellStyle name="標準 72 3 4" xfId="1474" xr:uid="{00000000-0005-0000-0000-0000EA050000}"/>
    <cellStyle name="標準 72 4" xfId="1475" xr:uid="{00000000-0005-0000-0000-0000EB050000}"/>
    <cellStyle name="標準 72 4 2" xfId="2860" xr:uid="{57CA07D7-ACE3-44E3-ADB0-B3D55551323D}"/>
    <cellStyle name="標準 72 5" xfId="1476" xr:uid="{00000000-0005-0000-0000-0000EC050000}"/>
    <cellStyle name="標準 72 6" xfId="1477" xr:uid="{00000000-0005-0000-0000-0000ED050000}"/>
    <cellStyle name="標準 72 7" xfId="1478" xr:uid="{00000000-0005-0000-0000-0000EE050000}"/>
    <cellStyle name="標準 72 8" xfId="1479" xr:uid="{00000000-0005-0000-0000-0000EF050000}"/>
    <cellStyle name="標準 73" xfId="1480" xr:uid="{00000000-0005-0000-0000-0000F0050000}"/>
    <cellStyle name="標準 73 2" xfId="1481" xr:uid="{00000000-0005-0000-0000-0000F1050000}"/>
    <cellStyle name="標準 73 2 2" xfId="1482" xr:uid="{00000000-0005-0000-0000-0000F2050000}"/>
    <cellStyle name="標準 73 2 2 2" xfId="1483" xr:uid="{00000000-0005-0000-0000-0000F3050000}"/>
    <cellStyle name="標準 73 2 2 2 2" xfId="2861" xr:uid="{36E01A5A-4274-46FB-8746-75E2CEDA1E62}"/>
    <cellStyle name="標準 73 2 2 3" xfId="1484" xr:uid="{00000000-0005-0000-0000-0000F4050000}"/>
    <cellStyle name="標準 73 2 2 4" xfId="1485" xr:uid="{00000000-0005-0000-0000-0000F5050000}"/>
    <cellStyle name="標準 73 2 3" xfId="1486" xr:uid="{00000000-0005-0000-0000-0000F6050000}"/>
    <cellStyle name="標準 73 2 3 2" xfId="2862" xr:uid="{6008553A-AF00-44F5-A4E0-BB43C66081AC}"/>
    <cellStyle name="標準 73 2 4" xfId="1487" xr:uid="{00000000-0005-0000-0000-0000F7050000}"/>
    <cellStyle name="標準 73 2 5" xfId="1488" xr:uid="{00000000-0005-0000-0000-0000F8050000}"/>
    <cellStyle name="標準 73 3" xfId="1489" xr:uid="{00000000-0005-0000-0000-0000F9050000}"/>
    <cellStyle name="標準 73 3 2" xfId="1490" xr:uid="{00000000-0005-0000-0000-0000FA050000}"/>
    <cellStyle name="標準 73 3 2 2" xfId="2863" xr:uid="{2BAB466C-83E0-4A7E-9DED-3AD5A6F1AE03}"/>
    <cellStyle name="標準 73 3 3" xfId="1491" xr:uid="{00000000-0005-0000-0000-0000FB050000}"/>
    <cellStyle name="標準 73 3 4" xfId="1492" xr:uid="{00000000-0005-0000-0000-0000FC050000}"/>
    <cellStyle name="標準 73 4" xfId="1493" xr:uid="{00000000-0005-0000-0000-0000FD050000}"/>
    <cellStyle name="標準 73 4 2" xfId="2864" xr:uid="{494B5C00-C08D-4E3A-A39B-1F8B28A85F20}"/>
    <cellStyle name="標準 73 5" xfId="1494" xr:uid="{00000000-0005-0000-0000-0000FE050000}"/>
    <cellStyle name="標準 73 6" xfId="1495" xr:uid="{00000000-0005-0000-0000-0000FF050000}"/>
    <cellStyle name="標準 74" xfId="1496" xr:uid="{00000000-0005-0000-0000-000000060000}"/>
    <cellStyle name="標準 74 2" xfId="1497" xr:uid="{00000000-0005-0000-0000-000001060000}"/>
    <cellStyle name="標準 74 2 2" xfId="1498" xr:uid="{00000000-0005-0000-0000-000002060000}"/>
    <cellStyle name="標準 74 2 2 2" xfId="1499" xr:uid="{00000000-0005-0000-0000-000003060000}"/>
    <cellStyle name="標準 74 2 2 2 2" xfId="2865" xr:uid="{CB053F2D-95EA-4567-B01A-EC0038C9973B}"/>
    <cellStyle name="標準 74 2 2 3" xfId="1500" xr:uid="{00000000-0005-0000-0000-000004060000}"/>
    <cellStyle name="標準 74 2 2 4" xfId="1501" xr:uid="{00000000-0005-0000-0000-000005060000}"/>
    <cellStyle name="標準 74 2 3" xfId="1502" xr:uid="{00000000-0005-0000-0000-000006060000}"/>
    <cellStyle name="標準 74 2 3 2" xfId="2866" xr:uid="{9FB09ADA-E329-4ABE-B697-72D59F1C2429}"/>
    <cellStyle name="標準 74 2 4" xfId="1503" xr:uid="{00000000-0005-0000-0000-000007060000}"/>
    <cellStyle name="標準 74 2 5" xfId="1504" xr:uid="{00000000-0005-0000-0000-000008060000}"/>
    <cellStyle name="標準 74 3" xfId="1505" xr:uid="{00000000-0005-0000-0000-000009060000}"/>
    <cellStyle name="標準 74 3 2" xfId="1506" xr:uid="{00000000-0005-0000-0000-00000A060000}"/>
    <cellStyle name="標準 74 3 2 2" xfId="2867" xr:uid="{10DE87E0-7DE9-48C1-BA37-EED5DC86AB98}"/>
    <cellStyle name="標準 74 3 3" xfId="1507" xr:uid="{00000000-0005-0000-0000-00000B060000}"/>
    <cellStyle name="標準 74 3 4" xfId="1508" xr:uid="{00000000-0005-0000-0000-00000C060000}"/>
    <cellStyle name="標準 74 4" xfId="1509" xr:uid="{00000000-0005-0000-0000-00000D060000}"/>
    <cellStyle name="標準 74 4 2" xfId="2868" xr:uid="{1A4BBF4A-830D-4486-AA19-EE1BE12442BD}"/>
    <cellStyle name="標準 74 5" xfId="1510" xr:uid="{00000000-0005-0000-0000-00000E060000}"/>
    <cellStyle name="標準 74 6" xfId="1511" xr:uid="{00000000-0005-0000-0000-00000F060000}"/>
    <cellStyle name="標準 75" xfId="1512" xr:uid="{00000000-0005-0000-0000-000010060000}"/>
    <cellStyle name="標準 75 2" xfId="1513" xr:uid="{00000000-0005-0000-0000-000011060000}"/>
    <cellStyle name="標準 75 2 2" xfId="1514" xr:uid="{00000000-0005-0000-0000-000012060000}"/>
    <cellStyle name="標準 75 2 2 2" xfId="1515" xr:uid="{00000000-0005-0000-0000-000013060000}"/>
    <cellStyle name="標準 75 2 2 2 2" xfId="2869" xr:uid="{59C30741-D801-4341-B518-8C3CD11376F4}"/>
    <cellStyle name="標準 75 2 2 3" xfId="1516" xr:uid="{00000000-0005-0000-0000-000014060000}"/>
    <cellStyle name="標準 75 2 2 4" xfId="1517" xr:uid="{00000000-0005-0000-0000-000015060000}"/>
    <cellStyle name="標準 75 2 3" xfId="1518" xr:uid="{00000000-0005-0000-0000-000016060000}"/>
    <cellStyle name="標準 75 2 3 2" xfId="2870" xr:uid="{DAA9F5AD-AB71-4E74-96B3-92E54C12F73D}"/>
    <cellStyle name="標準 75 2 4" xfId="1519" xr:uid="{00000000-0005-0000-0000-000017060000}"/>
    <cellStyle name="標準 75 2 5" xfId="1520" xr:uid="{00000000-0005-0000-0000-000018060000}"/>
    <cellStyle name="標準 75 3" xfId="1521" xr:uid="{00000000-0005-0000-0000-000019060000}"/>
    <cellStyle name="標準 75 3 2" xfId="1522" xr:uid="{00000000-0005-0000-0000-00001A060000}"/>
    <cellStyle name="標準 75 3 2 2" xfId="2871" xr:uid="{84B2EF80-25DE-400C-9741-68363A8DB361}"/>
    <cellStyle name="標準 75 3 3" xfId="1523" xr:uid="{00000000-0005-0000-0000-00001B060000}"/>
    <cellStyle name="標準 75 3 4" xfId="1524" xr:uid="{00000000-0005-0000-0000-00001C060000}"/>
    <cellStyle name="標準 75 4" xfId="1525" xr:uid="{00000000-0005-0000-0000-00001D060000}"/>
    <cellStyle name="標準 75 4 2" xfId="2872" xr:uid="{01CBF182-11B1-483B-9C03-2A4B799AB0E0}"/>
    <cellStyle name="標準 75 5" xfId="1526" xr:uid="{00000000-0005-0000-0000-00001E060000}"/>
    <cellStyle name="標準 75 6" xfId="1527" xr:uid="{00000000-0005-0000-0000-00001F060000}"/>
    <cellStyle name="標準 76" xfId="1528" xr:uid="{00000000-0005-0000-0000-000020060000}"/>
    <cellStyle name="標準 76 2" xfId="1529" xr:uid="{00000000-0005-0000-0000-000021060000}"/>
    <cellStyle name="標準 76 2 2" xfId="1530" xr:uid="{00000000-0005-0000-0000-000022060000}"/>
    <cellStyle name="標準 76 2 2 2" xfId="1531" xr:uid="{00000000-0005-0000-0000-000023060000}"/>
    <cellStyle name="標準 76 2 2 2 2" xfId="2873" xr:uid="{5302F01B-DAF2-450B-9FCF-18684F8C2539}"/>
    <cellStyle name="標準 76 2 2 3" xfId="1532" xr:uid="{00000000-0005-0000-0000-000024060000}"/>
    <cellStyle name="標準 76 2 2 4" xfId="1533" xr:uid="{00000000-0005-0000-0000-000025060000}"/>
    <cellStyle name="標準 76 2 3" xfId="1534" xr:uid="{00000000-0005-0000-0000-000026060000}"/>
    <cellStyle name="標準 76 2 3 2" xfId="2874" xr:uid="{5998FD1E-7860-4902-8894-921C11BC7643}"/>
    <cellStyle name="標準 76 2 4" xfId="1535" xr:uid="{00000000-0005-0000-0000-000027060000}"/>
    <cellStyle name="標準 76 2 5" xfId="1536" xr:uid="{00000000-0005-0000-0000-000028060000}"/>
    <cellStyle name="標準 76 3" xfId="1537" xr:uid="{00000000-0005-0000-0000-000029060000}"/>
    <cellStyle name="標準 76 3 2" xfId="1538" xr:uid="{00000000-0005-0000-0000-00002A060000}"/>
    <cellStyle name="標準 76 3 2 2" xfId="2875" xr:uid="{6582AC0A-97E8-4C1E-9270-6708C683C496}"/>
    <cellStyle name="標準 76 3 3" xfId="1539" xr:uid="{00000000-0005-0000-0000-00002B060000}"/>
    <cellStyle name="標準 76 3 4" xfId="1540" xr:uid="{00000000-0005-0000-0000-00002C060000}"/>
    <cellStyle name="標準 76 4" xfId="1541" xr:uid="{00000000-0005-0000-0000-00002D060000}"/>
    <cellStyle name="標準 76 4 2" xfId="2876" xr:uid="{F94280CA-EBDC-4D3B-B8C2-09409A12A3DD}"/>
    <cellStyle name="標準 76 5" xfId="1542" xr:uid="{00000000-0005-0000-0000-00002E060000}"/>
    <cellStyle name="標準 76 6" xfId="1543" xr:uid="{00000000-0005-0000-0000-00002F060000}"/>
    <cellStyle name="標準 77" xfId="1544" xr:uid="{00000000-0005-0000-0000-000030060000}"/>
    <cellStyle name="標準 77 2" xfId="1545" xr:uid="{00000000-0005-0000-0000-000031060000}"/>
    <cellStyle name="標準 77 2 2" xfId="1546" xr:uid="{00000000-0005-0000-0000-000032060000}"/>
    <cellStyle name="標準 77 2 2 2" xfId="1547" xr:uid="{00000000-0005-0000-0000-000033060000}"/>
    <cellStyle name="標準 77 2 2 2 2" xfId="2877" xr:uid="{708F31FF-4539-4A2C-A9E9-BF1A1331397C}"/>
    <cellStyle name="標準 77 2 2 3" xfId="1548" xr:uid="{00000000-0005-0000-0000-000034060000}"/>
    <cellStyle name="標準 77 2 2 4" xfId="1549" xr:uid="{00000000-0005-0000-0000-000035060000}"/>
    <cellStyle name="標準 77 2 3" xfId="1550" xr:uid="{00000000-0005-0000-0000-000036060000}"/>
    <cellStyle name="標準 77 2 3 2" xfId="2878" xr:uid="{1D7D9AAF-19CD-42B7-86A7-4507657D79AF}"/>
    <cellStyle name="標準 77 2 4" xfId="1551" xr:uid="{00000000-0005-0000-0000-000037060000}"/>
    <cellStyle name="標準 77 2 5" xfId="1552" xr:uid="{00000000-0005-0000-0000-000038060000}"/>
    <cellStyle name="標準 77 3" xfId="1553" xr:uid="{00000000-0005-0000-0000-000039060000}"/>
    <cellStyle name="標準 77 3 2" xfId="1554" xr:uid="{00000000-0005-0000-0000-00003A060000}"/>
    <cellStyle name="標準 77 3 2 2" xfId="2879" xr:uid="{C29B37EE-1FF9-45AA-ADAD-7EA6B31C0BB4}"/>
    <cellStyle name="標準 77 3 3" xfId="1555" xr:uid="{00000000-0005-0000-0000-00003B060000}"/>
    <cellStyle name="標準 77 3 4" xfId="1556" xr:uid="{00000000-0005-0000-0000-00003C060000}"/>
    <cellStyle name="標準 77 4" xfId="1557" xr:uid="{00000000-0005-0000-0000-00003D060000}"/>
    <cellStyle name="標準 77 4 2" xfId="2880" xr:uid="{4FB71A2D-76AC-4EC3-9217-DF6EAB110BFE}"/>
    <cellStyle name="標準 77 5" xfId="1558" xr:uid="{00000000-0005-0000-0000-00003E060000}"/>
    <cellStyle name="標準 77 6" xfId="1559" xr:uid="{00000000-0005-0000-0000-00003F060000}"/>
    <cellStyle name="標準 78" xfId="1560" xr:uid="{00000000-0005-0000-0000-000040060000}"/>
    <cellStyle name="標準 78 2" xfId="1561" xr:uid="{00000000-0005-0000-0000-000041060000}"/>
    <cellStyle name="標準 78 2 2" xfId="1562" xr:uid="{00000000-0005-0000-0000-000042060000}"/>
    <cellStyle name="標準 78 2 2 2" xfId="1563" xr:uid="{00000000-0005-0000-0000-000043060000}"/>
    <cellStyle name="標準 78 2 2 2 2" xfId="2881" xr:uid="{3198A4AC-5C8C-4D75-A11A-A1E101D5B1B7}"/>
    <cellStyle name="標準 78 2 2 3" xfId="1564" xr:uid="{00000000-0005-0000-0000-000044060000}"/>
    <cellStyle name="標準 78 2 2 4" xfId="1565" xr:uid="{00000000-0005-0000-0000-000045060000}"/>
    <cellStyle name="標準 78 2 3" xfId="1566" xr:uid="{00000000-0005-0000-0000-000046060000}"/>
    <cellStyle name="標準 78 2 3 2" xfId="2882" xr:uid="{86CBA42C-28C5-4B67-87D5-748AD54450DF}"/>
    <cellStyle name="標準 78 2 4" xfId="1567" xr:uid="{00000000-0005-0000-0000-000047060000}"/>
    <cellStyle name="標準 78 2 5" xfId="1568" xr:uid="{00000000-0005-0000-0000-000048060000}"/>
    <cellStyle name="標準 78 3" xfId="1569" xr:uid="{00000000-0005-0000-0000-000049060000}"/>
    <cellStyle name="標準 78 3 2" xfId="1570" xr:uid="{00000000-0005-0000-0000-00004A060000}"/>
    <cellStyle name="標準 78 3 2 2" xfId="2883" xr:uid="{89DA0A5B-C3FF-4711-891A-D98EF9305D54}"/>
    <cellStyle name="標準 78 3 3" xfId="1571" xr:uid="{00000000-0005-0000-0000-00004B060000}"/>
    <cellStyle name="標準 78 3 4" xfId="1572" xr:uid="{00000000-0005-0000-0000-00004C060000}"/>
    <cellStyle name="標準 78 4" xfId="1573" xr:uid="{00000000-0005-0000-0000-00004D060000}"/>
    <cellStyle name="標準 78 4 2" xfId="2884" xr:uid="{45FD3536-B901-4864-8199-1AAB120D3E5D}"/>
    <cellStyle name="標準 78 5" xfId="1574" xr:uid="{00000000-0005-0000-0000-00004E060000}"/>
    <cellStyle name="標準 78 6" xfId="1575" xr:uid="{00000000-0005-0000-0000-00004F060000}"/>
    <cellStyle name="標準 79" xfId="1576" xr:uid="{00000000-0005-0000-0000-000050060000}"/>
    <cellStyle name="標準 79 2" xfId="1577" xr:uid="{00000000-0005-0000-0000-000051060000}"/>
    <cellStyle name="標準 79 2 2" xfId="1578" xr:uid="{00000000-0005-0000-0000-000052060000}"/>
    <cellStyle name="標準 79 2 2 2" xfId="1579" xr:uid="{00000000-0005-0000-0000-000053060000}"/>
    <cellStyle name="標準 79 2 2 2 2" xfId="2885" xr:uid="{4A3107DD-26D6-40A3-854B-0EF31D130689}"/>
    <cellStyle name="標準 79 2 2 3" xfId="1580" xr:uid="{00000000-0005-0000-0000-000054060000}"/>
    <cellStyle name="標準 79 2 2 4" xfId="1581" xr:uid="{00000000-0005-0000-0000-000055060000}"/>
    <cellStyle name="標準 79 2 3" xfId="1582" xr:uid="{00000000-0005-0000-0000-000056060000}"/>
    <cellStyle name="標準 79 2 3 2" xfId="2886" xr:uid="{AFDDA0AD-380A-47D5-8E99-1B4C291EB4B6}"/>
    <cellStyle name="標準 79 2 4" xfId="1583" xr:uid="{00000000-0005-0000-0000-000057060000}"/>
    <cellStyle name="標準 79 2 5" xfId="1584" xr:uid="{00000000-0005-0000-0000-000058060000}"/>
    <cellStyle name="標準 79 3" xfId="1585" xr:uid="{00000000-0005-0000-0000-000059060000}"/>
    <cellStyle name="標準 79 3 2" xfId="1586" xr:uid="{00000000-0005-0000-0000-00005A060000}"/>
    <cellStyle name="標準 79 3 2 2" xfId="2887" xr:uid="{51F67FE7-271A-42D9-A66D-D9D37ED016D6}"/>
    <cellStyle name="標準 79 3 3" xfId="1587" xr:uid="{00000000-0005-0000-0000-00005B060000}"/>
    <cellStyle name="標準 79 3 4" xfId="1588" xr:uid="{00000000-0005-0000-0000-00005C060000}"/>
    <cellStyle name="標準 79 4" xfId="1589" xr:uid="{00000000-0005-0000-0000-00005D060000}"/>
    <cellStyle name="標準 79 4 2" xfId="2888" xr:uid="{5B9E5AB0-00B6-4ED7-AE8E-AF253C939AB2}"/>
    <cellStyle name="標準 79 5" xfId="1590" xr:uid="{00000000-0005-0000-0000-00005E060000}"/>
    <cellStyle name="標準 79 6" xfId="1591" xr:uid="{00000000-0005-0000-0000-00005F060000}"/>
    <cellStyle name="標準 8" xfId="1592" xr:uid="{00000000-0005-0000-0000-000060060000}"/>
    <cellStyle name="標準 8 2" xfId="1593" xr:uid="{00000000-0005-0000-0000-000061060000}"/>
    <cellStyle name="標準 8 2 2" xfId="2889" xr:uid="{EE94D3C1-922E-4D8C-9414-7277D0ED1C0F}"/>
    <cellStyle name="標準 8 2 3" xfId="2890" xr:uid="{2273BCA4-4274-4871-A2AF-7753860F58B3}"/>
    <cellStyle name="標準 8 2 4" xfId="2891" xr:uid="{C027F3FD-939D-47FE-95F9-1BA1DBC9830A}"/>
    <cellStyle name="標準 8 3" xfId="1594" xr:uid="{00000000-0005-0000-0000-000062060000}"/>
    <cellStyle name="標準 8 4" xfId="1595" xr:uid="{00000000-0005-0000-0000-000063060000}"/>
    <cellStyle name="標準 8 4 2" xfId="2892" xr:uid="{4538B47D-624D-493B-88B8-DC4FE03FB3A8}"/>
    <cellStyle name="標準 8 5" xfId="1596" xr:uid="{00000000-0005-0000-0000-000064060000}"/>
    <cellStyle name="標準 8 6" xfId="1597" xr:uid="{00000000-0005-0000-0000-000065060000}"/>
    <cellStyle name="標準 8 7" xfId="1942" xr:uid="{00000000-0005-0000-0000-000066060000}"/>
    <cellStyle name="標準 8 8" xfId="2893" xr:uid="{41D95DEE-6643-4BED-B9F4-862B381FD690}"/>
    <cellStyle name="標準 80" xfId="1598" xr:uid="{00000000-0005-0000-0000-000067060000}"/>
    <cellStyle name="標準 80 2" xfId="1599" xr:uid="{00000000-0005-0000-0000-000068060000}"/>
    <cellStyle name="標準 80 2 2" xfId="1600" xr:uid="{00000000-0005-0000-0000-000069060000}"/>
    <cellStyle name="標準 80 2 2 2" xfId="1601" xr:uid="{00000000-0005-0000-0000-00006A060000}"/>
    <cellStyle name="標準 80 2 2 2 2" xfId="2894" xr:uid="{9B21FC27-D087-4DF1-9F3F-42D9AB435F82}"/>
    <cellStyle name="標準 80 2 2 3" xfId="1602" xr:uid="{00000000-0005-0000-0000-00006B060000}"/>
    <cellStyle name="標準 80 2 2 4" xfId="1603" xr:uid="{00000000-0005-0000-0000-00006C060000}"/>
    <cellStyle name="標準 80 2 3" xfId="1604" xr:uid="{00000000-0005-0000-0000-00006D060000}"/>
    <cellStyle name="標準 80 2 3 2" xfId="2895" xr:uid="{6B0B8B2B-6B38-4F12-B87A-2BE96B7927DC}"/>
    <cellStyle name="標準 80 2 4" xfId="1605" xr:uid="{00000000-0005-0000-0000-00006E060000}"/>
    <cellStyle name="標準 80 2 5" xfId="1606" xr:uid="{00000000-0005-0000-0000-00006F060000}"/>
    <cellStyle name="標準 80 3" xfId="1607" xr:uid="{00000000-0005-0000-0000-000070060000}"/>
    <cellStyle name="標準 80 3 2" xfId="1608" xr:uid="{00000000-0005-0000-0000-000071060000}"/>
    <cellStyle name="標準 80 3 2 2" xfId="2896" xr:uid="{3F20980F-6DBB-433F-9C30-ABC08B060275}"/>
    <cellStyle name="標準 80 3 3" xfId="1609" xr:uid="{00000000-0005-0000-0000-000072060000}"/>
    <cellStyle name="標準 80 3 4" xfId="1610" xr:uid="{00000000-0005-0000-0000-000073060000}"/>
    <cellStyle name="標準 80 4" xfId="1611" xr:uid="{00000000-0005-0000-0000-000074060000}"/>
    <cellStyle name="標準 80 4 2" xfId="2897" xr:uid="{D7101AA6-D2F7-4F40-AB62-D208FBAB31C1}"/>
    <cellStyle name="標準 80 5" xfId="1612" xr:uid="{00000000-0005-0000-0000-000075060000}"/>
    <cellStyle name="標準 80 6" xfId="1613" xr:uid="{00000000-0005-0000-0000-000076060000}"/>
    <cellStyle name="標準 81" xfId="1614" xr:uid="{00000000-0005-0000-0000-000077060000}"/>
    <cellStyle name="標準 81 2" xfId="1615" xr:uid="{00000000-0005-0000-0000-000078060000}"/>
    <cellStyle name="標準 81 2 2" xfId="1616" xr:uid="{00000000-0005-0000-0000-000079060000}"/>
    <cellStyle name="標準 81 2 2 2" xfId="1617" xr:uid="{00000000-0005-0000-0000-00007A060000}"/>
    <cellStyle name="標準 81 2 2 2 2" xfId="2898" xr:uid="{8B468342-8BF7-47F8-A2DE-882B6585A437}"/>
    <cellStyle name="標準 81 2 2 3" xfId="1618" xr:uid="{00000000-0005-0000-0000-00007B060000}"/>
    <cellStyle name="標準 81 2 2 4" xfId="1619" xr:uid="{00000000-0005-0000-0000-00007C060000}"/>
    <cellStyle name="標準 81 2 3" xfId="1620" xr:uid="{00000000-0005-0000-0000-00007D060000}"/>
    <cellStyle name="標準 81 2 3 2" xfId="2899" xr:uid="{ED796E2B-4895-49CF-A54F-12935A77AB4C}"/>
    <cellStyle name="標準 81 2 4" xfId="1621" xr:uid="{00000000-0005-0000-0000-00007E060000}"/>
    <cellStyle name="標準 81 2 5" xfId="1622" xr:uid="{00000000-0005-0000-0000-00007F060000}"/>
    <cellStyle name="標準 81 3" xfId="1623" xr:uid="{00000000-0005-0000-0000-000080060000}"/>
    <cellStyle name="標準 81 3 2" xfId="1624" xr:uid="{00000000-0005-0000-0000-000081060000}"/>
    <cellStyle name="標準 81 3 2 2" xfId="2900" xr:uid="{38EE59FE-FB36-4D6E-BDBB-3AEEC73BD3FC}"/>
    <cellStyle name="標準 81 3 3" xfId="1625" xr:uid="{00000000-0005-0000-0000-000082060000}"/>
    <cellStyle name="標準 81 3 4" xfId="1626" xr:uid="{00000000-0005-0000-0000-000083060000}"/>
    <cellStyle name="標準 81 4" xfId="1627" xr:uid="{00000000-0005-0000-0000-000084060000}"/>
    <cellStyle name="標準 81 4 2" xfId="2901" xr:uid="{4F20104C-F405-4758-B3FE-AECAADCF8FC8}"/>
    <cellStyle name="標準 81 5" xfId="1628" xr:uid="{00000000-0005-0000-0000-000085060000}"/>
    <cellStyle name="標準 81 6" xfId="1629" xr:uid="{00000000-0005-0000-0000-000086060000}"/>
    <cellStyle name="標準 82" xfId="1630" xr:uid="{00000000-0005-0000-0000-000087060000}"/>
    <cellStyle name="標準 82 2" xfId="1631" xr:uid="{00000000-0005-0000-0000-000088060000}"/>
    <cellStyle name="標準 82 2 2" xfId="1632" xr:uid="{00000000-0005-0000-0000-000089060000}"/>
    <cellStyle name="標準 82 2 2 2" xfId="1633" xr:uid="{00000000-0005-0000-0000-00008A060000}"/>
    <cellStyle name="標準 82 2 2 2 2" xfId="2902" xr:uid="{0FF2F416-02AA-4E21-8B74-EE2016E44498}"/>
    <cellStyle name="標準 82 2 2 3" xfId="1634" xr:uid="{00000000-0005-0000-0000-00008B060000}"/>
    <cellStyle name="標準 82 2 2 4" xfId="1635" xr:uid="{00000000-0005-0000-0000-00008C060000}"/>
    <cellStyle name="標準 82 2 3" xfId="1636" xr:uid="{00000000-0005-0000-0000-00008D060000}"/>
    <cellStyle name="標準 82 2 3 2" xfId="2903" xr:uid="{658313CE-B07F-4625-B421-C47D3AE87EBD}"/>
    <cellStyle name="標準 82 2 4" xfId="1637" xr:uid="{00000000-0005-0000-0000-00008E060000}"/>
    <cellStyle name="標準 82 2 5" xfId="1638" xr:uid="{00000000-0005-0000-0000-00008F060000}"/>
    <cellStyle name="標準 82 3" xfId="1639" xr:uid="{00000000-0005-0000-0000-000090060000}"/>
    <cellStyle name="標準 82 3 2" xfId="1640" xr:uid="{00000000-0005-0000-0000-000091060000}"/>
    <cellStyle name="標準 82 3 2 2" xfId="2904" xr:uid="{2CB46895-00F2-4F61-9EDA-1A507163F85E}"/>
    <cellStyle name="標準 82 3 3" xfId="1641" xr:uid="{00000000-0005-0000-0000-000092060000}"/>
    <cellStyle name="標準 82 3 4" xfId="1642" xr:uid="{00000000-0005-0000-0000-000093060000}"/>
    <cellStyle name="標準 82 4" xfId="1643" xr:uid="{00000000-0005-0000-0000-000094060000}"/>
    <cellStyle name="標準 82 4 2" xfId="2905" xr:uid="{F855D09D-8F91-4CE1-87DC-882626DE17B6}"/>
    <cellStyle name="標準 82 5" xfId="1644" xr:uid="{00000000-0005-0000-0000-000095060000}"/>
    <cellStyle name="標準 82 6" xfId="1645" xr:uid="{00000000-0005-0000-0000-000096060000}"/>
    <cellStyle name="標準 83" xfId="1646" xr:uid="{00000000-0005-0000-0000-000097060000}"/>
    <cellStyle name="標準 83 2" xfId="1647" xr:uid="{00000000-0005-0000-0000-000098060000}"/>
    <cellStyle name="標準 83 2 2" xfId="1648" xr:uid="{00000000-0005-0000-0000-000099060000}"/>
    <cellStyle name="標準 83 2 2 2" xfId="1649" xr:uid="{00000000-0005-0000-0000-00009A060000}"/>
    <cellStyle name="標準 83 2 2 2 2" xfId="2906" xr:uid="{03449088-2463-43A5-9DAA-B265666CC14E}"/>
    <cellStyle name="標準 83 2 2 3" xfId="1650" xr:uid="{00000000-0005-0000-0000-00009B060000}"/>
    <cellStyle name="標準 83 2 2 4" xfId="1651" xr:uid="{00000000-0005-0000-0000-00009C060000}"/>
    <cellStyle name="標準 83 2 3" xfId="1652" xr:uid="{00000000-0005-0000-0000-00009D060000}"/>
    <cellStyle name="標準 83 2 3 2" xfId="2907" xr:uid="{C83127EB-5FC0-443F-8DCF-5944A77ACD4F}"/>
    <cellStyle name="標準 83 2 4" xfId="1653" xr:uid="{00000000-0005-0000-0000-00009E060000}"/>
    <cellStyle name="標準 83 2 5" xfId="1654" xr:uid="{00000000-0005-0000-0000-00009F060000}"/>
    <cellStyle name="標準 83 3" xfId="1655" xr:uid="{00000000-0005-0000-0000-0000A0060000}"/>
    <cellStyle name="標準 83 3 2" xfId="1656" xr:uid="{00000000-0005-0000-0000-0000A1060000}"/>
    <cellStyle name="標準 83 3 2 2" xfId="2908" xr:uid="{C5A445B7-C441-4078-A523-7EBAC2BA935C}"/>
    <cellStyle name="標準 83 3 3" xfId="1657" xr:uid="{00000000-0005-0000-0000-0000A2060000}"/>
    <cellStyle name="標準 83 3 4" xfId="1658" xr:uid="{00000000-0005-0000-0000-0000A3060000}"/>
    <cellStyle name="標準 83 4" xfId="1659" xr:uid="{00000000-0005-0000-0000-0000A4060000}"/>
    <cellStyle name="標準 83 4 2" xfId="2909" xr:uid="{CDFF721F-7D3D-4681-8920-9818D88CD8E8}"/>
    <cellStyle name="標準 83 5" xfId="1660" xr:uid="{00000000-0005-0000-0000-0000A5060000}"/>
    <cellStyle name="標準 83 6" xfId="1661" xr:uid="{00000000-0005-0000-0000-0000A6060000}"/>
    <cellStyle name="標準 84" xfId="1662" xr:uid="{00000000-0005-0000-0000-0000A7060000}"/>
    <cellStyle name="標準 84 2" xfId="1663" xr:uid="{00000000-0005-0000-0000-0000A8060000}"/>
    <cellStyle name="標準 84 2 2" xfId="1664" xr:uid="{00000000-0005-0000-0000-0000A9060000}"/>
    <cellStyle name="標準 84 2 2 2" xfId="1665" xr:uid="{00000000-0005-0000-0000-0000AA060000}"/>
    <cellStyle name="標準 84 2 2 2 2" xfId="2910" xr:uid="{AA071477-89B3-452A-8516-45D0295EA53D}"/>
    <cellStyle name="標準 84 2 2 3" xfId="1666" xr:uid="{00000000-0005-0000-0000-0000AB060000}"/>
    <cellStyle name="標準 84 2 2 4" xfId="1667" xr:uid="{00000000-0005-0000-0000-0000AC060000}"/>
    <cellStyle name="標準 84 2 3" xfId="1668" xr:uid="{00000000-0005-0000-0000-0000AD060000}"/>
    <cellStyle name="標準 84 2 3 2" xfId="2911" xr:uid="{74AF741A-0A61-42E0-9299-13332D75E504}"/>
    <cellStyle name="標準 84 2 4" xfId="1669" xr:uid="{00000000-0005-0000-0000-0000AE060000}"/>
    <cellStyle name="標準 84 2 5" xfId="1670" xr:uid="{00000000-0005-0000-0000-0000AF060000}"/>
    <cellStyle name="標準 84 3" xfId="1671" xr:uid="{00000000-0005-0000-0000-0000B0060000}"/>
    <cellStyle name="標準 84 3 2" xfId="1672" xr:uid="{00000000-0005-0000-0000-0000B1060000}"/>
    <cellStyle name="標準 84 3 2 2" xfId="2912" xr:uid="{ABF1A7DE-93A5-4BA3-B012-6B5146A9F131}"/>
    <cellStyle name="標準 84 3 3" xfId="1673" xr:uid="{00000000-0005-0000-0000-0000B2060000}"/>
    <cellStyle name="標準 84 3 4" xfId="1674" xr:uid="{00000000-0005-0000-0000-0000B3060000}"/>
    <cellStyle name="標準 84 4" xfId="1675" xr:uid="{00000000-0005-0000-0000-0000B4060000}"/>
    <cellStyle name="標準 84 4 2" xfId="2913" xr:uid="{6E30EF67-B243-47F0-A97C-62260567E653}"/>
    <cellStyle name="標準 84 5" xfId="1676" xr:uid="{00000000-0005-0000-0000-0000B5060000}"/>
    <cellStyle name="標準 84 6" xfId="1677" xr:uid="{00000000-0005-0000-0000-0000B6060000}"/>
    <cellStyle name="標準 85" xfId="1678" xr:uid="{00000000-0005-0000-0000-0000B7060000}"/>
    <cellStyle name="標準 85 2" xfId="1679" xr:uid="{00000000-0005-0000-0000-0000B8060000}"/>
    <cellStyle name="標準 85 2 2" xfId="1680" xr:uid="{00000000-0005-0000-0000-0000B9060000}"/>
    <cellStyle name="標準 85 2 2 2" xfId="1681" xr:uid="{00000000-0005-0000-0000-0000BA060000}"/>
    <cellStyle name="標準 85 2 2 2 2" xfId="2914" xr:uid="{4E35CFF7-66BF-49D3-A66E-933DA30FB0C9}"/>
    <cellStyle name="標準 85 2 2 3" xfId="1682" xr:uid="{00000000-0005-0000-0000-0000BB060000}"/>
    <cellStyle name="標準 85 2 2 4" xfId="1683" xr:uid="{00000000-0005-0000-0000-0000BC060000}"/>
    <cellStyle name="標準 85 2 3" xfId="1684" xr:uid="{00000000-0005-0000-0000-0000BD060000}"/>
    <cellStyle name="標準 85 2 3 2" xfId="2915" xr:uid="{4B1C109C-1BAB-4062-AB54-D8266F9874CE}"/>
    <cellStyle name="標準 85 2 4" xfId="1685" xr:uid="{00000000-0005-0000-0000-0000BE060000}"/>
    <cellStyle name="標準 85 2 5" xfId="1686" xr:uid="{00000000-0005-0000-0000-0000BF060000}"/>
    <cellStyle name="標準 85 3" xfId="1687" xr:uid="{00000000-0005-0000-0000-0000C0060000}"/>
    <cellStyle name="標準 85 3 2" xfId="1688" xr:uid="{00000000-0005-0000-0000-0000C1060000}"/>
    <cellStyle name="標準 85 3 2 2" xfId="2916" xr:uid="{B39F49D8-A28A-459C-9E21-558D3F68A65D}"/>
    <cellStyle name="標準 85 3 3" xfId="1689" xr:uid="{00000000-0005-0000-0000-0000C2060000}"/>
    <cellStyle name="標準 85 3 4" xfId="1690" xr:uid="{00000000-0005-0000-0000-0000C3060000}"/>
    <cellStyle name="標準 85 4" xfId="1691" xr:uid="{00000000-0005-0000-0000-0000C4060000}"/>
    <cellStyle name="標準 85 4 2" xfId="2917" xr:uid="{2000E336-8165-4657-A1F8-18A83202140B}"/>
    <cellStyle name="標準 85 5" xfId="1692" xr:uid="{00000000-0005-0000-0000-0000C5060000}"/>
    <cellStyle name="標準 85 6" xfId="1693" xr:uid="{00000000-0005-0000-0000-0000C6060000}"/>
    <cellStyle name="標準 86" xfId="1694" xr:uid="{00000000-0005-0000-0000-0000C7060000}"/>
    <cellStyle name="標準 86 2" xfId="1695" xr:uid="{00000000-0005-0000-0000-0000C8060000}"/>
    <cellStyle name="標準 86 2 2" xfId="1696" xr:uid="{00000000-0005-0000-0000-0000C9060000}"/>
    <cellStyle name="標準 86 2 2 2" xfId="1697" xr:uid="{00000000-0005-0000-0000-0000CA060000}"/>
    <cellStyle name="標準 86 2 2 2 2" xfId="2918" xr:uid="{58C70342-68B7-433C-B6DE-BC8CDB1B67CE}"/>
    <cellStyle name="標準 86 2 2 3" xfId="1698" xr:uid="{00000000-0005-0000-0000-0000CB060000}"/>
    <cellStyle name="標準 86 2 2 4" xfId="1699" xr:uid="{00000000-0005-0000-0000-0000CC060000}"/>
    <cellStyle name="標準 86 2 3" xfId="1700" xr:uid="{00000000-0005-0000-0000-0000CD060000}"/>
    <cellStyle name="標準 86 2 3 2" xfId="2919" xr:uid="{0B225045-5C1F-409C-A066-B229E3C68295}"/>
    <cellStyle name="標準 86 2 4" xfId="1701" xr:uid="{00000000-0005-0000-0000-0000CE060000}"/>
    <cellStyle name="標準 86 2 5" xfId="1702" xr:uid="{00000000-0005-0000-0000-0000CF060000}"/>
    <cellStyle name="標準 86 3" xfId="1703" xr:uid="{00000000-0005-0000-0000-0000D0060000}"/>
    <cellStyle name="標準 86 3 2" xfId="1704" xr:uid="{00000000-0005-0000-0000-0000D1060000}"/>
    <cellStyle name="標準 86 3 2 2" xfId="2920" xr:uid="{8BD80672-B6D1-4A45-BF1E-1556DDC4D3DF}"/>
    <cellStyle name="標準 86 3 3" xfId="1705" xr:uid="{00000000-0005-0000-0000-0000D2060000}"/>
    <cellStyle name="標準 86 3 4" xfId="1706" xr:uid="{00000000-0005-0000-0000-0000D3060000}"/>
    <cellStyle name="標準 86 4" xfId="1707" xr:uid="{00000000-0005-0000-0000-0000D4060000}"/>
    <cellStyle name="標準 86 4 2" xfId="2921" xr:uid="{701C1A36-CAEF-4A2E-BD25-02A92B568BEA}"/>
    <cellStyle name="標準 86 5" xfId="1708" xr:uid="{00000000-0005-0000-0000-0000D5060000}"/>
    <cellStyle name="標準 86 6" xfId="1709" xr:uid="{00000000-0005-0000-0000-0000D6060000}"/>
    <cellStyle name="標準 87" xfId="1710" xr:uid="{00000000-0005-0000-0000-0000D7060000}"/>
    <cellStyle name="標準 87 2" xfId="1711" xr:uid="{00000000-0005-0000-0000-0000D8060000}"/>
    <cellStyle name="標準 87 2 2" xfId="1712" xr:uid="{00000000-0005-0000-0000-0000D9060000}"/>
    <cellStyle name="標準 87 2 2 2" xfId="1713" xr:uid="{00000000-0005-0000-0000-0000DA060000}"/>
    <cellStyle name="標準 87 2 2 2 2" xfId="2922" xr:uid="{89B77299-218F-4426-9EB0-E22F23E4D97D}"/>
    <cellStyle name="標準 87 2 2 3" xfId="1714" xr:uid="{00000000-0005-0000-0000-0000DB060000}"/>
    <cellStyle name="標準 87 2 2 4" xfId="1715" xr:uid="{00000000-0005-0000-0000-0000DC060000}"/>
    <cellStyle name="標準 87 2 3" xfId="1716" xr:uid="{00000000-0005-0000-0000-0000DD060000}"/>
    <cellStyle name="標準 87 2 3 2" xfId="2923" xr:uid="{59DFC3C6-129E-47D0-AA49-2905C1FE2A16}"/>
    <cellStyle name="標準 87 2 4" xfId="1717" xr:uid="{00000000-0005-0000-0000-0000DE060000}"/>
    <cellStyle name="標準 87 2 5" xfId="1718" xr:uid="{00000000-0005-0000-0000-0000DF060000}"/>
    <cellStyle name="標準 87 3" xfId="1719" xr:uid="{00000000-0005-0000-0000-0000E0060000}"/>
    <cellStyle name="標準 87 3 2" xfId="1720" xr:uid="{00000000-0005-0000-0000-0000E1060000}"/>
    <cellStyle name="標準 87 3 2 2" xfId="2924" xr:uid="{F063E9F3-76CA-42C7-B6E0-56C1E452B7F5}"/>
    <cellStyle name="標準 87 3 3" xfId="1721" xr:uid="{00000000-0005-0000-0000-0000E2060000}"/>
    <cellStyle name="標準 87 3 4" xfId="1722" xr:uid="{00000000-0005-0000-0000-0000E3060000}"/>
    <cellStyle name="標準 87 4" xfId="1723" xr:uid="{00000000-0005-0000-0000-0000E4060000}"/>
    <cellStyle name="標準 87 4 2" xfId="2925" xr:uid="{FE2876EC-DF68-461D-B18D-9CFEF6B30DFD}"/>
    <cellStyle name="標準 87 5" xfId="1724" xr:uid="{00000000-0005-0000-0000-0000E5060000}"/>
    <cellStyle name="標準 87 6" xfId="1725" xr:uid="{00000000-0005-0000-0000-0000E6060000}"/>
    <cellStyle name="標準 88" xfId="1726" xr:uid="{00000000-0005-0000-0000-0000E7060000}"/>
    <cellStyle name="標準 88 2" xfId="1727" xr:uid="{00000000-0005-0000-0000-0000E8060000}"/>
    <cellStyle name="標準 88 2 2" xfId="1728" xr:uid="{00000000-0005-0000-0000-0000E9060000}"/>
    <cellStyle name="標準 88 2 2 2" xfId="1729" xr:uid="{00000000-0005-0000-0000-0000EA060000}"/>
    <cellStyle name="標準 88 2 2 2 2" xfId="2926" xr:uid="{5E11009A-806E-450F-A7C0-798355524829}"/>
    <cellStyle name="標準 88 2 2 3" xfId="1730" xr:uid="{00000000-0005-0000-0000-0000EB060000}"/>
    <cellStyle name="標準 88 2 2 4" xfId="1731" xr:uid="{00000000-0005-0000-0000-0000EC060000}"/>
    <cellStyle name="標準 88 2 3" xfId="1732" xr:uid="{00000000-0005-0000-0000-0000ED060000}"/>
    <cellStyle name="標準 88 2 3 2" xfId="2927" xr:uid="{4445BE8D-09E5-4D93-9E66-65F78163C58E}"/>
    <cellStyle name="標準 88 2 4" xfId="1733" xr:uid="{00000000-0005-0000-0000-0000EE060000}"/>
    <cellStyle name="標準 88 2 5" xfId="1734" xr:uid="{00000000-0005-0000-0000-0000EF060000}"/>
    <cellStyle name="標準 88 3" xfId="1735" xr:uid="{00000000-0005-0000-0000-0000F0060000}"/>
    <cellStyle name="標準 88 3 2" xfId="1736" xr:uid="{00000000-0005-0000-0000-0000F1060000}"/>
    <cellStyle name="標準 88 3 2 2" xfId="2928" xr:uid="{678036A0-7B59-4034-9E4A-5EC8BACD3614}"/>
    <cellStyle name="標準 88 3 3" xfId="1737" xr:uid="{00000000-0005-0000-0000-0000F2060000}"/>
    <cellStyle name="標準 88 3 4" xfId="1738" xr:uid="{00000000-0005-0000-0000-0000F3060000}"/>
    <cellStyle name="標準 88 4" xfId="1739" xr:uid="{00000000-0005-0000-0000-0000F4060000}"/>
    <cellStyle name="標準 88 4 2" xfId="2929" xr:uid="{066FFCE0-9074-4491-8889-C00966A6A050}"/>
    <cellStyle name="標準 88 5" xfId="1740" xr:uid="{00000000-0005-0000-0000-0000F5060000}"/>
    <cellStyle name="標準 88 6" xfId="1741" xr:uid="{00000000-0005-0000-0000-0000F6060000}"/>
    <cellStyle name="標準 89" xfId="1742" xr:uid="{00000000-0005-0000-0000-0000F7060000}"/>
    <cellStyle name="標準 89 2" xfId="1743" xr:uid="{00000000-0005-0000-0000-0000F8060000}"/>
    <cellStyle name="標準 89 2 2" xfId="1744" xr:uid="{00000000-0005-0000-0000-0000F9060000}"/>
    <cellStyle name="標準 89 2 2 2" xfId="1745" xr:uid="{00000000-0005-0000-0000-0000FA060000}"/>
    <cellStyle name="標準 89 2 2 2 2" xfId="2930" xr:uid="{6E0A9F80-B448-4C4F-A18A-89D2EA3DC552}"/>
    <cellStyle name="標準 89 2 2 3" xfId="1746" xr:uid="{00000000-0005-0000-0000-0000FB060000}"/>
    <cellStyle name="標準 89 2 2 4" xfId="1747" xr:uid="{00000000-0005-0000-0000-0000FC060000}"/>
    <cellStyle name="標準 89 2 3" xfId="1748" xr:uid="{00000000-0005-0000-0000-0000FD060000}"/>
    <cellStyle name="標準 89 2 3 2" xfId="2931" xr:uid="{78DF107B-A33E-4D66-863F-D1574B88D304}"/>
    <cellStyle name="標準 89 2 4" xfId="1749" xr:uid="{00000000-0005-0000-0000-0000FE060000}"/>
    <cellStyle name="標準 89 2 5" xfId="1750" xr:uid="{00000000-0005-0000-0000-0000FF060000}"/>
    <cellStyle name="標準 89 3" xfId="1751" xr:uid="{00000000-0005-0000-0000-000000070000}"/>
    <cellStyle name="標準 89 3 2" xfId="1752" xr:uid="{00000000-0005-0000-0000-000001070000}"/>
    <cellStyle name="標準 89 3 2 2" xfId="2932" xr:uid="{845C9DE8-2435-40CD-B2D5-7D272099305C}"/>
    <cellStyle name="標準 89 3 3" xfId="1753" xr:uid="{00000000-0005-0000-0000-000002070000}"/>
    <cellStyle name="標準 89 3 4" xfId="1754" xr:uid="{00000000-0005-0000-0000-000003070000}"/>
    <cellStyle name="標準 89 4" xfId="1755" xr:uid="{00000000-0005-0000-0000-000004070000}"/>
    <cellStyle name="標準 89 4 2" xfId="2933" xr:uid="{31366A1C-2F73-4D6A-A92B-DD3BC7697373}"/>
    <cellStyle name="標準 89 5" xfId="1756" xr:uid="{00000000-0005-0000-0000-000005070000}"/>
    <cellStyle name="標準 89 6" xfId="1757" xr:uid="{00000000-0005-0000-0000-000006070000}"/>
    <cellStyle name="標準 9" xfId="1758" xr:uid="{00000000-0005-0000-0000-000007070000}"/>
    <cellStyle name="標準 9 2" xfId="1759" xr:uid="{00000000-0005-0000-0000-000008070000}"/>
    <cellStyle name="標準 9 3" xfId="1760" xr:uid="{00000000-0005-0000-0000-000009070000}"/>
    <cellStyle name="標準 9 4" xfId="2934" xr:uid="{842A6A10-1879-47F9-8220-E929E491E983}"/>
    <cellStyle name="標準 9 5" xfId="2935" xr:uid="{60770012-B205-4515-B2A3-6E6FED75FAEF}"/>
    <cellStyle name="標準 90" xfId="1761" xr:uid="{00000000-0005-0000-0000-00000A070000}"/>
    <cellStyle name="標準 90 2" xfId="1762" xr:uid="{00000000-0005-0000-0000-00000B070000}"/>
    <cellStyle name="標準 90 2 2" xfId="1763" xr:uid="{00000000-0005-0000-0000-00000C070000}"/>
    <cellStyle name="標準 90 2 2 2" xfId="1764" xr:uid="{00000000-0005-0000-0000-00000D070000}"/>
    <cellStyle name="標準 90 2 2 2 2" xfId="2936" xr:uid="{9C8E8D93-BBDA-4BF1-9A12-928B2829D6ED}"/>
    <cellStyle name="標準 90 2 2 3" xfId="1765" xr:uid="{00000000-0005-0000-0000-00000E070000}"/>
    <cellStyle name="標準 90 2 2 4" xfId="1766" xr:uid="{00000000-0005-0000-0000-00000F070000}"/>
    <cellStyle name="標準 90 2 3" xfId="1767" xr:uid="{00000000-0005-0000-0000-000010070000}"/>
    <cellStyle name="標準 90 2 3 2" xfId="2937" xr:uid="{5C041ABA-7F8A-4A53-B5E3-3A472E1AFA6E}"/>
    <cellStyle name="標準 90 2 4" xfId="1768" xr:uid="{00000000-0005-0000-0000-000011070000}"/>
    <cellStyle name="標準 90 2 5" xfId="1769" xr:uid="{00000000-0005-0000-0000-000012070000}"/>
    <cellStyle name="標準 90 3" xfId="1770" xr:uid="{00000000-0005-0000-0000-000013070000}"/>
    <cellStyle name="標準 90 3 2" xfId="1771" xr:uid="{00000000-0005-0000-0000-000014070000}"/>
    <cellStyle name="標準 90 3 2 2" xfId="2938" xr:uid="{267AB287-B217-4DD3-9224-D6CAF272E8B2}"/>
    <cellStyle name="標準 90 3 3" xfId="1772" xr:uid="{00000000-0005-0000-0000-000015070000}"/>
    <cellStyle name="標準 90 3 4" xfId="1773" xr:uid="{00000000-0005-0000-0000-000016070000}"/>
    <cellStyle name="標準 90 4" xfId="1774" xr:uid="{00000000-0005-0000-0000-000017070000}"/>
    <cellStyle name="標準 90 4 2" xfId="2939" xr:uid="{474D71FB-6BB2-4E75-9529-9240A8680267}"/>
    <cellStyle name="標準 90 5" xfId="1775" xr:uid="{00000000-0005-0000-0000-000018070000}"/>
    <cellStyle name="標準 90 6" xfId="1776" xr:uid="{00000000-0005-0000-0000-000019070000}"/>
    <cellStyle name="標準 91" xfId="1777" xr:uid="{00000000-0005-0000-0000-00001A070000}"/>
    <cellStyle name="標準 91 2" xfId="1778" xr:uid="{00000000-0005-0000-0000-00001B070000}"/>
    <cellStyle name="標準 91 2 2" xfId="1779" xr:uid="{00000000-0005-0000-0000-00001C070000}"/>
    <cellStyle name="標準 91 2 2 2" xfId="1780" xr:uid="{00000000-0005-0000-0000-00001D070000}"/>
    <cellStyle name="標準 91 2 2 2 2" xfId="2940" xr:uid="{E76873D9-BDFD-4C1D-AB5E-5D7C8F1E0D96}"/>
    <cellStyle name="標準 91 2 2 3" xfId="1781" xr:uid="{00000000-0005-0000-0000-00001E070000}"/>
    <cellStyle name="標準 91 2 2 4" xfId="1782" xr:uid="{00000000-0005-0000-0000-00001F070000}"/>
    <cellStyle name="標準 91 2 3" xfId="1783" xr:uid="{00000000-0005-0000-0000-000020070000}"/>
    <cellStyle name="標準 91 2 3 2" xfId="2941" xr:uid="{EA6EE123-4739-458C-A8E2-092E4913753C}"/>
    <cellStyle name="標準 91 2 4" xfId="1784" xr:uid="{00000000-0005-0000-0000-000021070000}"/>
    <cellStyle name="標準 91 2 5" xfId="1785" xr:uid="{00000000-0005-0000-0000-000022070000}"/>
    <cellStyle name="標準 91 3" xfId="1786" xr:uid="{00000000-0005-0000-0000-000023070000}"/>
    <cellStyle name="標準 91 3 2" xfId="1787" xr:uid="{00000000-0005-0000-0000-000024070000}"/>
    <cellStyle name="標準 91 3 2 2" xfId="2942" xr:uid="{1CC97411-83AD-4224-9127-E44BD1EF930E}"/>
    <cellStyle name="標準 91 3 3" xfId="1788" xr:uid="{00000000-0005-0000-0000-000025070000}"/>
    <cellStyle name="標準 91 3 4" xfId="1789" xr:uid="{00000000-0005-0000-0000-000026070000}"/>
    <cellStyle name="標準 91 4" xfId="1790" xr:uid="{00000000-0005-0000-0000-000027070000}"/>
    <cellStyle name="標準 91 4 2" xfId="2943" xr:uid="{79640D83-90A2-4411-870C-145DCBC516F2}"/>
    <cellStyle name="標準 91 5" xfId="1791" xr:uid="{00000000-0005-0000-0000-000028070000}"/>
    <cellStyle name="標準 91 6" xfId="1792" xr:uid="{00000000-0005-0000-0000-000029070000}"/>
    <cellStyle name="標準 92" xfId="1793" xr:uid="{00000000-0005-0000-0000-00002A070000}"/>
    <cellStyle name="標準 92 2" xfId="1794" xr:uid="{00000000-0005-0000-0000-00002B070000}"/>
    <cellStyle name="標準 92 2 2" xfId="1795" xr:uid="{00000000-0005-0000-0000-00002C070000}"/>
    <cellStyle name="標準 92 2 2 2" xfId="1796" xr:uid="{00000000-0005-0000-0000-00002D070000}"/>
    <cellStyle name="標準 92 2 2 2 2" xfId="2944" xr:uid="{25F557FF-96F0-44DD-AC9A-481D87152E35}"/>
    <cellStyle name="標準 92 2 2 3" xfId="1797" xr:uid="{00000000-0005-0000-0000-00002E070000}"/>
    <cellStyle name="標準 92 2 2 4" xfId="1798" xr:uid="{00000000-0005-0000-0000-00002F070000}"/>
    <cellStyle name="標準 92 2 3" xfId="1799" xr:uid="{00000000-0005-0000-0000-000030070000}"/>
    <cellStyle name="標準 92 2 3 2" xfId="2945" xr:uid="{93854760-A5DB-4442-8920-7E4A88A516FF}"/>
    <cellStyle name="標準 92 2 4" xfId="1800" xr:uid="{00000000-0005-0000-0000-000031070000}"/>
    <cellStyle name="標準 92 2 5" xfId="1801" xr:uid="{00000000-0005-0000-0000-000032070000}"/>
    <cellStyle name="標準 92 3" xfId="1802" xr:uid="{00000000-0005-0000-0000-000033070000}"/>
    <cellStyle name="標準 92 3 2" xfId="1803" xr:uid="{00000000-0005-0000-0000-000034070000}"/>
    <cellStyle name="標準 92 3 2 2" xfId="2946" xr:uid="{BB9D5A16-9A16-4D7D-AA5D-BBFD12C14073}"/>
    <cellStyle name="標準 92 3 3" xfId="1804" xr:uid="{00000000-0005-0000-0000-000035070000}"/>
    <cellStyle name="標準 92 3 4" xfId="1805" xr:uid="{00000000-0005-0000-0000-000036070000}"/>
    <cellStyle name="標準 92 4" xfId="1806" xr:uid="{00000000-0005-0000-0000-000037070000}"/>
    <cellStyle name="標準 92 4 2" xfId="2947" xr:uid="{6163F635-9CF2-411C-8916-D3687E077B3E}"/>
    <cellStyle name="標準 92 5" xfId="1807" xr:uid="{00000000-0005-0000-0000-000038070000}"/>
    <cellStyle name="標準 92 6" xfId="1808" xr:uid="{00000000-0005-0000-0000-000039070000}"/>
    <cellStyle name="標準 93" xfId="1809" xr:uid="{00000000-0005-0000-0000-00003A070000}"/>
    <cellStyle name="標準 93 2" xfId="1810" xr:uid="{00000000-0005-0000-0000-00003B070000}"/>
    <cellStyle name="標準 93 2 2" xfId="1811" xr:uid="{00000000-0005-0000-0000-00003C070000}"/>
    <cellStyle name="標準 93 2 2 2" xfId="1812" xr:uid="{00000000-0005-0000-0000-00003D070000}"/>
    <cellStyle name="標準 93 2 2 2 2" xfId="2948" xr:uid="{EE7BFF2F-4B95-429A-8BBB-92FD96BAFF8C}"/>
    <cellStyle name="標準 93 2 2 3" xfId="1813" xr:uid="{00000000-0005-0000-0000-00003E070000}"/>
    <cellStyle name="標準 93 2 2 4" xfId="1814" xr:uid="{00000000-0005-0000-0000-00003F070000}"/>
    <cellStyle name="標準 93 2 3" xfId="1815" xr:uid="{00000000-0005-0000-0000-000040070000}"/>
    <cellStyle name="標準 93 2 3 2" xfId="2949" xr:uid="{FDD2B8C9-E751-4CB9-972F-CF6C26C52B10}"/>
    <cellStyle name="標準 93 2 4" xfId="1816" xr:uid="{00000000-0005-0000-0000-000041070000}"/>
    <cellStyle name="標準 93 2 5" xfId="1817" xr:uid="{00000000-0005-0000-0000-000042070000}"/>
    <cellStyle name="標準 93 3" xfId="1818" xr:uid="{00000000-0005-0000-0000-000043070000}"/>
    <cellStyle name="標準 93 3 2" xfId="1819" xr:uid="{00000000-0005-0000-0000-000044070000}"/>
    <cellStyle name="標準 93 3 2 2" xfId="2950" xr:uid="{2005CC97-EE76-416D-BDD6-F3C9C3ADB1F2}"/>
    <cellStyle name="標準 93 3 3" xfId="1820" xr:uid="{00000000-0005-0000-0000-000045070000}"/>
    <cellStyle name="標準 93 3 4" xfId="1821" xr:uid="{00000000-0005-0000-0000-000046070000}"/>
    <cellStyle name="標準 93 4" xfId="1822" xr:uid="{00000000-0005-0000-0000-000047070000}"/>
    <cellStyle name="標準 93 4 2" xfId="2951" xr:uid="{868617D5-BEBE-43AC-A013-B46B953BAB40}"/>
    <cellStyle name="標準 93 5" xfId="1823" xr:uid="{00000000-0005-0000-0000-000048070000}"/>
    <cellStyle name="標準 93 6" xfId="1824" xr:uid="{00000000-0005-0000-0000-000049070000}"/>
    <cellStyle name="標準 94" xfId="1825" xr:uid="{00000000-0005-0000-0000-00004A070000}"/>
    <cellStyle name="標準 94 2" xfId="1826" xr:uid="{00000000-0005-0000-0000-00004B070000}"/>
    <cellStyle name="標準 94 2 2" xfId="1827" xr:uid="{00000000-0005-0000-0000-00004C070000}"/>
    <cellStyle name="標準 94 2 2 2" xfId="1828" xr:uid="{00000000-0005-0000-0000-00004D070000}"/>
    <cellStyle name="標準 94 2 2 2 2" xfId="2952" xr:uid="{17CE6083-EE82-4DD2-B542-67BC6E156B40}"/>
    <cellStyle name="標準 94 2 2 3" xfId="1829" xr:uid="{00000000-0005-0000-0000-00004E070000}"/>
    <cellStyle name="標準 94 2 2 4" xfId="1830" xr:uid="{00000000-0005-0000-0000-00004F070000}"/>
    <cellStyle name="標準 94 2 3" xfId="1831" xr:uid="{00000000-0005-0000-0000-000050070000}"/>
    <cellStyle name="標準 94 2 3 2" xfId="2953" xr:uid="{43B3BB5D-8078-4D68-A2F6-D5A5458E4D60}"/>
    <cellStyle name="標準 94 2 4" xfId="1832" xr:uid="{00000000-0005-0000-0000-000051070000}"/>
    <cellStyle name="標準 94 2 5" xfId="1833" xr:uid="{00000000-0005-0000-0000-000052070000}"/>
    <cellStyle name="標準 94 3" xfId="1834" xr:uid="{00000000-0005-0000-0000-000053070000}"/>
    <cellStyle name="標準 94 3 2" xfId="1835" xr:uid="{00000000-0005-0000-0000-000054070000}"/>
    <cellStyle name="標準 94 3 2 2" xfId="2954" xr:uid="{9CEC9BE2-1664-4851-B7A4-6FD989ACF518}"/>
    <cellStyle name="標準 94 3 3" xfId="1836" xr:uid="{00000000-0005-0000-0000-000055070000}"/>
    <cellStyle name="標準 94 3 4" xfId="1837" xr:uid="{00000000-0005-0000-0000-000056070000}"/>
    <cellStyle name="標準 94 4" xfId="1838" xr:uid="{00000000-0005-0000-0000-000057070000}"/>
    <cellStyle name="標準 94 4 2" xfId="2955" xr:uid="{B685D438-7EE5-406C-8FB6-814DC1E5C5AB}"/>
    <cellStyle name="標準 94 5" xfId="1839" xr:uid="{00000000-0005-0000-0000-000058070000}"/>
    <cellStyle name="標準 94 6" xfId="1840" xr:uid="{00000000-0005-0000-0000-000059070000}"/>
    <cellStyle name="標準 95" xfId="1841" xr:uid="{00000000-0005-0000-0000-00005A070000}"/>
    <cellStyle name="標準 95 2" xfId="1842" xr:uid="{00000000-0005-0000-0000-00005B070000}"/>
    <cellStyle name="標準 95 2 2" xfId="1843" xr:uid="{00000000-0005-0000-0000-00005C070000}"/>
    <cellStyle name="標準 95 2 2 2" xfId="1844" xr:uid="{00000000-0005-0000-0000-00005D070000}"/>
    <cellStyle name="標準 95 2 2 2 2" xfId="2956" xr:uid="{6FA7EE12-47B1-4EF9-81A9-930953F0EB16}"/>
    <cellStyle name="標準 95 2 2 3" xfId="1845" xr:uid="{00000000-0005-0000-0000-00005E070000}"/>
    <cellStyle name="標準 95 2 2 4" xfId="1846" xr:uid="{00000000-0005-0000-0000-00005F070000}"/>
    <cellStyle name="標準 95 2 3" xfId="1847" xr:uid="{00000000-0005-0000-0000-000060070000}"/>
    <cellStyle name="標準 95 2 3 2" xfId="2957" xr:uid="{C34DB0F4-C8F3-4906-8326-E15555EF4404}"/>
    <cellStyle name="標準 95 2 4" xfId="1848" xr:uid="{00000000-0005-0000-0000-000061070000}"/>
    <cellStyle name="標準 95 2 5" xfId="1849" xr:uid="{00000000-0005-0000-0000-000062070000}"/>
    <cellStyle name="標準 95 3" xfId="1850" xr:uid="{00000000-0005-0000-0000-000063070000}"/>
    <cellStyle name="標準 95 3 2" xfId="1851" xr:uid="{00000000-0005-0000-0000-000064070000}"/>
    <cellStyle name="標準 95 3 2 2" xfId="2958" xr:uid="{6EFD68DC-7C35-428B-9C13-5CE80CDD8B1B}"/>
    <cellStyle name="標準 95 3 3" xfId="1852" xr:uid="{00000000-0005-0000-0000-000065070000}"/>
    <cellStyle name="標準 95 3 4" xfId="1853" xr:uid="{00000000-0005-0000-0000-000066070000}"/>
    <cellStyle name="標準 95 4" xfId="1854" xr:uid="{00000000-0005-0000-0000-000067070000}"/>
    <cellStyle name="標準 95 4 2" xfId="2959" xr:uid="{DF871576-67FD-4DB4-B65A-E32DFDB1FCF8}"/>
    <cellStyle name="標準 95 5" xfId="1855" xr:uid="{00000000-0005-0000-0000-000068070000}"/>
    <cellStyle name="標準 95 6" xfId="1856" xr:uid="{00000000-0005-0000-0000-000069070000}"/>
    <cellStyle name="標準 96" xfId="1857" xr:uid="{00000000-0005-0000-0000-00006A070000}"/>
    <cellStyle name="標準 96 2" xfId="1858" xr:uid="{00000000-0005-0000-0000-00006B070000}"/>
    <cellStyle name="標準 96 2 2" xfId="1859" xr:uid="{00000000-0005-0000-0000-00006C070000}"/>
    <cellStyle name="標準 96 2 2 2" xfId="1860" xr:uid="{00000000-0005-0000-0000-00006D070000}"/>
    <cellStyle name="標準 96 2 2 2 2" xfId="2960" xr:uid="{004D8F5F-7977-4341-BA28-DAD6CEAACEA1}"/>
    <cellStyle name="標準 96 2 2 3" xfId="1861" xr:uid="{00000000-0005-0000-0000-00006E070000}"/>
    <cellStyle name="標準 96 2 2 4" xfId="1862" xr:uid="{00000000-0005-0000-0000-00006F070000}"/>
    <cellStyle name="標準 96 2 3" xfId="1863" xr:uid="{00000000-0005-0000-0000-000070070000}"/>
    <cellStyle name="標準 96 2 3 2" xfId="2961" xr:uid="{891F7649-C6D8-4B22-B065-32AB64F73C00}"/>
    <cellStyle name="標準 96 2 4" xfId="1864" xr:uid="{00000000-0005-0000-0000-000071070000}"/>
    <cellStyle name="標準 96 2 5" xfId="1865" xr:uid="{00000000-0005-0000-0000-000072070000}"/>
    <cellStyle name="標準 96 3" xfId="1866" xr:uid="{00000000-0005-0000-0000-000073070000}"/>
    <cellStyle name="標準 96 3 2" xfId="1867" xr:uid="{00000000-0005-0000-0000-000074070000}"/>
    <cellStyle name="標準 96 3 2 2" xfId="2962" xr:uid="{BB7C8A29-6B2A-4D8A-915E-D1ED70BFF224}"/>
    <cellStyle name="標準 96 3 3" xfId="1868" xr:uid="{00000000-0005-0000-0000-000075070000}"/>
    <cellStyle name="標準 96 3 4" xfId="1869" xr:uid="{00000000-0005-0000-0000-000076070000}"/>
    <cellStyle name="標準 96 4" xfId="1870" xr:uid="{00000000-0005-0000-0000-000077070000}"/>
    <cellStyle name="標準 96 4 2" xfId="2963" xr:uid="{BD79A7FA-6C99-4087-B694-E3AE5AA38631}"/>
    <cellStyle name="標準 96 5" xfId="1871" xr:uid="{00000000-0005-0000-0000-000078070000}"/>
    <cellStyle name="標準 96 6" xfId="1872" xr:uid="{00000000-0005-0000-0000-000079070000}"/>
    <cellStyle name="標準 97" xfId="1873" xr:uid="{00000000-0005-0000-0000-00007A070000}"/>
    <cellStyle name="標準 97 2" xfId="1874" xr:uid="{00000000-0005-0000-0000-00007B070000}"/>
    <cellStyle name="標準 97 2 2" xfId="1875" xr:uid="{00000000-0005-0000-0000-00007C070000}"/>
    <cellStyle name="標準 97 2 2 2" xfId="1876" xr:uid="{00000000-0005-0000-0000-00007D070000}"/>
    <cellStyle name="標準 97 2 2 2 2" xfId="2964" xr:uid="{D7832E7B-BBBD-44F5-AB4C-EE550BE62D6D}"/>
    <cellStyle name="標準 97 2 2 3" xfId="1877" xr:uid="{00000000-0005-0000-0000-00007E070000}"/>
    <cellStyle name="標準 97 2 2 4" xfId="1878" xr:uid="{00000000-0005-0000-0000-00007F070000}"/>
    <cellStyle name="標準 97 2 3" xfId="1879" xr:uid="{00000000-0005-0000-0000-000080070000}"/>
    <cellStyle name="標準 97 2 3 2" xfId="2965" xr:uid="{28861D94-4523-4BCC-97B8-A77FABDFF044}"/>
    <cellStyle name="標準 97 2 4" xfId="1880" xr:uid="{00000000-0005-0000-0000-000081070000}"/>
    <cellStyle name="標準 97 2 5" xfId="1881" xr:uid="{00000000-0005-0000-0000-000082070000}"/>
    <cellStyle name="標準 97 3" xfId="1882" xr:uid="{00000000-0005-0000-0000-000083070000}"/>
    <cellStyle name="標準 97 3 2" xfId="1883" xr:uid="{00000000-0005-0000-0000-000084070000}"/>
    <cellStyle name="標準 97 3 2 2" xfId="2966" xr:uid="{0C35E1C0-3E9F-446F-ACCA-AF98BC30ED65}"/>
    <cellStyle name="標準 97 3 3" xfId="1884" xr:uid="{00000000-0005-0000-0000-000085070000}"/>
    <cellStyle name="標準 97 3 4" xfId="1885" xr:uid="{00000000-0005-0000-0000-000086070000}"/>
    <cellStyle name="標準 97 4" xfId="1886" xr:uid="{00000000-0005-0000-0000-000087070000}"/>
    <cellStyle name="標準 97 4 2" xfId="2967" xr:uid="{EE0EF1E8-FCA9-4592-9722-34FCCA5D280F}"/>
    <cellStyle name="標準 97 5" xfId="1887" xr:uid="{00000000-0005-0000-0000-000088070000}"/>
    <cellStyle name="標準 97 6" xfId="1888" xr:uid="{00000000-0005-0000-0000-000089070000}"/>
    <cellStyle name="標準 98" xfId="1889" xr:uid="{00000000-0005-0000-0000-00008A070000}"/>
    <cellStyle name="標準 98 2" xfId="1890" xr:uid="{00000000-0005-0000-0000-00008B070000}"/>
    <cellStyle name="標準 98 2 2" xfId="1891" xr:uid="{00000000-0005-0000-0000-00008C070000}"/>
    <cellStyle name="標準 98 2 2 2" xfId="1892" xr:uid="{00000000-0005-0000-0000-00008D070000}"/>
    <cellStyle name="標準 98 2 2 2 2" xfId="2968" xr:uid="{4D0154BD-75A8-43F9-8AA5-66D684E1901C}"/>
    <cellStyle name="標準 98 2 2 3" xfId="1893" xr:uid="{00000000-0005-0000-0000-00008E070000}"/>
    <cellStyle name="標準 98 2 2 4" xfId="1894" xr:uid="{00000000-0005-0000-0000-00008F070000}"/>
    <cellStyle name="標準 98 2 3" xfId="1895" xr:uid="{00000000-0005-0000-0000-000090070000}"/>
    <cellStyle name="標準 98 2 3 2" xfId="2969" xr:uid="{5473DA77-7C87-4203-B149-1F0B01523793}"/>
    <cellStyle name="標準 98 2 4" xfId="1896" xr:uid="{00000000-0005-0000-0000-000091070000}"/>
    <cellStyle name="標準 98 2 5" xfId="1897" xr:uid="{00000000-0005-0000-0000-000092070000}"/>
    <cellStyle name="標準 98 3" xfId="1898" xr:uid="{00000000-0005-0000-0000-000093070000}"/>
    <cellStyle name="標準 98 3 2" xfId="1899" xr:uid="{00000000-0005-0000-0000-000094070000}"/>
    <cellStyle name="標準 98 3 2 2" xfId="2970" xr:uid="{A835BB04-C5C1-4BC6-93CB-1B4284118583}"/>
    <cellStyle name="標準 98 3 3" xfId="1900" xr:uid="{00000000-0005-0000-0000-000095070000}"/>
    <cellStyle name="標準 98 3 4" xfId="1901" xr:uid="{00000000-0005-0000-0000-000096070000}"/>
    <cellStyle name="標準 98 4" xfId="1902" xr:uid="{00000000-0005-0000-0000-000097070000}"/>
    <cellStyle name="標準 98 4 2" xfId="2971" xr:uid="{202E1175-6DB3-48CD-877A-6DE2E799D518}"/>
    <cellStyle name="標準 98 5" xfId="1903" xr:uid="{00000000-0005-0000-0000-000098070000}"/>
    <cellStyle name="標準 98 6" xfId="1904" xr:uid="{00000000-0005-0000-0000-000099070000}"/>
    <cellStyle name="標準 99" xfId="1905" xr:uid="{00000000-0005-0000-0000-00009A070000}"/>
    <cellStyle name="標準 99 2" xfId="1906" xr:uid="{00000000-0005-0000-0000-00009B070000}"/>
    <cellStyle name="標準 99 2 2" xfId="1907" xr:uid="{00000000-0005-0000-0000-00009C070000}"/>
    <cellStyle name="標準 99 2 2 2" xfId="1908" xr:uid="{00000000-0005-0000-0000-00009D070000}"/>
    <cellStyle name="標準 99 2 2 2 2" xfId="2972" xr:uid="{0586D1ED-A60D-4D31-A673-022F5C8E5D73}"/>
    <cellStyle name="標準 99 2 2 3" xfId="1909" xr:uid="{00000000-0005-0000-0000-00009E070000}"/>
    <cellStyle name="標準 99 2 2 4" xfId="1910" xr:uid="{00000000-0005-0000-0000-00009F070000}"/>
    <cellStyle name="標準 99 2 3" xfId="1911" xr:uid="{00000000-0005-0000-0000-0000A0070000}"/>
    <cellStyle name="標準 99 2 3 2" xfId="2973" xr:uid="{C1278397-0387-4C55-99B5-B8F9B12EF4E6}"/>
    <cellStyle name="標準 99 2 4" xfId="1912" xr:uid="{00000000-0005-0000-0000-0000A1070000}"/>
    <cellStyle name="標準 99 2 5" xfId="1913" xr:uid="{00000000-0005-0000-0000-0000A2070000}"/>
    <cellStyle name="標準 99 3" xfId="1914" xr:uid="{00000000-0005-0000-0000-0000A3070000}"/>
    <cellStyle name="標準 99 3 2" xfId="1915" xr:uid="{00000000-0005-0000-0000-0000A4070000}"/>
    <cellStyle name="標準 99 3 2 2" xfId="2974" xr:uid="{BAE8FD69-CF84-46AD-9C7A-813AEC4E0DB2}"/>
    <cellStyle name="標準 99 3 3" xfId="1916" xr:uid="{00000000-0005-0000-0000-0000A5070000}"/>
    <cellStyle name="標準 99 3 4" xfId="1917" xr:uid="{00000000-0005-0000-0000-0000A6070000}"/>
    <cellStyle name="標準 99 4" xfId="1918" xr:uid="{00000000-0005-0000-0000-0000A7070000}"/>
    <cellStyle name="標準 99 4 2" xfId="2975" xr:uid="{1DEF00ED-D447-4402-9FF7-D8A03E7E3F2F}"/>
    <cellStyle name="標準 99 5" xfId="1919" xr:uid="{00000000-0005-0000-0000-0000A8070000}"/>
    <cellStyle name="標準 99 6" xfId="1920" xr:uid="{00000000-0005-0000-0000-0000A9070000}"/>
    <cellStyle name="標準_【配当指数対応】株先記録表" xfId="1980" xr:uid="{56F9F172-03AC-4BBB-8799-AACAE5795ABA}"/>
    <cellStyle name="標準1" xfId="2976" xr:uid="{9090AF33-7B6E-48E2-B032-9F5BA8DCA27D}"/>
    <cellStyle name="標準１" xfId="1921" xr:uid="{00000000-0005-0000-0000-0000B2070000}"/>
    <cellStyle name="標準10" xfId="1922" xr:uid="{00000000-0005-0000-0000-0000B3070000}"/>
    <cellStyle name="標準12" xfId="1923" xr:uid="{00000000-0005-0000-0000-0000B4070000}"/>
    <cellStyle name="標準構内" xfId="2977" xr:uid="{2A276376-2525-4FBE-B73D-94CA04DB0DE7}"/>
    <cellStyle name="文字列" xfId="1924" xr:uid="{00000000-0005-0000-0000-0000B5070000}"/>
    <cellStyle name="未定義" xfId="12" xr:uid="{00000000-0005-0000-0000-0000B6070000}"/>
    <cellStyle name="未定義 2" xfId="1925" xr:uid="{00000000-0005-0000-0000-0000B7070000}"/>
    <cellStyle name="未定義 2 2" xfId="2978" xr:uid="{3409B07A-5790-408C-86AA-D482AEF56540}"/>
    <cellStyle name="未定義 2 3" xfId="2979" xr:uid="{A2B1AAAA-27A8-4018-8171-ABDD325923FC}"/>
    <cellStyle name="未定義 3" xfId="1926" xr:uid="{00000000-0005-0000-0000-0000B8070000}"/>
    <cellStyle name="未定義 3 2" xfId="2980" xr:uid="{17527E3B-0864-426A-BBC2-055B256A79A0}"/>
    <cellStyle name="未定義 3 3" xfId="2981" xr:uid="{9058E237-03A9-42C7-BFB6-2F328BCB2712}"/>
    <cellStyle name="未定義 3 4" xfId="2982" xr:uid="{2C08D12B-D766-4733-93F8-C53CDC9190DF}"/>
    <cellStyle name="未定義 4" xfId="2983" xr:uid="{2BAB3B86-E1B1-470D-A3E3-E4DB84EA9FF1}"/>
    <cellStyle name="未定義_030_上場有価証券総括表_詳細設計書_府令改正対応" xfId="1927" xr:uid="{00000000-0005-0000-0000-0000B9070000}"/>
    <cellStyle name="良い 2" xfId="1928" xr:uid="{00000000-0005-0000-0000-0000BA070000}"/>
    <cellStyle name="良い 2 2" xfId="1979" xr:uid="{00000000-0005-0000-0000-0000BB070000}"/>
    <cellStyle name="良い 3" xfId="1929" xr:uid="{00000000-0005-0000-0000-0000BC070000}"/>
    <cellStyle name="良い 3 2" xfId="2984" xr:uid="{BE175D33-4CF2-4F46-B39A-70D196EDE9E3}"/>
    <cellStyle name="良い 4" xfId="1930" xr:uid="{00000000-0005-0000-0000-0000BD070000}"/>
    <cellStyle name="良い 4 2" xfId="2985" xr:uid="{ACAA0C1B-343D-4BFD-97DE-9DAF47E5CF4F}"/>
    <cellStyle name="良い 5" xfId="1931" xr:uid="{00000000-0005-0000-0000-0000BE070000}"/>
    <cellStyle name="良い 5 2" xfId="2986" xr:uid="{CFA02E51-BC40-4101-A73A-5A753757C4C6}"/>
    <cellStyle name="良い 5 3" xfId="2987" xr:uid="{096FAA24-4DC5-40CB-B7FE-0E225276A1A5}"/>
    <cellStyle name="良い 5 4" xfId="2988" xr:uid="{BEADF25E-85D9-4E03-A47C-FF06F6F6AF4E}"/>
    <cellStyle name="良い 6" xfId="1932" xr:uid="{00000000-0005-0000-0000-0000BF070000}"/>
    <cellStyle name="良い 6 2" xfId="2989" xr:uid="{85F8E907-A258-48A0-A30D-19B9F9A4F870}"/>
    <cellStyle name="良い 6 3" xfId="2990" xr:uid="{B49DD1D1-51BF-46E9-A2FD-CEA167EA7C45}"/>
    <cellStyle name="良い 6 4" xfId="2991" xr:uid="{FC5B21D8-C2CD-4F33-AB33-DB7BE833AD4B}"/>
    <cellStyle name="良い 7" xfId="1933" xr:uid="{00000000-0005-0000-0000-0000C0070000}"/>
    <cellStyle name="良い 7 2" xfId="2992" xr:uid="{E1A62F3C-9884-4C68-8742-82D573168599}"/>
    <cellStyle name="良い 8" xfId="1934" xr:uid="{00000000-0005-0000-0000-0000C1070000}"/>
    <cellStyle name="良い 8 2" xfId="2993" xr:uid="{429A1F7A-B0FA-4EF8-B830-8FE667496C28}"/>
    <cellStyle name="良い 9" xfId="1935" xr:uid="{00000000-0005-0000-0000-0000C2070000}"/>
    <cellStyle name="良い 9 2" xfId="2994" xr:uid="{1FD3E608-674B-4B41-9563-25B4C3315DB7}"/>
    <cellStyle name="표준_4.3.1_取引処理（取引処理制御１－１）" xfId="1936" xr:uid="{00000000-0005-0000-0000-0000C3070000}"/>
  </cellStyles>
  <dxfs count="0"/>
  <tableStyles count="0" defaultTableStyle="TableStyleMedium2" defaultPivotStyle="PivotStyleLight16"/>
  <colors>
    <mruColors>
      <color rgb="FF00FFFF"/>
      <color rgb="FF66FFFF"/>
      <color rgb="FFCC66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AA623-88F3-475F-AAB8-49D6246929E9}">
  <sheetPr codeName="Sheet1">
    <pageSetUpPr fitToPage="1"/>
  </sheetPr>
  <dimension ref="A1:I31"/>
  <sheetViews>
    <sheetView showGridLines="0" tabSelected="true" view="pageBreakPreview" zoomScale="85" zoomScaleNormal="70" zoomScaleSheetLayoutView="85" workbookViewId="0">
      <selection sqref="A1:I1"/>
    </sheetView>
  </sheetViews>
  <sheetFormatPr defaultColWidth="9" defaultRowHeight="13.2"/>
  <cols>
    <col min="1" max="1" customWidth="true" style="4" width="4.6640625" collapsed="true"/>
    <col min="2" max="2" bestFit="true" customWidth="true" style="4" width="28.0" collapsed="true"/>
    <col min="3" max="3" customWidth="true" style="4" width="18.0" collapsed="true"/>
    <col min="4" max="5" customWidth="true" style="4" width="22.6640625" collapsed="true"/>
    <col min="6" max="6" customWidth="true" style="4" width="16.6640625" collapsed="true"/>
    <col min="7" max="8" customWidth="true" style="4" width="22.6640625" collapsed="true"/>
    <col min="9" max="9" customWidth="true" style="4" width="16.6640625" collapsed="true"/>
    <col min="10" max="16384" style="4" width="9.0" collapsed="true"/>
  </cols>
  <sheetData>
    <row r="1" spans="1:9" ht="28.5" customHeight="1">
      <c r="A1" s="43" t="s">
        <v>1</v>
      </c>
      <c r="B1" s="43"/>
      <c r="C1" s="43"/>
      <c r="D1" s="43"/>
      <c r="E1" s="43"/>
      <c r="F1" s="43"/>
      <c r="G1" s="43"/>
      <c r="H1" s="43"/>
      <c r="I1" s="43"/>
    </row>
    <row r="2" spans="1:9" ht="23.1" customHeight="1">
      <c r="A2" s="43" t="s">
        <v>2</v>
      </c>
      <c r="B2" s="43"/>
      <c r="C2" s="43"/>
      <c r="D2" s="43"/>
      <c r="E2" s="43"/>
      <c r="F2" s="43"/>
      <c r="G2" s="43"/>
      <c r="H2" s="43"/>
      <c r="I2" s="43"/>
    </row>
    <row r="3" spans="1:9" ht="16.5" customHeight="1">
      <c r="A3" s="44" t="n">
        <f>DATE(2026,06,02)</f>
        <v>46175.0</v>
      </c>
      <c r="B3" s="44"/>
      <c r="C3" s="44"/>
      <c r="D3" s="44"/>
      <c r="E3" s="44"/>
      <c r="F3" s="44"/>
      <c r="G3" s="44"/>
      <c r="H3" s="44"/>
      <c r="I3" s="44"/>
    </row>
    <row r="4" spans="1:9" ht="16.5" customHeight="1">
      <c r="A4" s="45" t="n">
        <f>DATE(2026,06,02)</f>
        <v>46175.0</v>
      </c>
      <c r="B4" s="45"/>
      <c r="C4" s="45"/>
      <c r="D4" s="45"/>
      <c r="E4" s="45"/>
      <c r="F4" s="45"/>
      <c r="G4" s="45"/>
      <c r="H4" s="45"/>
      <c r="I4" s="45"/>
    </row>
    <row r="5" spans="1:9" ht="9.75" customHeight="1">
      <c r="A5" s="5"/>
      <c r="B5" s="5"/>
      <c r="C5" s="5"/>
      <c r="D5" s="5"/>
      <c r="E5" s="5"/>
      <c r="F5" s="6"/>
      <c r="G5" s="6"/>
      <c r="H5" s="6"/>
      <c r="I5" s="6"/>
    </row>
    <row r="6" spans="1:9" ht="14.25" customHeight="1">
      <c r="A6" s="7" t="s">
        <v>3</v>
      </c>
      <c r="B6" s="8"/>
      <c r="C6" s="9"/>
      <c r="D6" s="9"/>
      <c r="E6" s="9"/>
      <c r="F6" s="6"/>
      <c r="G6" s="9"/>
      <c r="H6" s="6"/>
      <c r="I6" s="6"/>
    </row>
    <row r="7" spans="1:9" ht="14.25" customHeight="1">
      <c r="A7" s="10" t="s">
        <v>4</v>
      </c>
      <c r="B7" s="10"/>
      <c r="C7" s="11"/>
      <c r="D7" s="11"/>
      <c r="E7" s="11"/>
      <c r="F7" s="11"/>
      <c r="G7" s="11"/>
      <c r="H7" s="11"/>
      <c r="I7" s="11"/>
    </row>
    <row r="8" spans="1:9" ht="14.25" customHeight="1">
      <c r="A8" s="10" t="s">
        <v>5</v>
      </c>
      <c r="B8" s="10"/>
      <c r="C8" s="11"/>
      <c r="D8" s="11"/>
      <c r="E8" s="11"/>
      <c r="F8" s="11"/>
      <c r="G8" s="11"/>
      <c r="H8" s="11"/>
      <c r="I8" s="11"/>
    </row>
    <row r="9" spans="1:9" ht="14.25" customHeight="1">
      <c r="A9" s="10" t="s">
        <v>6</v>
      </c>
      <c r="B9" s="10"/>
      <c r="C9" s="11"/>
      <c r="D9" s="11"/>
      <c r="E9" s="11"/>
      <c r="F9" s="11"/>
      <c r="G9" s="11"/>
      <c r="H9" s="11"/>
      <c r="I9" s="11"/>
    </row>
    <row r="10" spans="1:9" ht="24.9" customHeight="1">
      <c r="A10" s="12"/>
      <c r="B10" s="12" t="s">
        <v>7</v>
      </c>
      <c r="C10" s="12" t="s">
        <v>0</v>
      </c>
      <c r="D10" s="46" t="s">
        <v>8</v>
      </c>
      <c r="E10" s="47"/>
      <c r="F10" s="48" t="s">
        <v>9</v>
      </c>
      <c r="G10" s="50" t="s">
        <v>10</v>
      </c>
      <c r="H10" s="47"/>
      <c r="I10" s="48" t="s">
        <v>113</v>
      </c>
    </row>
    <row r="11" spans="1:9" ht="24.9" customHeight="1">
      <c r="A11" s="13"/>
      <c r="B11" s="13" t="s">
        <v>11</v>
      </c>
      <c r="C11" s="13" t="s">
        <v>12</v>
      </c>
      <c r="D11" s="14" t="s">
        <v>102</v>
      </c>
      <c r="E11" s="15" t="s">
        <v>101</v>
      </c>
      <c r="F11" s="49"/>
      <c r="G11" s="14" t="s">
        <v>114</v>
      </c>
      <c r="H11" s="15" t="s">
        <v>101</v>
      </c>
      <c r="I11" s="49"/>
    </row>
    <row r="12" spans="1:9" ht="24.9" customHeight="1">
      <c r="A12" s="40" t="s">
        <v>13</v>
      </c>
      <c r="B12" s="39" t="s">
        <v>14</v>
      </c>
      <c r="C12" s="16" t="s">
        <v>15</v>
      </c>
      <c r="D12" s="17" t="n">
        <f>805351.0</f>
        <v>805351.0</v>
      </c>
      <c r="E12" s="18" t="n">
        <f>27769.0</f>
        <v>27769.0</v>
      </c>
      <c r="F12" s="19" t="n">
        <f>1.0</f>
        <v>1.0</v>
      </c>
      <c r="G12" s="17" t="n">
        <f>6244023091770.0</f>
        <v>6.24402309177E12</v>
      </c>
      <c r="H12" s="18" t="n">
        <f>299141215995.0</f>
        <v>2.99141215995E11</v>
      </c>
      <c r="I12" s="19" t="n">
        <f>1.0</f>
        <v>1.0</v>
      </c>
    </row>
    <row r="13" spans="1:9" ht="24.9" customHeight="1">
      <c r="A13" s="41"/>
      <c r="B13" s="39"/>
      <c r="C13" s="20" t="s">
        <v>16</v>
      </c>
      <c r="D13" s="21" t="n">
        <f>547666.0</f>
        <v>547666.0</v>
      </c>
      <c r="E13" s="22" t="n">
        <f>27054.0</f>
        <v>27054.0</v>
      </c>
      <c r="F13" s="23" t="n">
        <f>1.0</f>
        <v>1.0</v>
      </c>
      <c r="G13" s="21" t="n">
        <f>6038899755235.0</f>
        <v>6.038899755235E12</v>
      </c>
      <c r="H13" s="22" t="n">
        <f>314046957710.0</f>
        <v>3.1404695771E11</v>
      </c>
      <c r="I13" s="23" t="n">
        <f>1.0</f>
        <v>1.0</v>
      </c>
    </row>
    <row r="14" spans="1:9" ht="24.9" customHeight="1">
      <c r="A14" s="41"/>
      <c r="B14" s="39"/>
      <c r="C14" s="20" t="s">
        <v>17</v>
      </c>
      <c r="D14" s="21" t="n">
        <f>612975.0</f>
        <v>612975.0</v>
      </c>
      <c r="E14" s="22" t="n">
        <f>58065.0</f>
        <v>58065.0</v>
      </c>
      <c r="F14" s="23" t="n">
        <f>1.0</f>
        <v>1.0</v>
      </c>
      <c r="G14" s="21" t="n">
        <f>11383337141183.0</f>
        <v>1.1383337141183E13</v>
      </c>
      <c r="H14" s="22" t="n">
        <f>1653608257558.0</f>
        <v>1.653608257558E12</v>
      </c>
      <c r="I14" s="23" t="n">
        <f>1.0</f>
        <v>1.0</v>
      </c>
    </row>
    <row r="15" spans="1:9" ht="24.9" customHeight="1">
      <c r="A15" s="42"/>
      <c r="B15" s="39"/>
      <c r="C15" s="24" t="s">
        <v>18</v>
      </c>
      <c r="D15" s="25" t="n">
        <f>1965992.0</f>
        <v>1965992.0</v>
      </c>
      <c r="E15" s="26" t="n">
        <f>112888.0</f>
        <v>112888.0</v>
      </c>
      <c r="F15" s="27" t="n">
        <f>1.0</f>
        <v>1.0</v>
      </c>
      <c r="G15" s="25" t="n">
        <f>23666259988188.0</f>
        <v>2.3666259988188E13</v>
      </c>
      <c r="H15" s="26" t="n">
        <f>2266796431263.0</f>
        <v>2.266796431263E12</v>
      </c>
      <c r="I15" s="27" t="n">
        <f>1.0</f>
        <v>1.0</v>
      </c>
    </row>
    <row r="16" spans="1:9" ht="24.9" customHeight="1">
      <c r="A16" s="40" t="s">
        <v>19</v>
      </c>
      <c r="B16" s="39" t="s">
        <v>20</v>
      </c>
      <c r="C16" s="16" t="s">
        <v>15</v>
      </c>
      <c r="D16" s="17" t="n">
        <f>20420.0</f>
        <v>20420.0</v>
      </c>
      <c r="E16" s="18" t="n">
        <f>8.0</f>
        <v>8.0</v>
      </c>
      <c r="F16" s="19" t="n">
        <f>0.025</f>
        <v>0.025</v>
      </c>
      <c r="G16" s="17" t="n">
        <f>2045136349375.0</f>
        <v>2.045136349375E12</v>
      </c>
      <c r="H16" s="18" t="n">
        <f>1029570000.0</f>
        <v>1.02957E9</v>
      </c>
      <c r="I16" s="19" t="n">
        <f>0.328</f>
        <v>0.328</v>
      </c>
    </row>
    <row r="17" spans="1:9" ht="24.9" customHeight="1">
      <c r="A17" s="41"/>
      <c r="B17" s="39"/>
      <c r="C17" s="20" t="s">
        <v>16</v>
      </c>
      <c r="D17" s="21" t="n">
        <f>19205.0</f>
        <v>19205.0</v>
      </c>
      <c r="E17" s="22" t="n">
        <f>310.0</f>
        <v>310.0</v>
      </c>
      <c r="F17" s="23" t="n">
        <f>0.035</f>
        <v>0.035</v>
      </c>
      <c r="G17" s="21" t="n">
        <f>2407905123375.0</f>
        <v>2.407905123375E12</v>
      </c>
      <c r="H17" s="22" t="n">
        <f>39905290000.0</f>
        <v>3.990529E10</v>
      </c>
      <c r="I17" s="23" t="n">
        <f>0.399</f>
        <v>0.399</v>
      </c>
    </row>
    <row r="18" spans="1:9" ht="24.9" customHeight="1">
      <c r="A18" s="41"/>
      <c r="B18" s="39"/>
      <c r="C18" s="20" t="s">
        <v>17</v>
      </c>
      <c r="D18" s="21" t="n">
        <f>51490.0</f>
        <v>51490.0</v>
      </c>
      <c r="E18" s="22" t="n">
        <f>2947.0</f>
        <v>2947.0</v>
      </c>
      <c r="F18" s="23" t="n">
        <f>0.084</f>
        <v>0.084</v>
      </c>
      <c r="G18" s="21" t="n">
        <f>6350002070125.0</f>
        <v>6.350002070125E12</v>
      </c>
      <c r="H18" s="22" t="n">
        <f>276389750000.0</f>
        <v>2.7638975E11</v>
      </c>
      <c r="I18" s="23" t="n">
        <f>0.558</f>
        <v>0.558</v>
      </c>
    </row>
    <row r="19" spans="1:9" ht="24.9" customHeight="1">
      <c r="A19" s="41"/>
      <c r="B19" s="39"/>
      <c r="C19" s="24" t="s">
        <v>18</v>
      </c>
      <c r="D19" s="25" t="n">
        <f>91115.0</f>
        <v>91115.0</v>
      </c>
      <c r="E19" s="26" t="n">
        <f>3265.0</f>
        <v>3265.0</v>
      </c>
      <c r="F19" s="27" t="n">
        <f>0.046</f>
        <v>0.046</v>
      </c>
      <c r="G19" s="25" t="n">
        <f>10803043542875.0</f>
        <v>1.0803043542875E13</v>
      </c>
      <c r="H19" s="26" t="n">
        <f>317324610000.0</f>
        <v>3.1732461E11</v>
      </c>
      <c r="I19" s="27" t="n">
        <f>0.456</f>
        <v>0.456</v>
      </c>
    </row>
    <row r="20" spans="1:9" ht="24.9" customHeight="1">
      <c r="A20" s="41"/>
      <c r="B20" s="39" t="s">
        <v>21</v>
      </c>
      <c r="C20" s="16" t="s">
        <v>15</v>
      </c>
      <c r="D20" s="17" t="n">
        <f>768497.0</f>
        <v>768497.0</v>
      </c>
      <c r="E20" s="18" t="n">
        <f>27761.0</f>
        <v>27761.0</v>
      </c>
      <c r="F20" s="19" t="n">
        <f>0.954</f>
        <v>0.954</v>
      </c>
      <c r="G20" s="17" t="n">
        <f>4025141078995.0</f>
        <v>4.025141078995E12</v>
      </c>
      <c r="H20" s="18" t="n">
        <f>298111645995.0</f>
        <v>2.98111645995E11</v>
      </c>
      <c r="I20" s="19" t="n">
        <f>0.645</f>
        <v>0.645</v>
      </c>
    </row>
    <row r="21" spans="1:9" ht="24.9" customHeight="1">
      <c r="A21" s="41"/>
      <c r="B21" s="39"/>
      <c r="C21" s="20" t="s">
        <v>16</v>
      </c>
      <c r="D21" s="21" t="n">
        <f>520856.0</f>
        <v>520856.0</v>
      </c>
      <c r="E21" s="22" t="n">
        <f>26734.0</f>
        <v>26734.0</v>
      </c>
      <c r="F21" s="23" t="n">
        <f>0.951</f>
        <v>0.951</v>
      </c>
      <c r="G21" s="21" t="n">
        <f>3561575120510.0</f>
        <v>3.56157512051E12</v>
      </c>
      <c r="H21" s="22" t="n">
        <f>274121332710.0</f>
        <v>2.7412133271E11</v>
      </c>
      <c r="I21" s="23" t="n">
        <f>0.59</f>
        <v>0.59</v>
      </c>
    </row>
    <row r="22" spans="1:9" ht="24.9" customHeight="1">
      <c r="A22" s="41"/>
      <c r="B22" s="39"/>
      <c r="C22" s="20" t="s">
        <v>17</v>
      </c>
      <c r="D22" s="21" t="n">
        <f>550482.0</f>
        <v>550482.0</v>
      </c>
      <c r="E22" s="22" t="n">
        <f>55117.0</f>
        <v>55117.0</v>
      </c>
      <c r="F22" s="23" t="n">
        <f>0.898</f>
        <v>0.898</v>
      </c>
      <c r="G22" s="21" t="n">
        <f>4939900869208.0</f>
        <v>4.939900869208E12</v>
      </c>
      <c r="H22" s="22" t="n">
        <f>1377214057558.0</f>
        <v>1.377214057558E12</v>
      </c>
      <c r="I22" s="23" t="n">
        <f>0.434</f>
        <v>0.434</v>
      </c>
    </row>
    <row r="23" spans="1:9" ht="24.9" customHeight="1">
      <c r="A23" s="41"/>
      <c r="B23" s="39"/>
      <c r="C23" s="24" t="s">
        <v>18</v>
      </c>
      <c r="D23" s="25" t="n">
        <f>1839835.0</f>
        <v>1839835.0</v>
      </c>
      <c r="E23" s="26" t="n">
        <f>109612.0</f>
        <v>109612.0</v>
      </c>
      <c r="F23" s="27" t="n">
        <f>0.936</f>
        <v>0.936</v>
      </c>
      <c r="G23" s="25" t="n">
        <f>12526617068713.0</f>
        <v>1.2526617068713E13</v>
      </c>
      <c r="H23" s="26" t="n">
        <f>1949447036263.0</f>
        <v>1.949447036263E12</v>
      </c>
      <c r="I23" s="27" t="n">
        <f>0.529</f>
        <v>0.529</v>
      </c>
    </row>
    <row r="24" spans="1:9" ht="24.9" customHeight="1">
      <c r="A24" s="41"/>
      <c r="B24" s="39" t="s">
        <v>22</v>
      </c>
      <c r="C24" s="16" t="s">
        <v>15</v>
      </c>
      <c r="D24" s="17" t="n">
        <f>15302.0</f>
        <v>15302.0</v>
      </c>
      <c r="E24" s="18" t="n">
        <f>0.0</f>
        <v>0.0</v>
      </c>
      <c r="F24" s="19" t="n">
        <f>0.019</f>
        <v>0.019</v>
      </c>
      <c r="G24" s="17" t="n">
        <f>169066604900.0</f>
        <v>1.690666049E11</v>
      </c>
      <c r="H24" s="18" t="n">
        <f>0.0</f>
        <v>0.0</v>
      </c>
      <c r="I24" s="19" t="n">
        <f>0.027</f>
        <v>0.027</v>
      </c>
    </row>
    <row r="25" spans="1:9" ht="24.9" customHeight="1">
      <c r="A25" s="41"/>
      <c r="B25" s="39"/>
      <c r="C25" s="20" t="s">
        <v>16</v>
      </c>
      <c r="D25" s="21" t="n">
        <f>7157.0</f>
        <v>7157.0</v>
      </c>
      <c r="E25" s="22" t="n">
        <f>10.0</f>
        <v>10.0</v>
      </c>
      <c r="F25" s="23" t="n">
        <f>0.013</f>
        <v>0.013</v>
      </c>
      <c r="G25" s="21" t="n">
        <f>67565967850.0</f>
        <v>6.756596785E10</v>
      </c>
      <c r="H25" s="22" t="n">
        <f>20335000.0</f>
        <v>2.0335E7</v>
      </c>
      <c r="I25" s="23" t="n">
        <f>0.011</f>
        <v>0.011</v>
      </c>
    </row>
    <row r="26" spans="1:9" ht="24.9" customHeight="1">
      <c r="A26" s="41"/>
      <c r="B26" s="39"/>
      <c r="C26" s="20" t="s">
        <v>17</v>
      </c>
      <c r="D26" s="21" t="n">
        <f>9762.0</f>
        <v>9762.0</v>
      </c>
      <c r="E26" s="22" t="n">
        <f>0.0</f>
        <v>0.0</v>
      </c>
      <c r="F26" s="23" t="n">
        <f>0.016</f>
        <v>0.016</v>
      </c>
      <c r="G26" s="21" t="n">
        <f>88357336850.0</f>
        <v>8.835733685E10</v>
      </c>
      <c r="H26" s="22" t="n">
        <f>0.0</f>
        <v>0.0</v>
      </c>
      <c r="I26" s="23" t="n">
        <f>0.008</f>
        <v>0.008</v>
      </c>
    </row>
    <row r="27" spans="1:9" ht="24.9" customHeight="1">
      <c r="A27" s="42"/>
      <c r="B27" s="39"/>
      <c r="C27" s="24" t="s">
        <v>18</v>
      </c>
      <c r="D27" s="25" t="n">
        <f>32221.0</f>
        <v>32221.0</v>
      </c>
      <c r="E27" s="26" t="n">
        <f>10.0</f>
        <v>10.0</v>
      </c>
      <c r="F27" s="27" t="n">
        <f>0.016</f>
        <v>0.016</v>
      </c>
      <c r="G27" s="25" t="n">
        <f>324989909600.0</f>
        <v>3.249899096E11</v>
      </c>
      <c r="H27" s="26" t="n">
        <f>20335000.0</f>
        <v>2.0335E7</v>
      </c>
      <c r="I27" s="27" t="n">
        <f>0.014</f>
        <v>0.014</v>
      </c>
    </row>
    <row r="28" spans="1:9" ht="24.9" customHeight="1">
      <c r="A28" s="38" t="s">
        <v>23</v>
      </c>
      <c r="B28" s="39" t="s">
        <v>24</v>
      </c>
      <c r="C28" s="16" t="s">
        <v>15</v>
      </c>
      <c r="D28" s="17" t="n">
        <f>1132.0</f>
        <v>1132.0</v>
      </c>
      <c r="E28" s="18" t="n">
        <f>0.0</f>
        <v>0.0</v>
      </c>
      <c r="F28" s="19" t="n">
        <f>0.001</f>
        <v>0.001</v>
      </c>
      <c r="G28" s="17" t="n">
        <f>4679058500.0</f>
        <v>4.6790585E9</v>
      </c>
      <c r="H28" s="18" t="n">
        <f>0.0</f>
        <v>0.0</v>
      </c>
      <c r="I28" s="19" t="n">
        <f>0.001</f>
        <v>0.001</v>
      </c>
    </row>
    <row r="29" spans="1:9" ht="24.9" customHeight="1">
      <c r="A29" s="38"/>
      <c r="B29" s="39"/>
      <c r="C29" s="20" t="s">
        <v>16</v>
      </c>
      <c r="D29" s="21" t="n">
        <f>448.0</f>
        <v>448.0</v>
      </c>
      <c r="E29" s="22" t="n">
        <f>0.0</f>
        <v>0.0</v>
      </c>
      <c r="F29" s="23" t="n">
        <f>0.001</f>
        <v>0.001</v>
      </c>
      <c r="G29" s="21" t="n">
        <f>1853543500.0</f>
        <v>1.8535435E9</v>
      </c>
      <c r="H29" s="22" t="n">
        <f>0.0</f>
        <v>0.0</v>
      </c>
      <c r="I29" s="23" t="n">
        <f>0.0</f>
        <v>0.0</v>
      </c>
    </row>
    <row r="30" spans="1:9" ht="24.9" customHeight="1">
      <c r="A30" s="38"/>
      <c r="B30" s="39"/>
      <c r="C30" s="20" t="s">
        <v>17</v>
      </c>
      <c r="D30" s="21" t="n">
        <f>1241.0</f>
        <v>1241.0</v>
      </c>
      <c r="E30" s="22" t="n">
        <f>1.0</f>
        <v>1.0</v>
      </c>
      <c r="F30" s="23" t="n">
        <f>0.002</f>
        <v>0.002</v>
      </c>
      <c r="G30" s="21" t="n">
        <f>5076865000.0</f>
        <v>5.076865E9</v>
      </c>
      <c r="H30" s="22" t="n">
        <f>4450000.0</f>
        <v>4450000.0</v>
      </c>
      <c r="I30" s="23" t="n">
        <f>0.0</f>
        <v>0.0</v>
      </c>
    </row>
    <row r="31" spans="1:9" ht="24.9" customHeight="1">
      <c r="A31" s="38"/>
      <c r="B31" s="39"/>
      <c r="C31" s="24" t="s">
        <v>18</v>
      </c>
      <c r="D31" s="25" t="n">
        <f>2821.0</f>
        <v>2821.0</v>
      </c>
      <c r="E31" s="26" t="n">
        <f>1.0</f>
        <v>1.0</v>
      </c>
      <c r="F31" s="27" t="n">
        <f>0.001</f>
        <v>0.001</v>
      </c>
      <c r="G31" s="25" t="n">
        <f>11609467000.0</f>
        <v>1.1609467E10</v>
      </c>
      <c r="H31" s="26" t="n">
        <f>4450000.0</f>
        <v>4450000.0</v>
      </c>
      <c r="I31" s="27" t="n">
        <f>0.0</f>
        <v>0.0</v>
      </c>
    </row>
  </sheetData>
  <mergeCells count="16">
    <mergeCell ref="A1:I1"/>
    <mergeCell ref="A2:I2"/>
    <mergeCell ref="A3:I3"/>
    <mergeCell ref="A4:I4"/>
    <mergeCell ref="D10:E10"/>
    <mergeCell ref="F10:F11"/>
    <mergeCell ref="G10:H10"/>
    <mergeCell ref="I10:I11"/>
    <mergeCell ref="A28:A31"/>
    <mergeCell ref="B28:B31"/>
    <mergeCell ref="A12:A15"/>
    <mergeCell ref="B12:B15"/>
    <mergeCell ref="A16:A27"/>
    <mergeCell ref="B16:B19"/>
    <mergeCell ref="B20:B23"/>
    <mergeCell ref="B24:B27"/>
  </mergeCells>
  <phoneticPr fontId="10"/>
  <pageMargins left="0.23622047244094491" right="0.23622047244094491" top="0.74803149606299213" bottom="0.74803149606299213" header="0.31496062992125984" footer="0.31496062992125984"/>
  <pageSetup paperSize="9" scale="5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E6CAF-0701-4701-AF89-4CE79E80416A}">
  <sheetPr codeName="Sheet2">
    <pageSetUpPr fitToPage="1"/>
  </sheetPr>
  <dimension ref="A1:I30"/>
  <sheetViews>
    <sheetView showGridLines="0" view="pageBreakPreview" zoomScale="85" zoomScaleNormal="85" zoomScaleSheetLayoutView="85" workbookViewId="0" tabSelected="false">
      <selection sqref="A1:I1"/>
    </sheetView>
  </sheetViews>
  <sheetFormatPr defaultColWidth="9" defaultRowHeight="13.2"/>
  <cols>
    <col min="1" max="1" customWidth="true" style="28" width="4.6640625" collapsed="true"/>
    <col min="2" max="2" bestFit="true" customWidth="true" style="28" width="28.0" collapsed="true"/>
    <col min="3" max="3" customWidth="true" style="28" width="18.0" collapsed="true"/>
    <col min="4" max="5" customWidth="true" style="28" width="22.6640625" collapsed="true"/>
    <col min="6" max="6" customWidth="true" style="28" width="16.6640625" collapsed="true"/>
    <col min="7" max="8" customWidth="true" style="28" width="22.6640625" collapsed="true"/>
    <col min="9" max="9" customWidth="true" style="28" width="16.6640625" collapsed="true"/>
    <col min="10" max="16384" style="28" width="9.0" collapsed="true"/>
  </cols>
  <sheetData>
    <row r="1" spans="1:9" ht="28.5" customHeight="1">
      <c r="A1" s="43" t="s">
        <v>25</v>
      </c>
      <c r="B1" s="43"/>
      <c r="C1" s="43"/>
      <c r="D1" s="43"/>
      <c r="E1" s="43"/>
      <c r="F1" s="43"/>
      <c r="G1" s="43"/>
      <c r="H1" s="43"/>
      <c r="I1" s="43"/>
    </row>
    <row r="2" spans="1:9" ht="23.1" customHeight="1">
      <c r="A2" s="43" t="s">
        <v>2</v>
      </c>
      <c r="B2" s="43"/>
      <c r="C2" s="43"/>
      <c r="D2" s="43"/>
      <c r="E2" s="43"/>
      <c r="F2" s="43"/>
      <c r="G2" s="43"/>
      <c r="H2" s="43"/>
      <c r="I2" s="43"/>
    </row>
    <row r="3" spans="1:9" ht="16.5" customHeight="1">
      <c r="A3" s="44" t="n">
        <f>summary_data_Futures!A3:I3</f>
        <v>46175.0</v>
      </c>
      <c r="B3" s="44"/>
      <c r="C3" s="44"/>
      <c r="D3" s="44"/>
      <c r="E3" s="44"/>
      <c r="F3" s="44"/>
      <c r="G3" s="44"/>
      <c r="H3" s="44"/>
      <c r="I3" s="44"/>
    </row>
    <row r="4" spans="1:9" ht="16.5" customHeight="1">
      <c r="A4" s="45" t="n">
        <f>summary_data_Futures!A4:I4</f>
        <v>46175.0</v>
      </c>
      <c r="B4" s="45"/>
      <c r="C4" s="45"/>
      <c r="D4" s="45"/>
      <c r="E4" s="45"/>
      <c r="F4" s="45"/>
      <c r="G4" s="45"/>
      <c r="H4" s="45"/>
      <c r="I4" s="45"/>
    </row>
    <row r="5" spans="1:9" ht="9.75" customHeight="1">
      <c r="A5" s="5"/>
      <c r="B5" s="5"/>
      <c r="C5" s="5"/>
      <c r="D5" s="5"/>
      <c r="E5" s="5"/>
      <c r="F5" s="6"/>
      <c r="G5" s="6"/>
      <c r="H5" s="6"/>
      <c r="I5" s="6"/>
    </row>
    <row r="6" spans="1:9" ht="14.25" customHeight="1">
      <c r="A6" s="7" t="s">
        <v>26</v>
      </c>
      <c r="B6" s="8"/>
      <c r="C6" s="9"/>
      <c r="D6" s="9"/>
      <c r="E6" s="9"/>
      <c r="F6" s="6"/>
      <c r="G6" s="9"/>
      <c r="H6" s="6"/>
      <c r="I6" s="6"/>
    </row>
    <row r="7" spans="1:9" ht="14.25" customHeight="1">
      <c r="A7" s="10" t="s">
        <v>27</v>
      </c>
      <c r="B7" s="10"/>
      <c r="C7" s="11"/>
      <c r="D7" s="11"/>
      <c r="E7" s="11"/>
      <c r="F7" s="11"/>
      <c r="G7" s="11"/>
      <c r="H7" s="11"/>
      <c r="I7" s="11"/>
    </row>
    <row r="8" spans="1:9" ht="14.25" customHeight="1">
      <c r="A8" s="10" t="s">
        <v>28</v>
      </c>
      <c r="B8" s="10"/>
      <c r="C8" s="11"/>
      <c r="D8" s="11"/>
      <c r="E8" s="11"/>
      <c r="F8" s="11"/>
      <c r="G8" s="11"/>
      <c r="H8" s="11"/>
      <c r="I8" s="11"/>
    </row>
    <row r="9" spans="1:9" ht="24.9" customHeight="1">
      <c r="A9" s="12"/>
      <c r="B9" s="12" t="s">
        <v>7</v>
      </c>
      <c r="C9" s="12" t="s">
        <v>0</v>
      </c>
      <c r="D9" s="46" t="s">
        <v>8</v>
      </c>
      <c r="E9" s="47"/>
      <c r="F9" s="48" t="s">
        <v>9</v>
      </c>
      <c r="G9" s="50" t="s">
        <v>10</v>
      </c>
      <c r="H9" s="47"/>
      <c r="I9" s="48" t="s">
        <v>113</v>
      </c>
    </row>
    <row r="10" spans="1:9" ht="24.9" customHeight="1">
      <c r="A10" s="13"/>
      <c r="B10" s="13" t="s">
        <v>11</v>
      </c>
      <c r="C10" s="13" t="s">
        <v>12</v>
      </c>
      <c r="D10" s="14" t="s">
        <v>102</v>
      </c>
      <c r="E10" s="15" t="s">
        <v>101</v>
      </c>
      <c r="F10" s="49"/>
      <c r="G10" s="14" t="s">
        <v>114</v>
      </c>
      <c r="H10" s="15" t="s">
        <v>101</v>
      </c>
      <c r="I10" s="49"/>
    </row>
    <row r="11" spans="1:9" ht="24.9" customHeight="1">
      <c r="A11" s="40" t="s">
        <v>13</v>
      </c>
      <c r="B11" s="39" t="s">
        <v>29</v>
      </c>
      <c r="C11" s="16" t="s">
        <v>15</v>
      </c>
      <c r="D11" s="17" t="n">
        <f>32508</f>
        <v>32508.0</v>
      </c>
      <c r="E11" s="18" t="n">
        <f>5513</f>
        <v>5513.0</v>
      </c>
      <c r="F11" s="19" t="n">
        <f>1</f>
        <v>1.0</v>
      </c>
      <c r="G11" s="17" t="n">
        <f>7983430610</f>
        <v>7.98343061E9</v>
      </c>
      <c r="H11" s="18" t="n">
        <f>4700341110</f>
        <v>4.70034111E9</v>
      </c>
      <c r="I11" s="19" t="n">
        <f>1</f>
        <v>1.0</v>
      </c>
    </row>
    <row r="12" spans="1:9" ht="24.9" customHeight="1">
      <c r="A12" s="41"/>
      <c r="B12" s="39"/>
      <c r="C12" s="20" t="s">
        <v>16</v>
      </c>
      <c r="D12" s="21" t="n">
        <f>31827</f>
        <v>31827.0</v>
      </c>
      <c r="E12" s="22" t="n">
        <f>6358</f>
        <v>6358.0</v>
      </c>
      <c r="F12" s="23" t="n">
        <f>1</f>
        <v>1.0</v>
      </c>
      <c r="G12" s="21" t="n">
        <f>7728338439</f>
        <v>7.728338439E9</v>
      </c>
      <c r="H12" s="22" t="n">
        <f>5218919143</f>
        <v>5.218919143E9</v>
      </c>
      <c r="I12" s="23" t="n">
        <f>1</f>
        <v>1.0</v>
      </c>
    </row>
    <row r="13" spans="1:9" ht="24.9" customHeight="1">
      <c r="A13" s="41"/>
      <c r="B13" s="39"/>
      <c r="C13" s="20" t="s">
        <v>17</v>
      </c>
      <c r="D13" s="21" t="n">
        <f>55863</f>
        <v>55863.0</v>
      </c>
      <c r="E13" s="22" t="n">
        <f>23973</f>
        <v>23973.0</v>
      </c>
      <c r="F13" s="23" t="n">
        <f>1</f>
        <v>1.0</v>
      </c>
      <c r="G13" s="21" t="n">
        <f>19172639532</f>
        <v>1.9172639532E10</v>
      </c>
      <c r="H13" s="22" t="n">
        <f>14739917589</f>
        <v>1.4739917589E10</v>
      </c>
      <c r="I13" s="23" t="n">
        <f>1</f>
        <v>1.0</v>
      </c>
    </row>
    <row r="14" spans="1:9" ht="24.9" customHeight="1">
      <c r="A14" s="42"/>
      <c r="B14" s="39"/>
      <c r="C14" s="24" t="s">
        <v>18</v>
      </c>
      <c r="D14" s="25" t="n">
        <f>120198</f>
        <v>120198.0</v>
      </c>
      <c r="E14" s="26" t="n">
        <f>35844</f>
        <v>35844.0</v>
      </c>
      <c r="F14" s="27" t="n">
        <f>1</f>
        <v>1.0</v>
      </c>
      <c r="G14" s="25" t="n">
        <f>34884408581</f>
        <v>3.4884408581E10</v>
      </c>
      <c r="H14" s="26" t="n">
        <f>24659177842</f>
        <v>2.4659177842E10</v>
      </c>
      <c r="I14" s="27" t="n">
        <f>1</f>
        <v>1.0</v>
      </c>
    </row>
    <row r="15" spans="1:9" ht="24.9" customHeight="1">
      <c r="A15" s="40" t="s">
        <v>19</v>
      </c>
      <c r="B15" s="39" t="s">
        <v>30</v>
      </c>
      <c r="C15" s="16" t="s">
        <v>15</v>
      </c>
      <c r="D15" s="17" t="n">
        <f>1</f>
        <v>1.0</v>
      </c>
      <c r="E15" s="18" t="n">
        <f>0</f>
        <v>0.0</v>
      </c>
      <c r="F15" s="19" t="n">
        <f>0</f>
        <v>0.0</v>
      </c>
      <c r="G15" s="17" t="n">
        <f>320000</f>
        <v>320000.0</v>
      </c>
      <c r="H15" s="18" t="n">
        <f>0</f>
        <v>0.0</v>
      </c>
      <c r="I15" s="19" t="n">
        <f>0</f>
        <v>0.0</v>
      </c>
    </row>
    <row r="16" spans="1:9" ht="24.9" customHeight="1">
      <c r="A16" s="41"/>
      <c r="B16" s="39"/>
      <c r="C16" s="20" t="s">
        <v>16</v>
      </c>
      <c r="D16" s="21" t="n">
        <f>65</f>
        <v>65.0</v>
      </c>
      <c r="E16" s="22" t="n">
        <f>0</f>
        <v>0.0</v>
      </c>
      <c r="F16" s="23" t="n">
        <f>0.002</f>
        <v>0.002</v>
      </c>
      <c r="G16" s="21" t="n">
        <f>17240000</f>
        <v>1.724E7</v>
      </c>
      <c r="H16" s="22" t="n">
        <f>0</f>
        <v>0.0</v>
      </c>
      <c r="I16" s="23" t="n">
        <f>0.002</f>
        <v>0.002</v>
      </c>
    </row>
    <row r="17" spans="1:9" ht="24.9" customHeight="1">
      <c r="A17" s="41"/>
      <c r="B17" s="39"/>
      <c r="C17" s="20" t="s">
        <v>17</v>
      </c>
      <c r="D17" s="21" t="n">
        <f>278</f>
        <v>278.0</v>
      </c>
      <c r="E17" s="22" t="n">
        <f>0</f>
        <v>0.0</v>
      </c>
      <c r="F17" s="23" t="n">
        <f>0.005</f>
        <v>0.005</v>
      </c>
      <c r="G17" s="21" t="n">
        <f>64670000</f>
        <v>6.467E7</v>
      </c>
      <c r="H17" s="22" t="n">
        <f>0</f>
        <v>0.0</v>
      </c>
      <c r="I17" s="23" t="n">
        <f>0.003</f>
        <v>0.003</v>
      </c>
    </row>
    <row r="18" spans="1:9" ht="24.9" customHeight="1">
      <c r="A18" s="41"/>
      <c r="B18" s="39"/>
      <c r="C18" s="24" t="s">
        <v>18</v>
      </c>
      <c r="D18" s="25" t="n">
        <f>344</f>
        <v>344.0</v>
      </c>
      <c r="E18" s="26" t="n">
        <f>0</f>
        <v>0.0</v>
      </c>
      <c r="F18" s="27" t="n">
        <f>0.003</f>
        <v>0.003</v>
      </c>
      <c r="G18" s="25" t="n">
        <f>82230000</f>
        <v>8.223E7</v>
      </c>
      <c r="H18" s="26" t="n">
        <f>0</f>
        <v>0.0</v>
      </c>
      <c r="I18" s="27" t="n">
        <f>0.002</f>
        <v>0.002</v>
      </c>
    </row>
    <row r="19" spans="1:9" ht="24.9" customHeight="1">
      <c r="A19" s="41"/>
      <c r="B19" s="39" t="s">
        <v>31</v>
      </c>
      <c r="C19" s="16" t="s">
        <v>15</v>
      </c>
      <c r="D19" s="17" t="n">
        <f>32507</f>
        <v>32507.0</v>
      </c>
      <c r="E19" s="18" t="n">
        <f>5513</f>
        <v>5513.0</v>
      </c>
      <c r="F19" s="19" t="n">
        <f>1</f>
        <v>1.0</v>
      </c>
      <c r="G19" s="17" t="n">
        <f>7983110610</f>
        <v>7.98311061E9</v>
      </c>
      <c r="H19" s="18" t="n">
        <f>4700341110</f>
        <v>4.70034111E9</v>
      </c>
      <c r="I19" s="19" t="n">
        <f>1</f>
        <v>1.0</v>
      </c>
    </row>
    <row r="20" spans="1:9" ht="24.9" customHeight="1">
      <c r="A20" s="41"/>
      <c r="B20" s="39"/>
      <c r="C20" s="20" t="s">
        <v>16</v>
      </c>
      <c r="D20" s="21" t="n">
        <f>26621</f>
        <v>26621.0</v>
      </c>
      <c r="E20" s="22" t="n">
        <f>6358</f>
        <v>6358.0</v>
      </c>
      <c r="F20" s="23" t="n">
        <f>0.836</f>
        <v>0.836</v>
      </c>
      <c r="G20" s="21" t="n">
        <f>7670977043</f>
        <v>7.670977043E9</v>
      </c>
      <c r="H20" s="22" t="n">
        <f>5218919143</f>
        <v>5.218919143E9</v>
      </c>
      <c r="I20" s="23" t="n">
        <f>0.993</f>
        <v>0.993</v>
      </c>
    </row>
    <row r="21" spans="1:9" ht="24.9" customHeight="1">
      <c r="A21" s="41"/>
      <c r="B21" s="39"/>
      <c r="C21" s="20" t="s">
        <v>17</v>
      </c>
      <c r="D21" s="21" t="n">
        <f>47323</f>
        <v>47323.0</v>
      </c>
      <c r="E21" s="22" t="n">
        <f>19373</f>
        <v>19373.0</v>
      </c>
      <c r="F21" s="23" t="n">
        <f>0.847</f>
        <v>0.847</v>
      </c>
      <c r="G21" s="21" t="n">
        <f>18625612689</f>
        <v>1.8625612689E10</v>
      </c>
      <c r="H21" s="22" t="n">
        <f>14322767589</f>
        <v>1.4322767589E10</v>
      </c>
      <c r="I21" s="23" t="n">
        <f>0.971</f>
        <v>0.971</v>
      </c>
    </row>
    <row r="22" spans="1:9" ht="24.9" customHeight="1">
      <c r="A22" s="41"/>
      <c r="B22" s="39"/>
      <c r="C22" s="24" t="s">
        <v>18</v>
      </c>
      <c r="D22" s="25" t="n">
        <f>106451</f>
        <v>106451.0</v>
      </c>
      <c r="E22" s="26" t="n">
        <f>31244</f>
        <v>31244.0</v>
      </c>
      <c r="F22" s="27" t="n">
        <f>0.886</f>
        <v>0.886</v>
      </c>
      <c r="G22" s="25" t="n">
        <f>34279700342</f>
        <v>3.4279700342E10</v>
      </c>
      <c r="H22" s="26" t="n">
        <f>24242027842</f>
        <v>2.4242027842E10</v>
      </c>
      <c r="I22" s="27" t="n">
        <f>0.983</f>
        <v>0.983</v>
      </c>
    </row>
    <row r="23" spans="1:9" ht="24.9" customHeight="1">
      <c r="A23" s="41"/>
      <c r="B23" s="39" t="s">
        <v>32</v>
      </c>
      <c r="C23" s="16" t="s">
        <v>15</v>
      </c>
      <c r="D23" s="1" t="str">
        <f>"－"</f>
        <v>－</v>
      </c>
      <c r="E23" s="2" t="str">
        <f>"－"</f>
        <v>－</v>
      </c>
      <c r="F23" s="3" t="str">
        <f>"－"</f>
        <v>－</v>
      </c>
      <c r="G23" s="1" t="str">
        <f>"－"</f>
        <v>－</v>
      </c>
      <c r="H23" s="2" t="str">
        <f>"－"</f>
        <v>－</v>
      </c>
      <c r="I23" s="3" t="str">
        <f>"－"</f>
        <v>－</v>
      </c>
    </row>
    <row r="24" spans="1:9" ht="24.9" customHeight="1">
      <c r="A24" s="41"/>
      <c r="B24" s="39"/>
      <c r="C24" s="20" t="s">
        <v>16</v>
      </c>
      <c r="D24" s="21" t="n">
        <f>5141</f>
        <v>5141.0</v>
      </c>
      <c r="E24" s="22" t="n">
        <f>0</f>
        <v>0.0</v>
      </c>
      <c r="F24" s="23" t="n">
        <f>0.162</f>
        <v>0.162</v>
      </c>
      <c r="G24" s="21" t="n">
        <f>40121396</f>
        <v>4.0121396E7</v>
      </c>
      <c r="H24" s="22" t="n">
        <f>0</f>
        <v>0.0</v>
      </c>
      <c r="I24" s="23" t="n">
        <f>0.005</f>
        <v>0.005</v>
      </c>
    </row>
    <row r="25" spans="1:9" ht="24.9" customHeight="1">
      <c r="A25" s="41"/>
      <c r="B25" s="39"/>
      <c r="C25" s="20" t="s">
        <v>17</v>
      </c>
      <c r="D25" s="21" t="n">
        <f>8262</f>
        <v>8262.0</v>
      </c>
      <c r="E25" s="22" t="n">
        <f>4600</f>
        <v>4600.0</v>
      </c>
      <c r="F25" s="23" t="n">
        <f>0.148</f>
        <v>0.148</v>
      </c>
      <c r="G25" s="21" t="n">
        <f>482356843</f>
        <v>4.82356843E8</v>
      </c>
      <c r="H25" s="22" t="n">
        <f>417150000</f>
        <v>4.1715E8</v>
      </c>
      <c r="I25" s="23" t="n">
        <f>0.025</f>
        <v>0.025</v>
      </c>
    </row>
    <row r="26" spans="1:9" ht="24.9" customHeight="1">
      <c r="A26" s="41"/>
      <c r="B26" s="39"/>
      <c r="C26" s="24" t="s">
        <v>18</v>
      </c>
      <c r="D26" s="25" t="n">
        <f>13403</f>
        <v>13403.0</v>
      </c>
      <c r="E26" s="26" t="n">
        <f>4600</f>
        <v>4600.0</v>
      </c>
      <c r="F26" s="27" t="n">
        <f>0.112</f>
        <v>0.112</v>
      </c>
      <c r="G26" s="25" t="n">
        <f>522478239</f>
        <v>5.22478239E8</v>
      </c>
      <c r="H26" s="26" t="n">
        <f>417150000</f>
        <v>4.1715E8</v>
      </c>
      <c r="I26" s="27" t="n">
        <f>0.015</f>
        <v>0.015</v>
      </c>
    </row>
    <row r="27" spans="1:9" ht="24.9" customHeight="1">
      <c r="A27" s="41"/>
      <c r="B27" s="39" t="s">
        <v>33</v>
      </c>
      <c r="C27" s="16" t="s">
        <v>15</v>
      </c>
      <c r="D27" s="17" t="n">
        <f>0</f>
        <v>0.0</v>
      </c>
      <c r="E27" s="18" t="n">
        <f>0</f>
        <v>0.0</v>
      </c>
      <c r="F27" s="19" t="n">
        <f>0</f>
        <v>0.0</v>
      </c>
      <c r="G27" s="17" t="n">
        <f>0</f>
        <v>0.0</v>
      </c>
      <c r="H27" s="18" t="n">
        <f>0</f>
        <v>0.0</v>
      </c>
      <c r="I27" s="19" t="n">
        <f>0</f>
        <v>0.0</v>
      </c>
    </row>
    <row r="28" spans="1:9" ht="24.9" customHeight="1">
      <c r="A28" s="41"/>
      <c r="B28" s="39"/>
      <c r="C28" s="20" t="s">
        <v>16</v>
      </c>
      <c r="D28" s="21" t="n">
        <f>0</f>
        <v>0.0</v>
      </c>
      <c r="E28" s="22" t="n">
        <f>0</f>
        <v>0.0</v>
      </c>
      <c r="F28" s="23" t="n">
        <f>0</f>
        <v>0.0</v>
      </c>
      <c r="G28" s="21" t="n">
        <f>0</f>
        <v>0.0</v>
      </c>
      <c r="H28" s="22" t="n">
        <f>0</f>
        <v>0.0</v>
      </c>
      <c r="I28" s="23" t="n">
        <f>0</f>
        <v>0.0</v>
      </c>
    </row>
    <row r="29" spans="1:9" ht="24.9" customHeight="1">
      <c r="A29" s="41"/>
      <c r="B29" s="39"/>
      <c r="C29" s="20" t="s">
        <v>17</v>
      </c>
      <c r="D29" s="21" t="n">
        <f>0</f>
        <v>0.0</v>
      </c>
      <c r="E29" s="22" t="n">
        <f>0</f>
        <v>0.0</v>
      </c>
      <c r="F29" s="23" t="n">
        <f>0</f>
        <v>0.0</v>
      </c>
      <c r="G29" s="21" t="n">
        <f>0</f>
        <v>0.0</v>
      </c>
      <c r="H29" s="22" t="n">
        <f>0</f>
        <v>0.0</v>
      </c>
      <c r="I29" s="23" t="n">
        <f>0</f>
        <v>0.0</v>
      </c>
    </row>
    <row r="30" spans="1:9" ht="24.9" customHeight="1">
      <c r="A30" s="42"/>
      <c r="B30" s="39"/>
      <c r="C30" s="24" t="s">
        <v>18</v>
      </c>
      <c r="D30" s="25" t="n">
        <f>0</f>
        <v>0.0</v>
      </c>
      <c r="E30" s="26" t="n">
        <f>0</f>
        <v>0.0</v>
      </c>
      <c r="F30" s="27" t="n">
        <f>0</f>
        <v>0.0</v>
      </c>
      <c r="G30" s="25" t="n">
        <f>0</f>
        <v>0.0</v>
      </c>
      <c r="H30" s="26" t="n">
        <f>0</f>
        <v>0.0</v>
      </c>
      <c r="I30" s="27" t="n">
        <f>0</f>
        <v>0.0</v>
      </c>
    </row>
  </sheetData>
  <mergeCells count="15">
    <mergeCell ref="A1:I1"/>
    <mergeCell ref="A2:I2"/>
    <mergeCell ref="A3:I3"/>
    <mergeCell ref="A4:I4"/>
    <mergeCell ref="D9:E9"/>
    <mergeCell ref="F9:F10"/>
    <mergeCell ref="G9:H9"/>
    <mergeCell ref="I9:I10"/>
    <mergeCell ref="A11:A14"/>
    <mergeCell ref="B11:B14"/>
    <mergeCell ref="A15:A30"/>
    <mergeCell ref="B15:B18"/>
    <mergeCell ref="B19:B22"/>
    <mergeCell ref="B23:B26"/>
    <mergeCell ref="B27:B30"/>
  </mergeCells>
  <phoneticPr fontId="10"/>
  <pageMargins left="0.23622047244094491" right="0.23622047244094491" top="0.74803149606299213" bottom="0.74803149606299213" header="0.31496062992125984" footer="0.31496062992125984"/>
  <pageSetup paperSize="9" scale="5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71C6D-E30D-44B8-A6AB-7B8B1A9B9EDB}">
  <sheetPr codeName="Sheet3">
    <pageSetUpPr fitToPage="1"/>
  </sheetPr>
  <dimension ref="A1:H283"/>
  <sheetViews>
    <sheetView showGridLines="0" view="pageBreakPreview" zoomScale="85" zoomScaleNormal="85" zoomScaleSheetLayoutView="85" workbookViewId="0" tabSelected="false">
      <selection sqref="A1:H1"/>
    </sheetView>
  </sheetViews>
  <sheetFormatPr defaultColWidth="9" defaultRowHeight="13.2"/>
  <cols>
    <col min="1" max="1" customWidth="true" style="4" width="4.6640625" collapsed="true"/>
    <col min="2" max="2" customWidth="true" style="4" width="7.88671875" collapsed="true"/>
    <col min="3" max="3" customWidth="true" style="4" width="29.77734375" collapsed="true"/>
    <col min="4" max="4" bestFit="true" customWidth="true" style="4" width="14.6640625" collapsed="true"/>
    <col min="5" max="8" customWidth="true" style="4" width="21.109375" collapsed="true"/>
    <col min="9" max="16384" style="4" width="9.0" collapsed="true"/>
  </cols>
  <sheetData>
    <row r="1" spans="1:8" ht="28.5" customHeight="1">
      <c r="A1" s="43" t="s">
        <v>34</v>
      </c>
      <c r="B1" s="43"/>
      <c r="C1" s="43"/>
      <c r="D1" s="43"/>
      <c r="E1" s="43"/>
      <c r="F1" s="43"/>
      <c r="G1" s="43"/>
      <c r="H1" s="43"/>
    </row>
    <row r="2" spans="1:8" ht="23.1" customHeight="1">
      <c r="A2" s="43" t="s">
        <v>2</v>
      </c>
      <c r="B2" s="43"/>
      <c r="C2" s="43"/>
      <c r="D2" s="43"/>
      <c r="E2" s="43"/>
      <c r="F2" s="43"/>
      <c r="G2" s="43"/>
      <c r="H2" s="43"/>
    </row>
    <row r="3" spans="1:8" ht="16.5" customHeight="1">
      <c r="A3" s="60" t="n">
        <f>summary_data_Futures!A3:I3</f>
        <v>46175.0</v>
      </c>
      <c r="B3" s="44"/>
      <c r="C3" s="44"/>
      <c r="D3" s="44"/>
      <c r="E3" s="44"/>
      <c r="F3" s="44"/>
      <c r="G3" s="44"/>
      <c r="H3" s="44"/>
    </row>
    <row r="4" spans="1:8" ht="16.5" customHeight="1">
      <c r="A4" s="45" t="n">
        <f>summary_data_Futures!A4:I4</f>
        <v>46175.0</v>
      </c>
      <c r="B4" s="45"/>
      <c r="C4" s="45"/>
      <c r="D4" s="45"/>
      <c r="E4" s="45"/>
      <c r="F4" s="45"/>
      <c r="G4" s="45"/>
      <c r="H4" s="45"/>
    </row>
    <row r="5" spans="1:8" ht="9.75" customHeight="1">
      <c r="A5" s="29"/>
      <c r="B5" s="5"/>
      <c r="C5" s="5"/>
      <c r="D5" s="5"/>
      <c r="E5" s="5"/>
      <c r="F5" s="5"/>
      <c r="G5" s="5"/>
      <c r="H5" s="5"/>
    </row>
    <row r="6" spans="1:8" ht="14.25" customHeight="1">
      <c r="A6" s="7" t="s">
        <v>35</v>
      </c>
      <c r="B6" s="8"/>
      <c r="C6" s="9"/>
      <c r="D6" s="9"/>
      <c r="E6" s="9"/>
      <c r="F6" s="6"/>
      <c r="G6" s="9"/>
      <c r="H6" s="6"/>
    </row>
    <row r="7" spans="1:8" ht="14.25" customHeight="1">
      <c r="A7" s="10" t="s">
        <v>4</v>
      </c>
      <c r="B7" s="10"/>
      <c r="C7" s="11"/>
      <c r="D7" s="11"/>
      <c r="E7" s="11"/>
      <c r="F7" s="11"/>
      <c r="G7" s="11"/>
      <c r="H7" s="11"/>
    </row>
    <row r="8" spans="1:8" ht="14.25" customHeight="1">
      <c r="A8" s="10" t="s">
        <v>5</v>
      </c>
      <c r="B8" s="10"/>
      <c r="C8" s="11"/>
      <c r="D8" s="11"/>
      <c r="E8" s="11"/>
      <c r="F8" s="11"/>
      <c r="G8" s="11"/>
      <c r="H8" s="11"/>
    </row>
    <row r="9" spans="1:8" ht="14.25" customHeight="1">
      <c r="A9" s="10" t="s">
        <v>6</v>
      </c>
      <c r="B9" s="10"/>
      <c r="C9" s="11"/>
      <c r="D9" s="11"/>
      <c r="E9" s="11"/>
      <c r="F9" s="11"/>
      <c r="G9" s="11"/>
      <c r="H9" s="11"/>
    </row>
    <row r="10" spans="1:8" ht="24.9" customHeight="1">
      <c r="A10" s="30"/>
      <c r="B10" s="31"/>
      <c r="C10" s="12" t="s">
        <v>7</v>
      </c>
      <c r="D10" s="12" t="s">
        <v>0</v>
      </c>
      <c r="E10" s="46" t="s">
        <v>8</v>
      </c>
      <c r="F10" s="47"/>
      <c r="G10" s="50" t="s">
        <v>10</v>
      </c>
      <c r="H10" s="47"/>
    </row>
    <row r="11" spans="1:8" ht="24.9" customHeight="1">
      <c r="A11" s="32"/>
      <c r="B11" s="33"/>
      <c r="C11" s="13" t="s">
        <v>11</v>
      </c>
      <c r="D11" s="13" t="s">
        <v>12</v>
      </c>
      <c r="E11" s="14" t="s">
        <v>102</v>
      </c>
      <c r="F11" s="15" t="s">
        <v>101</v>
      </c>
      <c r="G11" s="14" t="s">
        <v>114</v>
      </c>
      <c r="H11" s="15" t="s">
        <v>101</v>
      </c>
    </row>
    <row r="12" spans="1:8" ht="24.9" customHeight="1">
      <c r="A12" s="51" t="s">
        <v>19</v>
      </c>
      <c r="B12" s="56" t="s">
        <v>36</v>
      </c>
      <c r="C12" s="39" t="s">
        <v>37</v>
      </c>
      <c r="D12" s="16" t="s">
        <v>15</v>
      </c>
      <c r="E12" s="17" t="n">
        <v>14496.0</v>
      </c>
      <c r="F12" s="18" t="n">
        <f>1694</f>
        <v>1694.0</v>
      </c>
      <c r="G12" s="17" t="n">
        <v>9.7086165148E11</v>
      </c>
      <c r="H12" s="18" t="n">
        <f>113478768480</f>
        <v>1.1347876848E11</v>
      </c>
    </row>
    <row r="13" spans="1:8" ht="24.9" customHeight="1">
      <c r="A13" s="51"/>
      <c r="B13" s="57"/>
      <c r="C13" s="39"/>
      <c r="D13" s="20" t="s">
        <v>16</v>
      </c>
      <c r="E13" s="21" t="n">
        <v>15816.0</v>
      </c>
      <c r="F13" s="22" t="n">
        <f>730</f>
        <v>730.0</v>
      </c>
      <c r="G13" s="21" t="n">
        <v>1.0504162468E12</v>
      </c>
      <c r="H13" s="22" t="n">
        <f>48491822800</f>
        <v>4.84918228E10</v>
      </c>
    </row>
    <row r="14" spans="1:8" ht="24.9" customHeight="1">
      <c r="A14" s="51"/>
      <c r="B14" s="57"/>
      <c r="C14" s="39"/>
      <c r="D14" s="20" t="s">
        <v>17</v>
      </c>
      <c r="E14" s="21" t="n">
        <v>28578.0</v>
      </c>
      <c r="F14" s="22" t="n">
        <f>10194</f>
        <v>10194.0</v>
      </c>
      <c r="G14" s="21" t="n">
        <v>1.8934787821E12</v>
      </c>
      <c r="H14" s="22" t="n">
        <f>675579128100</f>
        <v>6.755791281E11</v>
      </c>
    </row>
    <row r="15" spans="1:8" ht="24.9" customHeight="1">
      <c r="A15" s="51"/>
      <c r="B15" s="57"/>
      <c r="C15" s="39"/>
      <c r="D15" s="24" t="s">
        <v>18</v>
      </c>
      <c r="E15" s="25" t="n">
        <v>58890.0</v>
      </c>
      <c r="F15" s="26" t="n">
        <f>12618</f>
        <v>12618.0</v>
      </c>
      <c r="G15" s="25" t="n">
        <v>3.91475668038E12</v>
      </c>
      <c r="H15" s="26" t="n">
        <f>837549719380</f>
        <v>8.3754971938E11</v>
      </c>
    </row>
    <row r="16" spans="1:8" ht="24.9" customHeight="1">
      <c r="A16" s="51"/>
      <c r="B16" s="57"/>
      <c r="C16" s="39" t="s">
        <v>38</v>
      </c>
      <c r="D16" s="16" t="s">
        <v>15</v>
      </c>
      <c r="E16" s="17" t="n">
        <v>298682.0</v>
      </c>
      <c r="F16" s="18" t="n">
        <f>25131</f>
        <v>25131.0</v>
      </c>
      <c r="G16" s="17" t="n">
        <v>1.999777493405E12</v>
      </c>
      <c r="H16" s="18" t="n">
        <f>168252037405</f>
        <v>1.68252037405E11</v>
      </c>
    </row>
    <row r="17" spans="1:8" ht="24.9" customHeight="1">
      <c r="A17" s="51"/>
      <c r="B17" s="57"/>
      <c r="C17" s="39"/>
      <c r="D17" s="20" t="s">
        <v>16</v>
      </c>
      <c r="E17" s="21" t="n">
        <v>220340.0</v>
      </c>
      <c r="F17" s="22" t="n">
        <f>23020</f>
        <v>23020.0</v>
      </c>
      <c r="G17" s="21" t="n">
        <v>1.46376618276E12</v>
      </c>
      <c r="H17" s="22" t="n">
        <f>152924643660</f>
        <v>1.5292464366E11</v>
      </c>
    </row>
    <row r="18" spans="1:8" ht="24.9" customHeight="1">
      <c r="A18" s="51"/>
      <c r="B18" s="57"/>
      <c r="C18" s="39"/>
      <c r="D18" s="20" t="s">
        <v>17</v>
      </c>
      <c r="E18" s="21" t="n">
        <v>228515.0</v>
      </c>
      <c r="F18" s="22" t="n">
        <f>30728</f>
        <v>30728.0</v>
      </c>
      <c r="G18" s="21" t="n">
        <v>1.51188687252E12</v>
      </c>
      <c r="H18" s="22" t="n">
        <f>203013966020</f>
        <v>2.0301396602E11</v>
      </c>
    </row>
    <row r="19" spans="1:8" ht="24.9" customHeight="1">
      <c r="A19" s="51"/>
      <c r="B19" s="57"/>
      <c r="C19" s="39"/>
      <c r="D19" s="24" t="s">
        <v>18</v>
      </c>
      <c r="E19" s="25" t="n">
        <v>747537.0</v>
      </c>
      <c r="F19" s="26" t="n">
        <f>78879</f>
        <v>78879.0</v>
      </c>
      <c r="G19" s="25" t="n">
        <v>4.975430548685E12</v>
      </c>
      <c r="H19" s="26" t="n">
        <f>524190647085</f>
        <v>5.24190647085E11</v>
      </c>
    </row>
    <row r="20" spans="1:8" ht="24.9" customHeight="1">
      <c r="A20" s="51"/>
      <c r="B20" s="57"/>
      <c r="C20" s="39" t="s">
        <v>39</v>
      </c>
      <c r="D20" s="16" t="s">
        <v>15</v>
      </c>
      <c r="E20" s="17" t="n">
        <v>427261.0</v>
      </c>
      <c r="F20" s="18" t="str">
        <f>"－"</f>
        <v>－</v>
      </c>
      <c r="G20" s="17" t="n">
        <v>2.8610466525E11</v>
      </c>
      <c r="H20" s="18" t="str">
        <f>"－"</f>
        <v>－</v>
      </c>
    </row>
    <row r="21" spans="1:8" ht="24.9" customHeight="1">
      <c r="A21" s="51"/>
      <c r="B21" s="57"/>
      <c r="C21" s="39"/>
      <c r="D21" s="20" t="s">
        <v>16</v>
      </c>
      <c r="E21" s="21" t="n">
        <v>250084.0</v>
      </c>
      <c r="F21" s="22" t="str">
        <f>"－"</f>
        <v>－</v>
      </c>
      <c r="G21" s="21" t="n">
        <v>1.6613515525E11</v>
      </c>
      <c r="H21" s="22" t="str">
        <f>"－"</f>
        <v>－</v>
      </c>
    </row>
    <row r="22" spans="1:8" ht="24.9" customHeight="1">
      <c r="A22" s="51"/>
      <c r="B22" s="57"/>
      <c r="C22" s="39"/>
      <c r="D22" s="20" t="s">
        <v>17</v>
      </c>
      <c r="E22" s="21" t="n">
        <v>247584.0</v>
      </c>
      <c r="F22" s="22" t="str">
        <f>"－"</f>
        <v>－</v>
      </c>
      <c r="G22" s="21" t="n">
        <v>1.638163865E11</v>
      </c>
      <c r="H22" s="22" t="str">
        <f>"－"</f>
        <v>－</v>
      </c>
    </row>
    <row r="23" spans="1:8" ht="24.9" customHeight="1">
      <c r="A23" s="51"/>
      <c r="B23" s="57"/>
      <c r="C23" s="39"/>
      <c r="D23" s="24" t="s">
        <v>18</v>
      </c>
      <c r="E23" s="25" t="n">
        <v>924929.0</v>
      </c>
      <c r="F23" s="26" t="str">
        <f>"－"</f>
        <v>－</v>
      </c>
      <c r="G23" s="25" t="n">
        <v>6.16056207E11</v>
      </c>
      <c r="H23" s="26" t="str">
        <f>"－"</f>
        <v>－</v>
      </c>
    </row>
    <row r="24" spans="1:8" ht="24.9" customHeight="1">
      <c r="A24" s="51"/>
      <c r="B24" s="57"/>
      <c r="C24" s="39" t="s">
        <v>40</v>
      </c>
      <c r="D24" s="16" t="s">
        <v>15</v>
      </c>
      <c r="E24" s="17" t="n">
        <v>18757.0</v>
      </c>
      <c r="F24" s="18" t="n">
        <f>360</f>
        <v>360.0</v>
      </c>
      <c r="G24" s="17" t="n">
        <v>7.36918097E11</v>
      </c>
      <c r="H24" s="18" t="n">
        <f>14182984000</f>
        <v>1.4182984E10</v>
      </c>
    </row>
    <row r="25" spans="1:8" ht="24.9" customHeight="1">
      <c r="A25" s="51"/>
      <c r="B25" s="57"/>
      <c r="C25" s="39"/>
      <c r="D25" s="20" t="s">
        <v>16</v>
      </c>
      <c r="E25" s="21" t="n">
        <v>21480.0</v>
      </c>
      <c r="F25" s="22" t="n">
        <f>1784</f>
        <v>1784.0</v>
      </c>
      <c r="G25" s="21" t="n">
        <v>8.384330752E11</v>
      </c>
      <c r="H25" s="22" t="n">
        <f>69650342200</f>
        <v>6.96503422E10</v>
      </c>
    </row>
    <row r="26" spans="1:8" ht="24.9" customHeight="1">
      <c r="A26" s="51"/>
      <c r="B26" s="57"/>
      <c r="C26" s="39"/>
      <c r="D26" s="20" t="s">
        <v>17</v>
      </c>
      <c r="E26" s="21" t="n">
        <v>34116.0</v>
      </c>
      <c r="F26" s="22" t="n">
        <f>12649</f>
        <v>12649.0</v>
      </c>
      <c r="G26" s="21" t="n">
        <v>1.332863435298E12</v>
      </c>
      <c r="H26" s="22" t="n">
        <f>494466980298</f>
        <v>4.94466980298E11</v>
      </c>
    </row>
    <row r="27" spans="1:8" ht="24.9" customHeight="1">
      <c r="A27" s="51"/>
      <c r="B27" s="57"/>
      <c r="C27" s="39"/>
      <c r="D27" s="24" t="s">
        <v>18</v>
      </c>
      <c r="E27" s="25" t="n">
        <v>74353.0</v>
      </c>
      <c r="F27" s="26" t="n">
        <f>14793</f>
        <v>14793.0</v>
      </c>
      <c r="G27" s="25" t="n">
        <v>2.908214607498E12</v>
      </c>
      <c r="H27" s="26" t="n">
        <f>578300306498</f>
        <v>5.78300306498E11</v>
      </c>
    </row>
    <row r="28" spans="1:8" ht="24.9" customHeight="1">
      <c r="A28" s="51"/>
      <c r="B28" s="57"/>
      <c r="C28" s="39" t="s">
        <v>41</v>
      </c>
      <c r="D28" s="16" t="s">
        <v>15</v>
      </c>
      <c r="E28" s="17" t="n">
        <v>6467.0</v>
      </c>
      <c r="F28" s="18" t="n">
        <f>550</f>
        <v>550.0</v>
      </c>
      <c r="G28" s="17" t="n">
        <v>2.541891485E10</v>
      </c>
      <c r="H28" s="18" t="n">
        <f>2161722100</f>
        <v>2.1617221E9</v>
      </c>
    </row>
    <row r="29" spans="1:8" ht="24.9" customHeight="1">
      <c r="A29" s="51"/>
      <c r="B29" s="57"/>
      <c r="C29" s="39"/>
      <c r="D29" s="20" t="s">
        <v>16</v>
      </c>
      <c r="E29" s="21" t="n">
        <v>9214.0</v>
      </c>
      <c r="F29" s="22" t="n">
        <f>388</f>
        <v>388.0</v>
      </c>
      <c r="G29" s="21" t="n">
        <v>3.59563161E10</v>
      </c>
      <c r="H29" s="22" t="n">
        <f>1513252450</f>
        <v>1.51325245E9</v>
      </c>
    </row>
    <row r="30" spans="1:8" ht="24.9" customHeight="1">
      <c r="A30" s="51"/>
      <c r="B30" s="57"/>
      <c r="C30" s="39"/>
      <c r="D30" s="20" t="s">
        <v>17</v>
      </c>
      <c r="E30" s="21" t="n">
        <v>8199.0</v>
      </c>
      <c r="F30" s="22" t="n">
        <f>644</f>
        <v>644.0</v>
      </c>
      <c r="G30" s="21" t="n">
        <v>3.200539732E10</v>
      </c>
      <c r="H30" s="22" t="n">
        <f>2516131470</f>
        <v>2.51613147E9</v>
      </c>
    </row>
    <row r="31" spans="1:8" ht="24.9" customHeight="1">
      <c r="A31" s="51"/>
      <c r="B31" s="57"/>
      <c r="C31" s="39"/>
      <c r="D31" s="24" t="s">
        <v>18</v>
      </c>
      <c r="E31" s="25" t="n">
        <v>23880.0</v>
      </c>
      <c r="F31" s="26" t="n">
        <f>1582</f>
        <v>1582.0</v>
      </c>
      <c r="G31" s="25" t="n">
        <v>9.338062827E10</v>
      </c>
      <c r="H31" s="26" t="n">
        <f>6191106020</f>
        <v>6.19110602E9</v>
      </c>
    </row>
    <row r="32" spans="1:8" ht="24.9" customHeight="1">
      <c r="A32" s="51"/>
      <c r="B32" s="57"/>
      <c r="C32" s="39" t="s">
        <v>42</v>
      </c>
      <c r="D32" s="16" t="s">
        <v>15</v>
      </c>
      <c r="E32" s="17" t="n">
        <v>0.0</v>
      </c>
      <c r="F32" s="18" t="n">
        <f>0</f>
        <v>0.0</v>
      </c>
      <c r="G32" s="17" t="n">
        <v>0.0</v>
      </c>
      <c r="H32" s="18" t="n">
        <f>0</f>
        <v>0.0</v>
      </c>
    </row>
    <row r="33" spans="1:8" ht="24.9" customHeight="1">
      <c r="A33" s="51"/>
      <c r="B33" s="57"/>
      <c r="C33" s="39"/>
      <c r="D33" s="20" t="s">
        <v>16</v>
      </c>
      <c r="E33" s="21" t="n">
        <v>0.0</v>
      </c>
      <c r="F33" s="22" t="n">
        <f>0</f>
        <v>0.0</v>
      </c>
      <c r="G33" s="21" t="n">
        <v>0.0</v>
      </c>
      <c r="H33" s="22" t="n">
        <f>0</f>
        <v>0.0</v>
      </c>
    </row>
    <row r="34" spans="1:8" ht="24.9" customHeight="1">
      <c r="A34" s="51"/>
      <c r="B34" s="57"/>
      <c r="C34" s="39"/>
      <c r="D34" s="20" t="s">
        <v>17</v>
      </c>
      <c r="E34" s="21" t="n">
        <v>0.0</v>
      </c>
      <c r="F34" s="22" t="n">
        <f>0</f>
        <v>0.0</v>
      </c>
      <c r="G34" s="21" t="n">
        <v>0.0</v>
      </c>
      <c r="H34" s="22" t="n">
        <f>0</f>
        <v>0.0</v>
      </c>
    </row>
    <row r="35" spans="1:8" ht="24.9" customHeight="1">
      <c r="A35" s="51"/>
      <c r="B35" s="57"/>
      <c r="C35" s="39"/>
      <c r="D35" s="24" t="s">
        <v>18</v>
      </c>
      <c r="E35" s="25" t="n">
        <v>0.0</v>
      </c>
      <c r="F35" s="26" t="n">
        <f>0</f>
        <v>0.0</v>
      </c>
      <c r="G35" s="25" t="n">
        <v>0.0</v>
      </c>
      <c r="H35" s="26" t="n">
        <f>0</f>
        <v>0.0</v>
      </c>
    </row>
    <row r="36" spans="1:8" ht="24.9" customHeight="1">
      <c r="A36" s="51"/>
      <c r="B36" s="57"/>
      <c r="C36" s="39" t="s">
        <v>43</v>
      </c>
      <c r="D36" s="16" t="s">
        <v>15</v>
      </c>
      <c r="E36" s="17" t="n">
        <v>709.0</v>
      </c>
      <c r="F36" s="18" t="n">
        <f>0</f>
        <v>0.0</v>
      </c>
      <c r="G36" s="17" t="n">
        <v>2.537308E9</v>
      </c>
      <c r="H36" s="18" t="n">
        <f>0</f>
        <v>0.0</v>
      </c>
    </row>
    <row r="37" spans="1:8" ht="24.9" customHeight="1">
      <c r="A37" s="51"/>
      <c r="B37" s="57"/>
      <c r="C37" s="39"/>
      <c r="D37" s="20" t="s">
        <v>16</v>
      </c>
      <c r="E37" s="21" t="n">
        <v>1010.0</v>
      </c>
      <c r="F37" s="22" t="n">
        <f>111</f>
        <v>111.0</v>
      </c>
      <c r="G37" s="21" t="n">
        <v>3.5889905E9</v>
      </c>
      <c r="H37" s="22" t="n">
        <f>394553500</f>
        <v>3.945535E8</v>
      </c>
    </row>
    <row r="38" spans="1:8" ht="24.9" customHeight="1">
      <c r="A38" s="51"/>
      <c r="B38" s="57"/>
      <c r="C38" s="39"/>
      <c r="D38" s="20" t="s">
        <v>17</v>
      </c>
      <c r="E38" s="21" t="n">
        <v>798.0</v>
      </c>
      <c r="F38" s="22" t="n">
        <f>56</f>
        <v>56.0</v>
      </c>
      <c r="G38" s="21" t="n">
        <v>2.83075014E9</v>
      </c>
      <c r="H38" s="22" t="n">
        <f>199265640</f>
        <v>1.9926564E8</v>
      </c>
    </row>
    <row r="39" spans="1:8" ht="24.9" customHeight="1">
      <c r="A39" s="51"/>
      <c r="B39" s="57"/>
      <c r="C39" s="39"/>
      <c r="D39" s="24" t="s">
        <v>18</v>
      </c>
      <c r="E39" s="25" t="n">
        <v>2517.0</v>
      </c>
      <c r="F39" s="26" t="n">
        <f>167</f>
        <v>167.0</v>
      </c>
      <c r="G39" s="25" t="n">
        <v>8.95704864E9</v>
      </c>
      <c r="H39" s="26" t="n">
        <f>593819140</f>
        <v>5.9381914E8</v>
      </c>
    </row>
    <row r="40" spans="1:8" ht="24.9" customHeight="1">
      <c r="A40" s="51"/>
      <c r="B40" s="57"/>
      <c r="C40" s="39" t="s">
        <v>44</v>
      </c>
      <c r="D40" s="16" t="s">
        <v>15</v>
      </c>
      <c r="E40" s="17" t="n">
        <v>0.0</v>
      </c>
      <c r="F40" s="18" t="n">
        <f>0</f>
        <v>0.0</v>
      </c>
      <c r="G40" s="17" t="n">
        <v>0.0</v>
      </c>
      <c r="H40" s="18" t="n">
        <f>0</f>
        <v>0.0</v>
      </c>
    </row>
    <row r="41" spans="1:8" ht="24.9" customHeight="1">
      <c r="A41" s="51"/>
      <c r="B41" s="57"/>
      <c r="C41" s="39"/>
      <c r="D41" s="20" t="s">
        <v>16</v>
      </c>
      <c r="E41" s="21" t="n">
        <v>0.0</v>
      </c>
      <c r="F41" s="22" t="n">
        <f>0</f>
        <v>0.0</v>
      </c>
      <c r="G41" s="21" t="n">
        <v>0.0</v>
      </c>
      <c r="H41" s="22" t="n">
        <f>0</f>
        <v>0.0</v>
      </c>
    </row>
    <row r="42" spans="1:8" ht="24.9" customHeight="1">
      <c r="A42" s="51"/>
      <c r="B42" s="57"/>
      <c r="C42" s="39"/>
      <c r="D42" s="20" t="s">
        <v>17</v>
      </c>
      <c r="E42" s="21" t="n">
        <v>0.0</v>
      </c>
      <c r="F42" s="22" t="n">
        <f>0</f>
        <v>0.0</v>
      </c>
      <c r="G42" s="21" t="n">
        <v>0.0</v>
      </c>
      <c r="H42" s="22" t="n">
        <f>0</f>
        <v>0.0</v>
      </c>
    </row>
    <row r="43" spans="1:8" ht="24.9" customHeight="1">
      <c r="A43" s="51"/>
      <c r="B43" s="57"/>
      <c r="C43" s="39"/>
      <c r="D43" s="24" t="s">
        <v>18</v>
      </c>
      <c r="E43" s="25" t="n">
        <v>0.0</v>
      </c>
      <c r="F43" s="26" t="n">
        <f>0</f>
        <v>0.0</v>
      </c>
      <c r="G43" s="25" t="n">
        <v>0.0</v>
      </c>
      <c r="H43" s="26" t="n">
        <f>0</f>
        <v>0.0</v>
      </c>
    </row>
    <row r="44" spans="1:8" ht="24.9" customHeight="1">
      <c r="A44" s="51"/>
      <c r="B44" s="57"/>
      <c r="C44" s="39" t="s">
        <v>45</v>
      </c>
      <c r="D44" s="16" t="s">
        <v>15</v>
      </c>
      <c r="E44" s="17" t="n">
        <v>0.0</v>
      </c>
      <c r="F44" s="18" t="n">
        <f>0</f>
        <v>0.0</v>
      </c>
      <c r="G44" s="17" t="n">
        <v>0.0</v>
      </c>
      <c r="H44" s="18" t="n">
        <f>0</f>
        <v>0.0</v>
      </c>
    </row>
    <row r="45" spans="1:8" ht="24.9" customHeight="1">
      <c r="A45" s="51"/>
      <c r="B45" s="57"/>
      <c r="C45" s="39"/>
      <c r="D45" s="20" t="s">
        <v>16</v>
      </c>
      <c r="E45" s="21" t="n">
        <v>0.0</v>
      </c>
      <c r="F45" s="22" t="n">
        <f>0</f>
        <v>0.0</v>
      </c>
      <c r="G45" s="21" t="n">
        <v>0.0</v>
      </c>
      <c r="H45" s="22" t="n">
        <f>0</f>
        <v>0.0</v>
      </c>
    </row>
    <row r="46" spans="1:8" ht="24.9" customHeight="1">
      <c r="A46" s="51"/>
      <c r="B46" s="57"/>
      <c r="C46" s="39"/>
      <c r="D46" s="20" t="s">
        <v>17</v>
      </c>
      <c r="E46" s="21" t="n">
        <v>0.0</v>
      </c>
      <c r="F46" s="22" t="n">
        <f>0</f>
        <v>0.0</v>
      </c>
      <c r="G46" s="21" t="n">
        <v>0.0</v>
      </c>
      <c r="H46" s="22" t="n">
        <f>0</f>
        <v>0.0</v>
      </c>
    </row>
    <row r="47" spans="1:8" ht="24.9" customHeight="1">
      <c r="A47" s="51"/>
      <c r="B47" s="57"/>
      <c r="C47" s="39"/>
      <c r="D47" s="24" t="s">
        <v>18</v>
      </c>
      <c r="E47" s="25" t="n">
        <v>0.0</v>
      </c>
      <c r="F47" s="26" t="n">
        <f>0</f>
        <v>0.0</v>
      </c>
      <c r="G47" s="25" t="n">
        <v>0.0</v>
      </c>
      <c r="H47" s="26" t="n">
        <f>0</f>
        <v>0.0</v>
      </c>
    </row>
    <row r="48" spans="1:8" ht="24.9" customHeight="1">
      <c r="A48" s="51"/>
      <c r="B48" s="57"/>
      <c r="C48" s="39" t="s">
        <v>46</v>
      </c>
      <c r="D48" s="16" t="s">
        <v>15</v>
      </c>
      <c r="E48" s="17" t="n">
        <v>3.0</v>
      </c>
      <c r="F48" s="18" t="n">
        <f>3</f>
        <v>3.0</v>
      </c>
      <c r="G48" s="17" t="n">
        <v>5355000.0</v>
      </c>
      <c r="H48" s="18" t="n">
        <f>5355000</f>
        <v>5355000.0</v>
      </c>
    </row>
    <row r="49" spans="1:8" ht="24.9" customHeight="1">
      <c r="A49" s="51"/>
      <c r="B49" s="57"/>
      <c r="C49" s="39"/>
      <c r="D49" s="20" t="s">
        <v>16</v>
      </c>
      <c r="E49" s="21" t="n">
        <v>962.0</v>
      </c>
      <c r="F49" s="22" t="n">
        <f>615</f>
        <v>615.0</v>
      </c>
      <c r="G49" s="21" t="n">
        <v>1.6931158E9</v>
      </c>
      <c r="H49" s="22" t="n">
        <f>1081305300</f>
        <v>1.0813053E9</v>
      </c>
    </row>
    <row r="50" spans="1:8" ht="24.9" customHeight="1">
      <c r="A50" s="51"/>
      <c r="B50" s="57"/>
      <c r="C50" s="39"/>
      <c r="D50" s="20" t="s">
        <v>17</v>
      </c>
      <c r="E50" s="21" t="n">
        <v>876.0</v>
      </c>
      <c r="F50" s="22" t="n">
        <f>792</f>
        <v>792.0</v>
      </c>
      <c r="G50" s="21" t="n">
        <v>1.54519063E9</v>
      </c>
      <c r="H50" s="22" t="n">
        <f>1397418630</f>
        <v>1.39741863E9</v>
      </c>
    </row>
    <row r="51" spans="1:8" ht="24.9" customHeight="1">
      <c r="A51" s="51"/>
      <c r="B51" s="57"/>
      <c r="C51" s="39"/>
      <c r="D51" s="24" t="s">
        <v>18</v>
      </c>
      <c r="E51" s="25" t="n">
        <v>1841.0</v>
      </c>
      <c r="F51" s="26" t="n">
        <f>1410</f>
        <v>1410.0</v>
      </c>
      <c r="G51" s="25" t="n">
        <v>3.24366143E9</v>
      </c>
      <c r="H51" s="26" t="n">
        <f>2484078930</f>
        <v>2.48407893E9</v>
      </c>
    </row>
    <row r="52" spans="1:8" ht="24.9" customHeight="1">
      <c r="A52" s="51"/>
      <c r="B52" s="57"/>
      <c r="C52" s="39" t="s">
        <v>47</v>
      </c>
      <c r="D52" s="16" t="s">
        <v>15</v>
      </c>
      <c r="E52" s="17" t="n">
        <v>0.0</v>
      </c>
      <c r="F52" s="18" t="n">
        <f>0</f>
        <v>0.0</v>
      </c>
      <c r="G52" s="17" t="n">
        <v>0.0</v>
      </c>
      <c r="H52" s="18" t="n">
        <f>0</f>
        <v>0.0</v>
      </c>
    </row>
    <row r="53" spans="1:8" ht="24.9" customHeight="1">
      <c r="A53" s="51"/>
      <c r="B53" s="57"/>
      <c r="C53" s="39"/>
      <c r="D53" s="20" t="s">
        <v>16</v>
      </c>
      <c r="E53" s="21" t="n">
        <v>0.0</v>
      </c>
      <c r="F53" s="22" t="n">
        <f>0</f>
        <v>0.0</v>
      </c>
      <c r="G53" s="21" t="n">
        <v>0.0</v>
      </c>
      <c r="H53" s="22" t="n">
        <f>0</f>
        <v>0.0</v>
      </c>
    </row>
    <row r="54" spans="1:8" ht="24.9" customHeight="1">
      <c r="A54" s="51"/>
      <c r="B54" s="57"/>
      <c r="C54" s="39"/>
      <c r="D54" s="20" t="s">
        <v>17</v>
      </c>
      <c r="E54" s="21" t="n">
        <v>0.0</v>
      </c>
      <c r="F54" s="22" t="n">
        <f>0</f>
        <v>0.0</v>
      </c>
      <c r="G54" s="21" t="n">
        <v>0.0</v>
      </c>
      <c r="H54" s="22" t="n">
        <f>0</f>
        <v>0.0</v>
      </c>
    </row>
    <row r="55" spans="1:8" ht="24.9" customHeight="1">
      <c r="A55" s="51"/>
      <c r="B55" s="57"/>
      <c r="C55" s="39"/>
      <c r="D55" s="24" t="s">
        <v>18</v>
      </c>
      <c r="E55" s="25" t="n">
        <v>0.0</v>
      </c>
      <c r="F55" s="26" t="n">
        <f>0</f>
        <v>0.0</v>
      </c>
      <c r="G55" s="25" t="n">
        <v>0.0</v>
      </c>
      <c r="H55" s="26" t="n">
        <f>0</f>
        <v>0.0</v>
      </c>
    </row>
    <row r="56" spans="1:8" ht="24.9" customHeight="1">
      <c r="A56" s="51"/>
      <c r="B56" s="57"/>
      <c r="C56" s="39" t="s">
        <v>48</v>
      </c>
      <c r="D56" s="16" t="s">
        <v>15</v>
      </c>
      <c r="E56" s="17" t="n">
        <v>1050.0</v>
      </c>
      <c r="F56" s="18" t="n">
        <f>20</f>
        <v>20.0</v>
      </c>
      <c r="G56" s="17" t="n">
        <v>8.100331E8</v>
      </c>
      <c r="H56" s="18" t="n">
        <f>15432100</f>
        <v>1.54321E7</v>
      </c>
    </row>
    <row r="57" spans="1:8" ht="24.9" customHeight="1">
      <c r="A57" s="51"/>
      <c r="B57" s="57"/>
      <c r="C57" s="39"/>
      <c r="D57" s="20" t="s">
        <v>16</v>
      </c>
      <c r="E57" s="21" t="n">
        <v>1919.0</v>
      </c>
      <c r="F57" s="22" t="n">
        <f>86</f>
        <v>86.0</v>
      </c>
      <c r="G57" s="21" t="n">
        <v>1.4574698E9</v>
      </c>
      <c r="H57" s="22" t="n">
        <f>65412800</f>
        <v>6.54128E7</v>
      </c>
    </row>
    <row r="58" spans="1:8" ht="24.9" customHeight="1">
      <c r="A58" s="51"/>
      <c r="B58" s="57"/>
      <c r="C58" s="39"/>
      <c r="D58" s="20" t="s">
        <v>17</v>
      </c>
      <c r="E58" s="21" t="n">
        <v>1766.0</v>
      </c>
      <c r="F58" s="22" t="n">
        <f>54</f>
        <v>54.0</v>
      </c>
      <c r="G58" s="21" t="n">
        <v>1.3455534E9</v>
      </c>
      <c r="H58" s="22" t="n">
        <f>41167400</f>
        <v>4.11674E7</v>
      </c>
    </row>
    <row r="59" spans="1:8" ht="24.9" customHeight="1">
      <c r="A59" s="51"/>
      <c r="B59" s="57"/>
      <c r="C59" s="39"/>
      <c r="D59" s="24" t="s">
        <v>18</v>
      </c>
      <c r="E59" s="25" t="n">
        <v>4735.0</v>
      </c>
      <c r="F59" s="26" t="n">
        <f>160</f>
        <v>160.0</v>
      </c>
      <c r="G59" s="25" t="n">
        <v>3.6130563E9</v>
      </c>
      <c r="H59" s="26" t="n">
        <f>122012300</f>
        <v>1.220123E8</v>
      </c>
    </row>
    <row r="60" spans="1:8" ht="24.9" customHeight="1">
      <c r="A60" s="51"/>
      <c r="B60" s="57"/>
      <c r="C60" s="39" t="s">
        <v>49</v>
      </c>
      <c r="D60" s="16" t="s">
        <v>15</v>
      </c>
      <c r="E60" s="17" t="n">
        <v>213.0</v>
      </c>
      <c r="F60" s="18" t="n">
        <f>3</f>
        <v>3.0</v>
      </c>
      <c r="G60" s="17" t="n">
        <v>1.08704291E9</v>
      </c>
      <c r="H60" s="18" t="n">
        <f>15346910</f>
        <v>1.534691E7</v>
      </c>
    </row>
    <row r="61" spans="1:8" ht="24.9" customHeight="1">
      <c r="A61" s="51"/>
      <c r="B61" s="57"/>
      <c r="C61" s="39"/>
      <c r="D61" s="20" t="s">
        <v>16</v>
      </c>
      <c r="E61" s="21" t="n">
        <v>21.0</v>
      </c>
      <c r="F61" s="22" t="n">
        <f>0</f>
        <v>0.0</v>
      </c>
      <c r="G61" s="21" t="n">
        <v>1.069813E8</v>
      </c>
      <c r="H61" s="22" t="n">
        <f>0</f>
        <v>0.0</v>
      </c>
    </row>
    <row r="62" spans="1:8" ht="24.9" customHeight="1">
      <c r="A62" s="51"/>
      <c r="B62" s="57"/>
      <c r="C62" s="39"/>
      <c r="D62" s="20" t="s">
        <v>17</v>
      </c>
      <c r="E62" s="21" t="n">
        <v>10.0</v>
      </c>
      <c r="F62" s="22" t="n">
        <f>0</f>
        <v>0.0</v>
      </c>
      <c r="G62" s="21" t="n">
        <v>5.09213E7</v>
      </c>
      <c r="H62" s="22" t="n">
        <f>0</f>
        <v>0.0</v>
      </c>
    </row>
    <row r="63" spans="1:8" ht="24.9" customHeight="1">
      <c r="A63" s="51"/>
      <c r="B63" s="57"/>
      <c r="C63" s="39"/>
      <c r="D63" s="24" t="s">
        <v>18</v>
      </c>
      <c r="E63" s="25" t="n">
        <v>244.0</v>
      </c>
      <c r="F63" s="26" t="n">
        <f>3</f>
        <v>3.0</v>
      </c>
      <c r="G63" s="25" t="n">
        <v>1.24494551E9</v>
      </c>
      <c r="H63" s="26" t="n">
        <f>15346910</f>
        <v>1.534691E7</v>
      </c>
    </row>
    <row r="64" spans="1:8" ht="24.9" customHeight="1">
      <c r="A64" s="51"/>
      <c r="B64" s="57"/>
      <c r="C64" s="39" t="s">
        <v>50</v>
      </c>
      <c r="D64" s="16" t="s">
        <v>15</v>
      </c>
      <c r="E64" s="17" t="n">
        <v>0.0</v>
      </c>
      <c r="F64" s="18" t="str">
        <f>"－"</f>
        <v>－</v>
      </c>
      <c r="G64" s="17" t="n">
        <v>0.0</v>
      </c>
      <c r="H64" s="18" t="str">
        <f>"－"</f>
        <v>－</v>
      </c>
    </row>
    <row r="65" spans="1:8" ht="24.9" customHeight="1">
      <c r="A65" s="51"/>
      <c r="B65" s="57"/>
      <c r="C65" s="39"/>
      <c r="D65" s="20" t="s">
        <v>16</v>
      </c>
      <c r="E65" s="21" t="n">
        <v>0.0</v>
      </c>
      <c r="F65" s="22" t="str">
        <f>"－"</f>
        <v>－</v>
      </c>
      <c r="G65" s="21" t="n">
        <v>0.0</v>
      </c>
      <c r="H65" s="22" t="str">
        <f>"－"</f>
        <v>－</v>
      </c>
    </row>
    <row r="66" spans="1:8" ht="24.9" customHeight="1">
      <c r="A66" s="51"/>
      <c r="B66" s="57"/>
      <c r="C66" s="39"/>
      <c r="D66" s="20" t="s">
        <v>17</v>
      </c>
      <c r="E66" s="21" t="n">
        <v>0.0</v>
      </c>
      <c r="F66" s="22" t="str">
        <f>"－"</f>
        <v>－</v>
      </c>
      <c r="G66" s="21" t="n">
        <v>0.0</v>
      </c>
      <c r="H66" s="22" t="str">
        <f>"－"</f>
        <v>－</v>
      </c>
    </row>
    <row r="67" spans="1:8" ht="24.9" customHeight="1">
      <c r="A67" s="51"/>
      <c r="B67" s="57"/>
      <c r="C67" s="39"/>
      <c r="D67" s="24" t="s">
        <v>18</v>
      </c>
      <c r="E67" s="25" t="n">
        <v>0.0</v>
      </c>
      <c r="F67" s="26" t="str">
        <f>"－"</f>
        <v>－</v>
      </c>
      <c r="G67" s="25" t="n">
        <v>0.0</v>
      </c>
      <c r="H67" s="26" t="str">
        <f>"－"</f>
        <v>－</v>
      </c>
    </row>
    <row r="68" spans="1:8" ht="24.9" customHeight="1">
      <c r="A68" s="51"/>
      <c r="B68" s="57"/>
      <c r="C68" s="39" t="s">
        <v>51</v>
      </c>
      <c r="D68" s="16" t="s">
        <v>15</v>
      </c>
      <c r="E68" s="17" t="n">
        <v>0.0</v>
      </c>
      <c r="F68" s="18" t="n">
        <f>0</f>
        <v>0.0</v>
      </c>
      <c r="G68" s="17" t="n">
        <v>0.0</v>
      </c>
      <c r="H68" s="18" t="n">
        <f>0</f>
        <v>0.0</v>
      </c>
    </row>
    <row r="69" spans="1:8" ht="24.9" customHeight="1">
      <c r="A69" s="51"/>
      <c r="B69" s="57"/>
      <c r="C69" s="39"/>
      <c r="D69" s="20" t="s">
        <v>16</v>
      </c>
      <c r="E69" s="21" t="n">
        <v>0.0</v>
      </c>
      <c r="F69" s="22" t="n">
        <f>0</f>
        <v>0.0</v>
      </c>
      <c r="G69" s="21" t="n">
        <v>0.0</v>
      </c>
      <c r="H69" s="22" t="n">
        <f>0</f>
        <v>0.0</v>
      </c>
    </row>
    <row r="70" spans="1:8" ht="24.9" customHeight="1">
      <c r="A70" s="51"/>
      <c r="B70" s="57"/>
      <c r="C70" s="39"/>
      <c r="D70" s="20" t="s">
        <v>17</v>
      </c>
      <c r="E70" s="21" t="n">
        <v>0.0</v>
      </c>
      <c r="F70" s="22" t="n">
        <f>0</f>
        <v>0.0</v>
      </c>
      <c r="G70" s="21" t="n">
        <v>0.0</v>
      </c>
      <c r="H70" s="22" t="n">
        <f>0</f>
        <v>0.0</v>
      </c>
    </row>
    <row r="71" spans="1:8" ht="24.9" customHeight="1">
      <c r="A71" s="51"/>
      <c r="B71" s="57"/>
      <c r="C71" s="39"/>
      <c r="D71" s="24" t="s">
        <v>18</v>
      </c>
      <c r="E71" s="25" t="n">
        <v>0.0</v>
      </c>
      <c r="F71" s="26" t="n">
        <f>0</f>
        <v>0.0</v>
      </c>
      <c r="G71" s="25" t="n">
        <v>0.0</v>
      </c>
      <c r="H71" s="26" t="n">
        <f>0</f>
        <v>0.0</v>
      </c>
    </row>
    <row r="72" spans="1:8" ht="24.9" customHeight="1">
      <c r="A72" s="51"/>
      <c r="B72" s="57"/>
      <c r="C72" s="39" t="s">
        <v>52</v>
      </c>
      <c r="D72" s="16" t="s">
        <v>15</v>
      </c>
      <c r="E72" s="17" t="n">
        <v>0.0</v>
      </c>
      <c r="F72" s="18" t="n">
        <f>0</f>
        <v>0.0</v>
      </c>
      <c r="G72" s="17" t="n">
        <v>0.0</v>
      </c>
      <c r="H72" s="18" t="n">
        <f>0</f>
        <v>0.0</v>
      </c>
    </row>
    <row r="73" spans="1:8" ht="24.9" customHeight="1">
      <c r="A73" s="51"/>
      <c r="B73" s="57"/>
      <c r="C73" s="39"/>
      <c r="D73" s="20" t="s">
        <v>16</v>
      </c>
      <c r="E73" s="21" t="n">
        <v>0.0</v>
      </c>
      <c r="F73" s="22" t="n">
        <f>0</f>
        <v>0.0</v>
      </c>
      <c r="G73" s="21" t="n">
        <v>0.0</v>
      </c>
      <c r="H73" s="22" t="n">
        <f>0</f>
        <v>0.0</v>
      </c>
    </row>
    <row r="74" spans="1:8" ht="24.9" customHeight="1">
      <c r="A74" s="51"/>
      <c r="B74" s="57"/>
      <c r="C74" s="39"/>
      <c r="D74" s="20" t="s">
        <v>17</v>
      </c>
      <c r="E74" s="21" t="n">
        <v>0.0</v>
      </c>
      <c r="F74" s="22" t="n">
        <f>0</f>
        <v>0.0</v>
      </c>
      <c r="G74" s="21" t="n">
        <v>0.0</v>
      </c>
      <c r="H74" s="22" t="n">
        <f>0</f>
        <v>0.0</v>
      </c>
    </row>
    <row r="75" spans="1:8" ht="24.9" customHeight="1">
      <c r="A75" s="51"/>
      <c r="B75" s="57"/>
      <c r="C75" s="39"/>
      <c r="D75" s="24" t="s">
        <v>18</v>
      </c>
      <c r="E75" s="25" t="n">
        <v>0.0</v>
      </c>
      <c r="F75" s="26" t="n">
        <f>0</f>
        <v>0.0</v>
      </c>
      <c r="G75" s="25" t="n">
        <v>0.0</v>
      </c>
      <c r="H75" s="26" t="n">
        <f>0</f>
        <v>0.0</v>
      </c>
    </row>
    <row r="76" spans="1:8" ht="24.9" customHeight="1">
      <c r="A76" s="51"/>
      <c r="B76" s="57"/>
      <c r="C76" s="39" t="s">
        <v>53</v>
      </c>
      <c r="D76" s="16" t="s">
        <v>15</v>
      </c>
      <c r="E76" s="17" t="n">
        <v>0.0</v>
      </c>
      <c r="F76" s="18" t="n">
        <f>0</f>
        <v>0.0</v>
      </c>
      <c r="G76" s="17" t="n">
        <v>0.0</v>
      </c>
      <c r="H76" s="18" t="n">
        <f>0</f>
        <v>0.0</v>
      </c>
    </row>
    <row r="77" spans="1:8" ht="24.9" customHeight="1">
      <c r="A77" s="51"/>
      <c r="B77" s="57"/>
      <c r="C77" s="39"/>
      <c r="D77" s="20" t="s">
        <v>16</v>
      </c>
      <c r="E77" s="21" t="n">
        <v>1.0</v>
      </c>
      <c r="F77" s="22" t="n">
        <f>0</f>
        <v>0.0</v>
      </c>
      <c r="G77" s="21" t="n">
        <v>340000.0</v>
      </c>
      <c r="H77" s="22" t="n">
        <f>0</f>
        <v>0.0</v>
      </c>
    </row>
    <row r="78" spans="1:8" ht="24.9" customHeight="1">
      <c r="A78" s="51"/>
      <c r="B78" s="57"/>
      <c r="C78" s="39"/>
      <c r="D78" s="20" t="s">
        <v>17</v>
      </c>
      <c r="E78" s="21" t="n">
        <v>8.0</v>
      </c>
      <c r="F78" s="22" t="n">
        <f>0</f>
        <v>0.0</v>
      </c>
      <c r="G78" s="21" t="n">
        <v>2752000.0</v>
      </c>
      <c r="H78" s="22" t="n">
        <f>0</f>
        <v>0.0</v>
      </c>
    </row>
    <row r="79" spans="1:8" ht="24.9" customHeight="1">
      <c r="A79" s="51"/>
      <c r="B79" s="57"/>
      <c r="C79" s="39"/>
      <c r="D79" s="24" t="s">
        <v>18</v>
      </c>
      <c r="E79" s="25" t="n">
        <v>9.0</v>
      </c>
      <c r="F79" s="26" t="n">
        <f>0</f>
        <v>0.0</v>
      </c>
      <c r="G79" s="25" t="n">
        <v>3092000.0</v>
      </c>
      <c r="H79" s="26" t="n">
        <f>0</f>
        <v>0.0</v>
      </c>
    </row>
    <row r="80" spans="1:8" ht="24.9" customHeight="1">
      <c r="A80" s="51"/>
      <c r="B80" s="57"/>
      <c r="C80" s="39" t="s">
        <v>54</v>
      </c>
      <c r="D80" s="16" t="s">
        <v>15</v>
      </c>
      <c r="E80" s="17" t="n">
        <v>0.0</v>
      </c>
      <c r="F80" s="18" t="n">
        <f>0</f>
        <v>0.0</v>
      </c>
      <c r="G80" s="17" t="n">
        <v>0.0</v>
      </c>
      <c r="H80" s="18" t="n">
        <f>0</f>
        <v>0.0</v>
      </c>
    </row>
    <row r="81" spans="1:8" ht="24.9" customHeight="1">
      <c r="A81" s="51"/>
      <c r="B81" s="57"/>
      <c r="C81" s="39"/>
      <c r="D81" s="20" t="s">
        <v>16</v>
      </c>
      <c r="E81" s="21" t="n">
        <v>0.0</v>
      </c>
      <c r="F81" s="22" t="n">
        <f>0</f>
        <v>0.0</v>
      </c>
      <c r="G81" s="21" t="n">
        <v>0.0</v>
      </c>
      <c r="H81" s="22" t="n">
        <f>0</f>
        <v>0.0</v>
      </c>
    </row>
    <row r="82" spans="1:8" ht="24.9" customHeight="1">
      <c r="A82" s="51"/>
      <c r="B82" s="57"/>
      <c r="C82" s="39"/>
      <c r="D82" s="20" t="s">
        <v>17</v>
      </c>
      <c r="E82" s="21" t="n">
        <v>0.0</v>
      </c>
      <c r="F82" s="22" t="n">
        <f>0</f>
        <v>0.0</v>
      </c>
      <c r="G82" s="21" t="n">
        <v>0.0</v>
      </c>
      <c r="H82" s="22" t="n">
        <f>0</f>
        <v>0.0</v>
      </c>
    </row>
    <row r="83" spans="1:8" ht="24.9" customHeight="1">
      <c r="A83" s="51"/>
      <c r="B83" s="57"/>
      <c r="C83" s="39"/>
      <c r="D83" s="24" t="s">
        <v>18</v>
      </c>
      <c r="E83" s="25" t="n">
        <v>0.0</v>
      </c>
      <c r="F83" s="26" t="n">
        <f>0</f>
        <v>0.0</v>
      </c>
      <c r="G83" s="25" t="n">
        <v>0.0</v>
      </c>
      <c r="H83" s="26" t="n">
        <f>0</f>
        <v>0.0</v>
      </c>
    </row>
    <row r="84" spans="1:8" ht="24.9" customHeight="1">
      <c r="A84" s="51"/>
      <c r="B84" s="57"/>
      <c r="C84" s="39" t="s">
        <v>55</v>
      </c>
      <c r="D84" s="16" t="s">
        <v>15</v>
      </c>
      <c r="E84" s="17" t="n">
        <v>0.0</v>
      </c>
      <c r="F84" s="18" t="n">
        <f>0</f>
        <v>0.0</v>
      </c>
      <c r="G84" s="17" t="n">
        <v>0.0</v>
      </c>
      <c r="H84" s="18" t="n">
        <f>0</f>
        <v>0.0</v>
      </c>
    </row>
    <row r="85" spans="1:8" ht="24.9" customHeight="1">
      <c r="A85" s="51"/>
      <c r="B85" s="57"/>
      <c r="C85" s="39"/>
      <c r="D85" s="20" t="s">
        <v>16</v>
      </c>
      <c r="E85" s="21" t="n">
        <v>0.0</v>
      </c>
      <c r="F85" s="22" t="n">
        <f>0</f>
        <v>0.0</v>
      </c>
      <c r="G85" s="21" t="n">
        <v>0.0</v>
      </c>
      <c r="H85" s="22" t="n">
        <f>0</f>
        <v>0.0</v>
      </c>
    </row>
    <row r="86" spans="1:8" ht="24.9" customHeight="1">
      <c r="A86" s="51"/>
      <c r="B86" s="57"/>
      <c r="C86" s="39"/>
      <c r="D86" s="20" t="s">
        <v>17</v>
      </c>
      <c r="E86" s="21" t="n">
        <v>0.0</v>
      </c>
      <c r="F86" s="22" t="n">
        <f>0</f>
        <v>0.0</v>
      </c>
      <c r="G86" s="21" t="n">
        <v>0.0</v>
      </c>
      <c r="H86" s="22" t="n">
        <f>0</f>
        <v>0.0</v>
      </c>
    </row>
    <row r="87" spans="1:8" ht="24.9" customHeight="1">
      <c r="A87" s="51"/>
      <c r="B87" s="57"/>
      <c r="C87" s="39"/>
      <c r="D87" s="24" t="s">
        <v>18</v>
      </c>
      <c r="E87" s="25" t="n">
        <v>0.0</v>
      </c>
      <c r="F87" s="26" t="n">
        <f>0</f>
        <v>0.0</v>
      </c>
      <c r="G87" s="25" t="n">
        <v>0.0</v>
      </c>
      <c r="H87" s="26" t="n">
        <f>0</f>
        <v>0.0</v>
      </c>
    </row>
    <row r="88" spans="1:8" ht="24.9" customHeight="1">
      <c r="A88" s="51"/>
      <c r="B88" s="57"/>
      <c r="C88" s="39" t="s">
        <v>56</v>
      </c>
      <c r="D88" s="16" t="s">
        <v>15</v>
      </c>
      <c r="E88" s="17" t="n">
        <v>0.0</v>
      </c>
      <c r="F88" s="18" t="n">
        <f>0</f>
        <v>0.0</v>
      </c>
      <c r="G88" s="17" t="n">
        <v>0.0</v>
      </c>
      <c r="H88" s="18" t="n">
        <f>0</f>
        <v>0.0</v>
      </c>
    </row>
    <row r="89" spans="1:8" ht="24.9" customHeight="1">
      <c r="A89" s="51"/>
      <c r="B89" s="57"/>
      <c r="C89" s="39"/>
      <c r="D89" s="20" t="s">
        <v>16</v>
      </c>
      <c r="E89" s="21" t="n">
        <v>0.0</v>
      </c>
      <c r="F89" s="22" t="n">
        <f>0</f>
        <v>0.0</v>
      </c>
      <c r="G89" s="21" t="n">
        <v>0.0</v>
      </c>
      <c r="H89" s="22" t="n">
        <f>0</f>
        <v>0.0</v>
      </c>
    </row>
    <row r="90" spans="1:8" ht="24.9" customHeight="1">
      <c r="A90" s="51"/>
      <c r="B90" s="57"/>
      <c r="C90" s="39"/>
      <c r="D90" s="20" t="s">
        <v>17</v>
      </c>
      <c r="E90" s="21" t="n">
        <v>0.0</v>
      </c>
      <c r="F90" s="22" t="n">
        <f>0</f>
        <v>0.0</v>
      </c>
      <c r="G90" s="21" t="n">
        <v>0.0</v>
      </c>
      <c r="H90" s="22" t="n">
        <f>0</f>
        <v>0.0</v>
      </c>
    </row>
    <row r="91" spans="1:8" ht="24.9" customHeight="1">
      <c r="A91" s="51"/>
      <c r="B91" s="57"/>
      <c r="C91" s="39"/>
      <c r="D91" s="24" t="s">
        <v>18</v>
      </c>
      <c r="E91" s="25" t="n">
        <v>0.0</v>
      </c>
      <c r="F91" s="26" t="n">
        <f>0</f>
        <v>0.0</v>
      </c>
      <c r="G91" s="25" t="n">
        <v>0.0</v>
      </c>
      <c r="H91" s="26" t="n">
        <f>0</f>
        <v>0.0</v>
      </c>
    </row>
    <row r="92" spans="1:8" ht="24.9" customHeight="1">
      <c r="A92" s="51"/>
      <c r="B92" s="57"/>
      <c r="C92" s="39" t="s">
        <v>123</v>
      </c>
      <c r="D92" s="16" t="s">
        <v>15</v>
      </c>
      <c r="E92" s="17" t="n">
        <v>439.0</v>
      </c>
      <c r="F92" s="18" t="n">
        <f>0</f>
        <v>0.0</v>
      </c>
      <c r="G92" s="17" t="n">
        <v>7.000869E8</v>
      </c>
      <c r="H92" s="18" t="n">
        <f>0</f>
        <v>0.0</v>
      </c>
    </row>
    <row r="93" spans="1:8" ht="24.9" customHeight="1">
      <c r="A93" s="51"/>
      <c r="B93" s="57"/>
      <c r="C93" s="39"/>
      <c r="D93" s="20" t="s">
        <v>16</v>
      </c>
      <c r="E93" s="21" t="n">
        <v>0.0</v>
      </c>
      <c r="F93" s="22" t="n">
        <f>0</f>
        <v>0.0</v>
      </c>
      <c r="G93" s="21" t="n">
        <v>0.0</v>
      </c>
      <c r="H93" s="22" t="n">
        <f>0</f>
        <v>0.0</v>
      </c>
    </row>
    <row r="94" spans="1:8" ht="24.9" customHeight="1">
      <c r="A94" s="51"/>
      <c r="B94" s="57"/>
      <c r="C94" s="39"/>
      <c r="D94" s="20" t="s">
        <v>17</v>
      </c>
      <c r="E94" s="21" t="n">
        <v>1.0</v>
      </c>
      <c r="F94" s="22" t="n">
        <f>0</f>
        <v>0.0</v>
      </c>
      <c r="G94" s="21" t="n">
        <v>1595300.0</v>
      </c>
      <c r="H94" s="22" t="n">
        <f>0</f>
        <v>0.0</v>
      </c>
    </row>
    <row r="95" spans="1:8" ht="24.9" customHeight="1">
      <c r="A95" s="51"/>
      <c r="B95" s="57"/>
      <c r="C95" s="39"/>
      <c r="D95" s="24" t="s">
        <v>18</v>
      </c>
      <c r="E95" s="25" t="n">
        <v>440.0</v>
      </c>
      <c r="F95" s="26" t="n">
        <f>0</f>
        <v>0.0</v>
      </c>
      <c r="G95" s="25" t="n">
        <v>7.016822E8</v>
      </c>
      <c r="H95" s="26" t="n">
        <f>0</f>
        <v>0.0</v>
      </c>
    </row>
    <row r="96" spans="1:8" ht="24.9" customHeight="1">
      <c r="A96" s="51"/>
      <c r="B96" s="57"/>
      <c r="C96" s="39" t="s">
        <v>124</v>
      </c>
      <c r="D96" s="16" t="s">
        <v>15</v>
      </c>
      <c r="E96" s="17" t="n">
        <v>280.0</v>
      </c>
      <c r="F96" s="18" t="n">
        <f>0</f>
        <v>0.0</v>
      </c>
      <c r="G96" s="17" t="n">
        <v>6.605941E8</v>
      </c>
      <c r="H96" s="18" t="n">
        <f>0</f>
        <v>0.0</v>
      </c>
    </row>
    <row r="97" spans="1:8" ht="24.9" customHeight="1">
      <c r="A97" s="51"/>
      <c r="B97" s="57"/>
      <c r="C97" s="39"/>
      <c r="D97" s="20" t="s">
        <v>16</v>
      </c>
      <c r="E97" s="21" t="n">
        <v>9.0</v>
      </c>
      <c r="F97" s="22" t="n">
        <f>0</f>
        <v>0.0</v>
      </c>
      <c r="G97" s="21" t="n">
        <v>2.1247E7</v>
      </c>
      <c r="H97" s="22" t="n">
        <f>0</f>
        <v>0.0</v>
      </c>
    </row>
    <row r="98" spans="1:8" ht="24.9" customHeight="1">
      <c r="A98" s="51"/>
      <c r="B98" s="57"/>
      <c r="C98" s="39"/>
      <c r="D98" s="20" t="s">
        <v>17</v>
      </c>
      <c r="E98" s="21" t="n">
        <v>31.0</v>
      </c>
      <c r="F98" s="22" t="n">
        <f>0</f>
        <v>0.0</v>
      </c>
      <c r="G98" s="21" t="n">
        <v>7.32327E7</v>
      </c>
      <c r="H98" s="22" t="n">
        <f>0</f>
        <v>0.0</v>
      </c>
    </row>
    <row r="99" spans="1:8" ht="24.9" customHeight="1">
      <c r="A99" s="51"/>
      <c r="B99" s="57"/>
      <c r="C99" s="39"/>
      <c r="D99" s="24" t="s">
        <v>18</v>
      </c>
      <c r="E99" s="25" t="n">
        <v>320.0</v>
      </c>
      <c r="F99" s="26" t="n">
        <f>0</f>
        <v>0.0</v>
      </c>
      <c r="G99" s="25" t="n">
        <v>7.550738E8</v>
      </c>
      <c r="H99" s="26" t="n">
        <f>0</f>
        <v>0.0</v>
      </c>
    </row>
    <row r="100" spans="1:8" ht="24.9" customHeight="1">
      <c r="A100" s="51"/>
      <c r="B100" s="57"/>
      <c r="C100" s="39" t="s">
        <v>125</v>
      </c>
      <c r="D100" s="16" t="s">
        <v>15</v>
      </c>
      <c r="E100" s="17" t="n">
        <v>140.0</v>
      </c>
      <c r="F100" s="18" t="n">
        <f>0</f>
        <v>0.0</v>
      </c>
      <c r="G100" s="17" t="n">
        <v>2.59837E8</v>
      </c>
      <c r="H100" s="18" t="n">
        <f>0</f>
        <v>0.0</v>
      </c>
    </row>
    <row r="101" spans="1:8" ht="24.9" customHeight="1">
      <c r="A101" s="51"/>
      <c r="B101" s="57"/>
      <c r="C101" s="39"/>
      <c r="D101" s="20" t="s">
        <v>16</v>
      </c>
      <c r="E101" s="21" t="n">
        <v>0.0</v>
      </c>
      <c r="F101" s="22" t="n">
        <f>0</f>
        <v>0.0</v>
      </c>
      <c r="G101" s="21" t="n">
        <v>0.0</v>
      </c>
      <c r="H101" s="22" t="n">
        <f>0</f>
        <v>0.0</v>
      </c>
    </row>
    <row r="102" spans="1:8" ht="24.9" customHeight="1">
      <c r="A102" s="51"/>
      <c r="B102" s="57"/>
      <c r="C102" s="39"/>
      <c r="D102" s="20" t="s">
        <v>17</v>
      </c>
      <c r="E102" s="21" t="n">
        <v>0.0</v>
      </c>
      <c r="F102" s="22" t="n">
        <f>0</f>
        <v>0.0</v>
      </c>
      <c r="G102" s="21" t="n">
        <v>0.0</v>
      </c>
      <c r="H102" s="22" t="n">
        <f>0</f>
        <v>0.0</v>
      </c>
    </row>
    <row r="103" spans="1:8" ht="24.9" customHeight="1">
      <c r="A103" s="51"/>
      <c r="B103" s="58"/>
      <c r="C103" s="39"/>
      <c r="D103" s="24" t="s">
        <v>18</v>
      </c>
      <c r="E103" s="25" t="n">
        <v>140.0</v>
      </c>
      <c r="F103" s="26" t="n">
        <f>0</f>
        <v>0.0</v>
      </c>
      <c r="G103" s="25" t="n">
        <v>2.59837E8</v>
      </c>
      <c r="H103" s="26" t="n">
        <f>0</f>
        <v>0.0</v>
      </c>
    </row>
    <row r="104" spans="1:8" ht="24.9" customHeight="1">
      <c r="A104" s="51"/>
      <c r="B104" s="56" t="s">
        <v>57</v>
      </c>
      <c r="C104" s="39" t="s">
        <v>58</v>
      </c>
      <c r="D104" s="16" t="s">
        <v>15</v>
      </c>
      <c r="E104" s="17" t="n">
        <v>0.0</v>
      </c>
      <c r="F104" s="18" t="n">
        <f>0</f>
        <v>0.0</v>
      </c>
      <c r="G104" s="17" t="n">
        <v>0.0</v>
      </c>
      <c r="H104" s="18" t="n">
        <f>0</f>
        <v>0.0</v>
      </c>
    </row>
    <row r="105" spans="1:8" ht="24.9" customHeight="1">
      <c r="A105" s="51"/>
      <c r="B105" s="57"/>
      <c r="C105" s="39"/>
      <c r="D105" s="20" t="s">
        <v>16</v>
      </c>
      <c r="E105" s="21" t="n">
        <v>0.0</v>
      </c>
      <c r="F105" s="22" t="n">
        <f>0</f>
        <v>0.0</v>
      </c>
      <c r="G105" s="21" t="n">
        <v>0.0</v>
      </c>
      <c r="H105" s="22" t="n">
        <f>0</f>
        <v>0.0</v>
      </c>
    </row>
    <row r="106" spans="1:8" ht="24.9" customHeight="1">
      <c r="A106" s="51"/>
      <c r="B106" s="57"/>
      <c r="C106" s="39"/>
      <c r="D106" s="20" t="s">
        <v>17</v>
      </c>
      <c r="E106" s="21" t="n">
        <v>0.0</v>
      </c>
      <c r="F106" s="22" t="n">
        <f>0</f>
        <v>0.0</v>
      </c>
      <c r="G106" s="21" t="n">
        <v>0.0</v>
      </c>
      <c r="H106" s="22" t="n">
        <f>0</f>
        <v>0.0</v>
      </c>
    </row>
    <row r="107" spans="1:8" ht="24.9" customHeight="1">
      <c r="A107" s="51"/>
      <c r="B107" s="57"/>
      <c r="C107" s="39"/>
      <c r="D107" s="24" t="s">
        <v>18</v>
      </c>
      <c r="E107" s="25" t="n">
        <v>0.0</v>
      </c>
      <c r="F107" s="26" t="n">
        <f>0</f>
        <v>0.0</v>
      </c>
      <c r="G107" s="25" t="n">
        <v>0.0</v>
      </c>
      <c r="H107" s="26" t="n">
        <f>0</f>
        <v>0.0</v>
      </c>
    </row>
    <row r="108" spans="1:8" ht="24.9" customHeight="1">
      <c r="A108" s="51"/>
      <c r="B108" s="57"/>
      <c r="C108" s="39" t="s">
        <v>59</v>
      </c>
      <c r="D108" s="16" t="s">
        <v>15</v>
      </c>
      <c r="E108" s="17" t="n">
        <v>14831.0</v>
      </c>
      <c r="F108" s="18" t="n">
        <f>8</f>
        <v>8.0</v>
      </c>
      <c r="G108" s="17" t="n">
        <v>1.9068699E12</v>
      </c>
      <c r="H108" s="18" t="n">
        <f>1029570000</f>
        <v>1.02957E9</v>
      </c>
    </row>
    <row r="109" spans="1:8" ht="24.9" customHeight="1">
      <c r="A109" s="51"/>
      <c r="B109" s="57"/>
      <c r="C109" s="39"/>
      <c r="D109" s="20" t="s">
        <v>16</v>
      </c>
      <c r="E109" s="21" t="n">
        <v>18616.0</v>
      </c>
      <c r="F109" s="22" t="n">
        <f>310</f>
        <v>310.0</v>
      </c>
      <c r="G109" s="21" t="n">
        <v>2.39617795E12</v>
      </c>
      <c r="H109" s="22" t="n">
        <f>39905290000</f>
        <v>3.990529E10</v>
      </c>
    </row>
    <row r="110" spans="1:8" ht="24.9" customHeight="1">
      <c r="A110" s="51"/>
      <c r="B110" s="57"/>
      <c r="C110" s="39"/>
      <c r="D110" s="20" t="s">
        <v>17</v>
      </c>
      <c r="E110" s="21" t="n">
        <v>48702.0</v>
      </c>
      <c r="F110" s="22" t="n">
        <f>1947</f>
        <v>1947.0</v>
      </c>
      <c r="G110" s="21" t="n">
        <v>6.28898309E12</v>
      </c>
      <c r="H110" s="22" t="n">
        <f>251688500000</f>
        <v>2.516885E11</v>
      </c>
    </row>
    <row r="111" spans="1:8" ht="24.9" customHeight="1">
      <c r="A111" s="51"/>
      <c r="B111" s="57"/>
      <c r="C111" s="39"/>
      <c r="D111" s="24" t="s">
        <v>18</v>
      </c>
      <c r="E111" s="25" t="n">
        <v>82149.0</v>
      </c>
      <c r="F111" s="26" t="n">
        <f>2265</f>
        <v>2265.0</v>
      </c>
      <c r="G111" s="25" t="n">
        <v>1.059203094E13</v>
      </c>
      <c r="H111" s="26" t="n">
        <f>292623360000</f>
        <v>2.9262336E11</v>
      </c>
    </row>
    <row r="112" spans="1:8" ht="24.9" customHeight="1">
      <c r="A112" s="51"/>
      <c r="B112" s="57"/>
      <c r="C112" s="39" t="s">
        <v>60</v>
      </c>
      <c r="D112" s="16" t="s">
        <v>15</v>
      </c>
      <c r="E112" s="17" t="n">
        <v>0.0</v>
      </c>
      <c r="F112" s="18" t="n">
        <f>0</f>
        <v>0.0</v>
      </c>
      <c r="G112" s="17" t="n">
        <v>0.0</v>
      </c>
      <c r="H112" s="18" t="n">
        <f>0</f>
        <v>0.0</v>
      </c>
    </row>
    <row r="113" spans="1:8" ht="24.9" customHeight="1">
      <c r="A113" s="51"/>
      <c r="B113" s="57"/>
      <c r="C113" s="39"/>
      <c r="D113" s="20" t="s">
        <v>16</v>
      </c>
      <c r="E113" s="21" t="n">
        <v>212.0</v>
      </c>
      <c r="F113" s="22" t="n">
        <f>0</f>
        <v>0.0</v>
      </c>
      <c r="G113" s="21" t="n">
        <v>2.728024E9</v>
      </c>
      <c r="H113" s="22" t="n">
        <f>0</f>
        <v>0.0</v>
      </c>
    </row>
    <row r="114" spans="1:8" ht="24.9" customHeight="1">
      <c r="A114" s="51"/>
      <c r="B114" s="57"/>
      <c r="C114" s="39"/>
      <c r="D114" s="20" t="s">
        <v>17</v>
      </c>
      <c r="E114" s="21" t="n">
        <v>670.0</v>
      </c>
      <c r="F114" s="22" t="n">
        <f>0</f>
        <v>0.0</v>
      </c>
      <c r="G114" s="21" t="n">
        <v>8.663852E9</v>
      </c>
      <c r="H114" s="22" t="n">
        <f>0</f>
        <v>0.0</v>
      </c>
    </row>
    <row r="115" spans="1:8" ht="24.9" customHeight="1">
      <c r="A115" s="51"/>
      <c r="B115" s="57"/>
      <c r="C115" s="39"/>
      <c r="D115" s="24" t="s">
        <v>18</v>
      </c>
      <c r="E115" s="25" t="n">
        <v>882.0</v>
      </c>
      <c r="F115" s="26" t="n">
        <f>0</f>
        <v>0.0</v>
      </c>
      <c r="G115" s="25" t="n">
        <v>1.1391876E10</v>
      </c>
      <c r="H115" s="26" t="n">
        <f>0</f>
        <v>0.0</v>
      </c>
    </row>
    <row r="116" spans="1:8" ht="24.9" customHeight="1">
      <c r="A116" s="51"/>
      <c r="B116" s="57"/>
      <c r="C116" s="39" t="s">
        <v>61</v>
      </c>
      <c r="D116" s="16" t="s">
        <v>15</v>
      </c>
      <c r="E116" s="17" t="n">
        <v>0.0</v>
      </c>
      <c r="F116" s="18" t="n">
        <f>0</f>
        <v>0.0</v>
      </c>
      <c r="G116" s="17" t="n">
        <v>0.0</v>
      </c>
      <c r="H116" s="18" t="n">
        <f>0</f>
        <v>0.0</v>
      </c>
    </row>
    <row r="117" spans="1:8" ht="24.9" customHeight="1">
      <c r="A117" s="51"/>
      <c r="B117" s="57"/>
      <c r="C117" s="39"/>
      <c r="D117" s="20" t="s">
        <v>16</v>
      </c>
      <c r="E117" s="21" t="n">
        <v>20.0</v>
      </c>
      <c r="F117" s="22" t="n">
        <f>0</f>
        <v>0.0</v>
      </c>
      <c r="G117" s="21" t="n">
        <v>1.8383E8</v>
      </c>
      <c r="H117" s="22" t="n">
        <f>0</f>
        <v>0.0</v>
      </c>
    </row>
    <row r="118" spans="1:8" ht="24.9" customHeight="1">
      <c r="A118" s="51"/>
      <c r="B118" s="57"/>
      <c r="C118" s="39"/>
      <c r="D118" s="20" t="s">
        <v>17</v>
      </c>
      <c r="E118" s="21" t="n">
        <v>0.0</v>
      </c>
      <c r="F118" s="22" t="n">
        <f>0</f>
        <v>0.0</v>
      </c>
      <c r="G118" s="21" t="n">
        <v>0.0</v>
      </c>
      <c r="H118" s="22" t="n">
        <f>0</f>
        <v>0.0</v>
      </c>
    </row>
    <row r="119" spans="1:8" ht="24.9" customHeight="1">
      <c r="A119" s="51"/>
      <c r="B119" s="58"/>
      <c r="C119" s="39"/>
      <c r="D119" s="24" t="s">
        <v>18</v>
      </c>
      <c r="E119" s="25" t="n">
        <v>20.0</v>
      </c>
      <c r="F119" s="26" t="n">
        <f>0</f>
        <v>0.0</v>
      </c>
      <c r="G119" s="25" t="n">
        <v>1.8383E8</v>
      </c>
      <c r="H119" s="26" t="n">
        <f>0</f>
        <v>0.0</v>
      </c>
    </row>
    <row r="120" spans="1:8" ht="24.9" customHeight="1">
      <c r="A120" s="51"/>
      <c r="B120" s="53" t="s">
        <v>62</v>
      </c>
      <c r="C120" s="39" t="s">
        <v>63</v>
      </c>
      <c r="D120" s="16" t="s">
        <v>15</v>
      </c>
      <c r="E120" s="17" t="n">
        <v>5589.0</v>
      </c>
      <c r="F120" s="18" t="n">
        <f>0</f>
        <v>0.0</v>
      </c>
      <c r="G120" s="17" t="n">
        <v>1.38266449375E11</v>
      </c>
      <c r="H120" s="18" t="n">
        <f>0</f>
        <v>0.0</v>
      </c>
    </row>
    <row r="121" spans="1:8" ht="24.9" customHeight="1">
      <c r="A121" s="51"/>
      <c r="B121" s="54"/>
      <c r="C121" s="39"/>
      <c r="D121" s="20" t="s">
        <v>16</v>
      </c>
      <c r="E121" s="21" t="n">
        <v>357.0</v>
      </c>
      <c r="F121" s="22" t="n">
        <f>0</f>
        <v>0.0</v>
      </c>
      <c r="G121" s="21" t="n">
        <v>8.815319375E9</v>
      </c>
      <c r="H121" s="22" t="n">
        <f>0</f>
        <v>0.0</v>
      </c>
    </row>
    <row r="122" spans="1:8" ht="24.9" customHeight="1">
      <c r="A122" s="51"/>
      <c r="B122" s="54"/>
      <c r="C122" s="39"/>
      <c r="D122" s="20" t="s">
        <v>17</v>
      </c>
      <c r="E122" s="21" t="n">
        <v>2118.0</v>
      </c>
      <c r="F122" s="22" t="n">
        <f>1000</f>
        <v>1000.0</v>
      </c>
      <c r="G122" s="21" t="n">
        <v>5.2355128125E10</v>
      </c>
      <c r="H122" s="22" t="n">
        <f>24701250000</f>
        <v>2.470125E10</v>
      </c>
    </row>
    <row r="123" spans="1:8" ht="24.9" customHeight="1">
      <c r="A123" s="51"/>
      <c r="B123" s="55"/>
      <c r="C123" s="39"/>
      <c r="D123" s="24" t="s">
        <v>18</v>
      </c>
      <c r="E123" s="25" t="n">
        <v>8064.0</v>
      </c>
      <c r="F123" s="26" t="n">
        <f>1000</f>
        <v>1000.0</v>
      </c>
      <c r="G123" s="25" t="n">
        <v>1.99436896875E11</v>
      </c>
      <c r="H123" s="26" t="n">
        <f>24701250000</f>
        <v>2.470125E10</v>
      </c>
    </row>
    <row r="124" spans="1:8" ht="24.9" customHeight="1">
      <c r="A124" s="51"/>
      <c r="B124" s="56" t="s">
        <v>64</v>
      </c>
      <c r="C124" s="39" t="s">
        <v>65</v>
      </c>
      <c r="D124" s="16" t="s">
        <v>15</v>
      </c>
      <c r="E124" s="17" t="n">
        <v>6166.0</v>
      </c>
      <c r="F124" s="18" t="n">
        <f>0</f>
        <v>0.0</v>
      </c>
      <c r="G124" s="17" t="n">
        <v>1.45648914E11</v>
      </c>
      <c r="H124" s="18" t="n">
        <f>0</f>
        <v>0.0</v>
      </c>
    </row>
    <row r="125" spans="1:8" ht="24.9" customHeight="1">
      <c r="A125" s="51"/>
      <c r="B125" s="57"/>
      <c r="C125" s="39"/>
      <c r="D125" s="20" t="s">
        <v>16</v>
      </c>
      <c r="E125" s="21" t="n">
        <v>2369.0</v>
      </c>
      <c r="F125" s="22" t="n">
        <f>0</f>
        <v>0.0</v>
      </c>
      <c r="G125" s="21" t="n">
        <v>5.5974974E10</v>
      </c>
      <c r="H125" s="22" t="n">
        <f>0</f>
        <v>0.0</v>
      </c>
    </row>
    <row r="126" spans="1:8" ht="24.9" customHeight="1">
      <c r="A126" s="51"/>
      <c r="B126" s="57"/>
      <c r="C126" s="39"/>
      <c r="D126" s="20" t="s">
        <v>17</v>
      </c>
      <c r="E126" s="21" t="n">
        <v>3009.0</v>
      </c>
      <c r="F126" s="22" t="n">
        <f>0</f>
        <v>0.0</v>
      </c>
      <c r="G126" s="21" t="n">
        <v>7.162189E10</v>
      </c>
      <c r="H126" s="22" t="n">
        <f>0</f>
        <v>0.0</v>
      </c>
    </row>
    <row r="127" spans="1:8" ht="24.9" customHeight="1">
      <c r="A127" s="51"/>
      <c r="B127" s="57"/>
      <c r="C127" s="39"/>
      <c r="D127" s="24" t="s">
        <v>18</v>
      </c>
      <c r="E127" s="25" t="n">
        <v>11544.0</v>
      </c>
      <c r="F127" s="26" t="n">
        <f>0</f>
        <v>0.0</v>
      </c>
      <c r="G127" s="25" t="n">
        <v>2.73245778E11</v>
      </c>
      <c r="H127" s="26" t="n">
        <f>0</f>
        <v>0.0</v>
      </c>
    </row>
    <row r="128" spans="1:8" ht="24.9" customHeight="1">
      <c r="A128" s="51"/>
      <c r="B128" s="57"/>
      <c r="C128" s="39" t="s">
        <v>127</v>
      </c>
      <c r="D128" s="16" t="s">
        <v>15</v>
      </c>
      <c r="E128" s="17" t="n">
        <v>70.0</v>
      </c>
      <c r="F128" s="18" t="n">
        <f>0</f>
        <v>0.0</v>
      </c>
      <c r="G128" s="17" t="n">
        <v>1.653949E8</v>
      </c>
      <c r="H128" s="18" t="n">
        <f>0</f>
        <v>0.0</v>
      </c>
    </row>
    <row r="129" spans="1:8" ht="24.9" customHeight="1">
      <c r="A129" s="51"/>
      <c r="B129" s="57"/>
      <c r="C129" s="39"/>
      <c r="D129" s="20" t="s">
        <v>16</v>
      </c>
      <c r="E129" s="21" t="n">
        <v>36.0</v>
      </c>
      <c r="F129" s="22" t="n">
        <f>0</f>
        <v>0.0</v>
      </c>
      <c r="G129" s="21" t="n">
        <v>8.52902E7</v>
      </c>
      <c r="H129" s="22" t="n">
        <f>0</f>
        <v>0.0</v>
      </c>
    </row>
    <row r="130" spans="1:8" ht="24.9" customHeight="1">
      <c r="A130" s="51"/>
      <c r="B130" s="57"/>
      <c r="C130" s="39"/>
      <c r="D130" s="20" t="s">
        <v>17</v>
      </c>
      <c r="E130" s="21" t="n">
        <v>72.0</v>
      </c>
      <c r="F130" s="22" t="n">
        <f>0</f>
        <v>0.0</v>
      </c>
      <c r="G130" s="21" t="n">
        <v>1.716111E8</v>
      </c>
      <c r="H130" s="22" t="n">
        <f>0</f>
        <v>0.0</v>
      </c>
    </row>
    <row r="131" spans="1:8" ht="24.9" customHeight="1">
      <c r="A131" s="51"/>
      <c r="B131" s="57"/>
      <c r="C131" s="39"/>
      <c r="D131" s="24" t="s">
        <v>18</v>
      </c>
      <c r="E131" s="25" t="n">
        <v>178.0</v>
      </c>
      <c r="F131" s="26" t="n">
        <f>0</f>
        <v>0.0</v>
      </c>
      <c r="G131" s="25" t="n">
        <v>4.222962E8</v>
      </c>
      <c r="H131" s="26" t="n">
        <f>0</f>
        <v>0.0</v>
      </c>
    </row>
    <row r="132" spans="1:8" ht="24.9" customHeight="1">
      <c r="A132" s="51"/>
      <c r="B132" s="57"/>
      <c r="C132" s="39" t="s">
        <v>66</v>
      </c>
      <c r="D132" s="16" t="s">
        <v>15</v>
      </c>
      <c r="E132" s="17" t="n">
        <v>7651.0</v>
      </c>
      <c r="F132" s="18" t="n">
        <f>0</f>
        <v>0.0</v>
      </c>
      <c r="G132" s="17" t="n">
        <v>1.808773555E10</v>
      </c>
      <c r="H132" s="18" t="n">
        <f>0</f>
        <v>0.0</v>
      </c>
    </row>
    <row r="133" spans="1:8" ht="24.9" customHeight="1">
      <c r="A133" s="51"/>
      <c r="B133" s="57"/>
      <c r="C133" s="39"/>
      <c r="D133" s="20" t="s">
        <v>16</v>
      </c>
      <c r="E133" s="21" t="n">
        <v>1925.0</v>
      </c>
      <c r="F133" s="22" t="n">
        <f>0</f>
        <v>0.0</v>
      </c>
      <c r="G133" s="21" t="n">
        <v>4.55633315E9</v>
      </c>
      <c r="H133" s="22" t="n">
        <f>0</f>
        <v>0.0</v>
      </c>
    </row>
    <row r="134" spans="1:8" ht="24.9" customHeight="1">
      <c r="A134" s="51"/>
      <c r="B134" s="57"/>
      <c r="C134" s="39"/>
      <c r="D134" s="20" t="s">
        <v>17</v>
      </c>
      <c r="E134" s="21" t="n">
        <v>2892.0</v>
      </c>
      <c r="F134" s="22" t="n">
        <f>0</f>
        <v>0.0</v>
      </c>
      <c r="G134" s="21" t="n">
        <v>6.88797805E9</v>
      </c>
      <c r="H134" s="22" t="n">
        <f>0</f>
        <v>0.0</v>
      </c>
    </row>
    <row r="135" spans="1:8" ht="24.9" customHeight="1">
      <c r="A135" s="51"/>
      <c r="B135" s="57"/>
      <c r="C135" s="39"/>
      <c r="D135" s="24" t="s">
        <v>18</v>
      </c>
      <c r="E135" s="25" t="n">
        <v>12468.0</v>
      </c>
      <c r="F135" s="26" t="n">
        <f>0</f>
        <v>0.0</v>
      </c>
      <c r="G135" s="25" t="n">
        <v>2.953204675E10</v>
      </c>
      <c r="H135" s="26" t="n">
        <f>0</f>
        <v>0.0</v>
      </c>
    </row>
    <row r="136" spans="1:8" ht="24.9" customHeight="1">
      <c r="A136" s="51"/>
      <c r="B136" s="57"/>
      <c r="C136" s="39" t="s">
        <v>67</v>
      </c>
      <c r="D136" s="16" t="s">
        <v>15</v>
      </c>
      <c r="E136" s="17" t="n">
        <v>53.0</v>
      </c>
      <c r="F136" s="18" t="n">
        <f>0</f>
        <v>0.0</v>
      </c>
      <c r="G136" s="17" t="n">
        <v>1.246688E8</v>
      </c>
      <c r="H136" s="18" t="n">
        <f>0</f>
        <v>0.0</v>
      </c>
    </row>
    <row r="137" spans="1:8" ht="24.9" customHeight="1">
      <c r="A137" s="51"/>
      <c r="B137" s="57"/>
      <c r="C137" s="39"/>
      <c r="D137" s="20" t="s">
        <v>16</v>
      </c>
      <c r="E137" s="21" t="n">
        <v>30.0</v>
      </c>
      <c r="F137" s="22" t="n">
        <f>0</f>
        <v>0.0</v>
      </c>
      <c r="G137" s="21" t="n">
        <v>7.02942E7</v>
      </c>
      <c r="H137" s="22" t="n">
        <f>0</f>
        <v>0.0</v>
      </c>
    </row>
    <row r="138" spans="1:8" ht="24.9" customHeight="1">
      <c r="A138" s="51"/>
      <c r="B138" s="57"/>
      <c r="C138" s="39"/>
      <c r="D138" s="20" t="s">
        <v>17</v>
      </c>
      <c r="E138" s="21" t="n">
        <v>70.0</v>
      </c>
      <c r="F138" s="22" t="n">
        <f>0</f>
        <v>0.0</v>
      </c>
      <c r="G138" s="21" t="n">
        <v>1.655091E8</v>
      </c>
      <c r="H138" s="22" t="n">
        <f>0</f>
        <v>0.0</v>
      </c>
    </row>
    <row r="139" spans="1:8" ht="24.9" customHeight="1">
      <c r="A139" s="51"/>
      <c r="B139" s="57"/>
      <c r="C139" s="39"/>
      <c r="D139" s="24" t="s">
        <v>18</v>
      </c>
      <c r="E139" s="25" t="n">
        <v>153.0</v>
      </c>
      <c r="F139" s="26" t="n">
        <f>0</f>
        <v>0.0</v>
      </c>
      <c r="G139" s="25" t="n">
        <v>3.604721E8</v>
      </c>
      <c r="H139" s="26" t="n">
        <f>0</f>
        <v>0.0</v>
      </c>
    </row>
    <row r="140" spans="1:8" ht="24.9" customHeight="1">
      <c r="A140" s="51"/>
      <c r="B140" s="57"/>
      <c r="C140" s="39" t="s">
        <v>68</v>
      </c>
      <c r="D140" s="16" t="s">
        <v>15</v>
      </c>
      <c r="E140" s="17" t="n">
        <v>0.0</v>
      </c>
      <c r="F140" s="18" t="n">
        <f>0</f>
        <v>0.0</v>
      </c>
      <c r="G140" s="17" t="n">
        <v>0.0</v>
      </c>
      <c r="H140" s="18" t="n">
        <f>0</f>
        <v>0.0</v>
      </c>
    </row>
    <row r="141" spans="1:8" ht="24.9" customHeight="1">
      <c r="A141" s="51"/>
      <c r="B141" s="57"/>
      <c r="C141" s="39"/>
      <c r="D141" s="20" t="s">
        <v>16</v>
      </c>
      <c r="E141" s="21" t="n">
        <v>0.0</v>
      </c>
      <c r="F141" s="22" t="n">
        <f>0</f>
        <v>0.0</v>
      </c>
      <c r="G141" s="21" t="n">
        <v>0.0</v>
      </c>
      <c r="H141" s="22" t="n">
        <f>0</f>
        <v>0.0</v>
      </c>
    </row>
    <row r="142" spans="1:8" ht="24.9" customHeight="1">
      <c r="A142" s="51"/>
      <c r="B142" s="57"/>
      <c r="C142" s="39"/>
      <c r="D142" s="20" t="s">
        <v>17</v>
      </c>
      <c r="E142" s="21" t="n">
        <v>3.0</v>
      </c>
      <c r="F142" s="22" t="n">
        <f>0</f>
        <v>0.0</v>
      </c>
      <c r="G142" s="21" t="n">
        <v>3.4965E7</v>
      </c>
      <c r="H142" s="22" t="n">
        <f>0</f>
        <v>0.0</v>
      </c>
    </row>
    <row r="143" spans="1:8" ht="24.9" customHeight="1">
      <c r="A143" s="51"/>
      <c r="B143" s="57"/>
      <c r="C143" s="39"/>
      <c r="D143" s="24" t="s">
        <v>18</v>
      </c>
      <c r="E143" s="25" t="n">
        <v>3.0</v>
      </c>
      <c r="F143" s="26" t="n">
        <f>0</f>
        <v>0.0</v>
      </c>
      <c r="G143" s="25" t="n">
        <v>3.4965E7</v>
      </c>
      <c r="H143" s="26" t="n">
        <f>0</f>
        <v>0.0</v>
      </c>
    </row>
    <row r="144" spans="1:8" ht="24.9" customHeight="1">
      <c r="A144" s="51"/>
      <c r="B144" s="57"/>
      <c r="C144" s="39" t="s">
        <v>69</v>
      </c>
      <c r="D144" s="16" t="s">
        <v>15</v>
      </c>
      <c r="E144" s="17" t="n">
        <v>919.0</v>
      </c>
      <c r="F144" s="18" t="n">
        <f>0</f>
        <v>0.0</v>
      </c>
      <c r="G144" s="17" t="n">
        <v>4.489821E9</v>
      </c>
      <c r="H144" s="18" t="n">
        <f>0</f>
        <v>0.0</v>
      </c>
    </row>
    <row r="145" spans="1:8" ht="24.9" customHeight="1">
      <c r="A145" s="51"/>
      <c r="B145" s="57"/>
      <c r="C145" s="39"/>
      <c r="D145" s="20" t="s">
        <v>16</v>
      </c>
      <c r="E145" s="21" t="n">
        <v>761.0</v>
      </c>
      <c r="F145" s="22" t="n">
        <f>0</f>
        <v>0.0</v>
      </c>
      <c r="G145" s="21" t="n">
        <v>3.7304545E9</v>
      </c>
      <c r="H145" s="22" t="n">
        <f>0</f>
        <v>0.0</v>
      </c>
    </row>
    <row r="146" spans="1:8" ht="24.9" customHeight="1">
      <c r="A146" s="51"/>
      <c r="B146" s="57"/>
      <c r="C146" s="39"/>
      <c r="D146" s="20" t="s">
        <v>17</v>
      </c>
      <c r="E146" s="21" t="n">
        <v>1226.0</v>
      </c>
      <c r="F146" s="22" t="n">
        <f>0</f>
        <v>0.0</v>
      </c>
      <c r="G146" s="21" t="n">
        <v>6.0666045E9</v>
      </c>
      <c r="H146" s="22" t="n">
        <f>0</f>
        <v>0.0</v>
      </c>
    </row>
    <row r="147" spans="1:8" ht="24.9" customHeight="1">
      <c r="A147" s="51"/>
      <c r="B147" s="57"/>
      <c r="C147" s="39"/>
      <c r="D147" s="24" t="s">
        <v>18</v>
      </c>
      <c r="E147" s="25" t="n">
        <v>2906.0</v>
      </c>
      <c r="F147" s="26" t="n">
        <f>0</f>
        <v>0.0</v>
      </c>
      <c r="G147" s="25" t="n">
        <v>1.428688E10</v>
      </c>
      <c r="H147" s="26" t="n">
        <f>0</f>
        <v>0.0</v>
      </c>
    </row>
    <row r="148" spans="1:8" ht="24.9" customHeight="1">
      <c r="A148" s="51"/>
      <c r="B148" s="57"/>
      <c r="C148" s="39" t="s">
        <v>128</v>
      </c>
      <c r="D148" s="16" t="s">
        <v>15</v>
      </c>
      <c r="E148" s="17" t="n">
        <v>48.0</v>
      </c>
      <c r="F148" s="18" t="n">
        <f>0</f>
        <v>0.0</v>
      </c>
      <c r="G148" s="17" t="n">
        <v>4.78484E7</v>
      </c>
      <c r="H148" s="18" t="n">
        <f>0</f>
        <v>0.0</v>
      </c>
    </row>
    <row r="149" spans="1:8" ht="24.9" customHeight="1">
      <c r="A149" s="51"/>
      <c r="B149" s="57"/>
      <c r="C149" s="39"/>
      <c r="D149" s="20" t="s">
        <v>16</v>
      </c>
      <c r="E149" s="21" t="n">
        <v>42.0</v>
      </c>
      <c r="F149" s="22" t="n">
        <f>0</f>
        <v>0.0</v>
      </c>
      <c r="G149" s="21" t="n">
        <v>4.19183E7</v>
      </c>
      <c r="H149" s="22" t="n">
        <f>0</f>
        <v>0.0</v>
      </c>
    </row>
    <row r="150" spans="1:8" ht="24.9" customHeight="1">
      <c r="A150" s="51"/>
      <c r="B150" s="57"/>
      <c r="C150" s="39"/>
      <c r="D150" s="20" t="s">
        <v>17</v>
      </c>
      <c r="E150" s="21" t="n">
        <v>312.0</v>
      </c>
      <c r="F150" s="22" t="n">
        <f>0</f>
        <v>0.0</v>
      </c>
      <c r="G150" s="21" t="n">
        <v>3.149908E8</v>
      </c>
      <c r="H150" s="22" t="n">
        <f>0</f>
        <v>0.0</v>
      </c>
    </row>
    <row r="151" spans="1:8" ht="24.9" customHeight="1">
      <c r="A151" s="51"/>
      <c r="B151" s="57"/>
      <c r="C151" s="39"/>
      <c r="D151" s="24" t="s">
        <v>18</v>
      </c>
      <c r="E151" s="25" t="n">
        <v>402.0</v>
      </c>
      <c r="F151" s="26" t="n">
        <f>0</f>
        <v>0.0</v>
      </c>
      <c r="G151" s="25" t="n">
        <v>4.047575E8</v>
      </c>
      <c r="H151" s="26" t="n">
        <f>0</f>
        <v>0.0</v>
      </c>
    </row>
    <row r="152" spans="1:8" ht="24.9" customHeight="1">
      <c r="A152" s="51"/>
      <c r="B152" s="57"/>
      <c r="C152" s="39" t="s">
        <v>70</v>
      </c>
      <c r="D152" s="16" t="s">
        <v>15</v>
      </c>
      <c r="E152" s="17" t="n">
        <v>188.0</v>
      </c>
      <c r="F152" s="18" t="n">
        <f>0</f>
        <v>0.0</v>
      </c>
      <c r="G152" s="17" t="n">
        <v>1.8413005E8</v>
      </c>
      <c r="H152" s="18" t="n">
        <f>0</f>
        <v>0.0</v>
      </c>
    </row>
    <row r="153" spans="1:8" ht="24.9" customHeight="1">
      <c r="A153" s="51"/>
      <c r="B153" s="57"/>
      <c r="C153" s="39"/>
      <c r="D153" s="20" t="s">
        <v>16</v>
      </c>
      <c r="E153" s="21" t="n">
        <v>187.0</v>
      </c>
      <c r="F153" s="22" t="n">
        <f>0</f>
        <v>0.0</v>
      </c>
      <c r="G153" s="21" t="n">
        <v>1.838353E8</v>
      </c>
      <c r="H153" s="22" t="n">
        <f>0</f>
        <v>0.0</v>
      </c>
    </row>
    <row r="154" spans="1:8" ht="24.9" customHeight="1">
      <c r="A154" s="51"/>
      <c r="B154" s="57"/>
      <c r="C154" s="39"/>
      <c r="D154" s="20" t="s">
        <v>17</v>
      </c>
      <c r="E154" s="21" t="n">
        <v>166.0</v>
      </c>
      <c r="F154" s="22" t="n">
        <f>0</f>
        <v>0.0</v>
      </c>
      <c r="G154" s="21" t="n">
        <v>1.650777E8</v>
      </c>
      <c r="H154" s="22" t="n">
        <f>0</f>
        <v>0.0</v>
      </c>
    </row>
    <row r="155" spans="1:8" ht="24.9" customHeight="1">
      <c r="A155" s="51"/>
      <c r="B155" s="57"/>
      <c r="C155" s="39"/>
      <c r="D155" s="24" t="s">
        <v>18</v>
      </c>
      <c r="E155" s="25" t="n">
        <v>541.0</v>
      </c>
      <c r="F155" s="26" t="n">
        <f>0</f>
        <v>0.0</v>
      </c>
      <c r="G155" s="25" t="n">
        <v>5.3304305E8</v>
      </c>
      <c r="H155" s="26" t="n">
        <f>0</f>
        <v>0.0</v>
      </c>
    </row>
    <row r="156" spans="1:8" ht="24.9" customHeight="1">
      <c r="A156" s="51"/>
      <c r="B156" s="57"/>
      <c r="C156" s="39" t="s">
        <v>71</v>
      </c>
      <c r="D156" s="16" t="s">
        <v>15</v>
      </c>
      <c r="E156" s="17" t="n">
        <v>103.0</v>
      </c>
      <c r="F156" s="18" t="n">
        <f>0</f>
        <v>0.0</v>
      </c>
      <c r="G156" s="17" t="n">
        <v>1.016802E8</v>
      </c>
      <c r="H156" s="18" t="n">
        <f>0</f>
        <v>0.0</v>
      </c>
    </row>
    <row r="157" spans="1:8" ht="24.9" customHeight="1">
      <c r="A157" s="51"/>
      <c r="B157" s="57"/>
      <c r="C157" s="39"/>
      <c r="D157" s="20" t="s">
        <v>16</v>
      </c>
      <c r="E157" s="21" t="n">
        <v>794.0</v>
      </c>
      <c r="F157" s="22" t="n">
        <f>0</f>
        <v>0.0</v>
      </c>
      <c r="G157" s="21" t="n">
        <v>7.884117E8</v>
      </c>
      <c r="H157" s="22" t="n">
        <f>0</f>
        <v>0.0</v>
      </c>
    </row>
    <row r="158" spans="1:8" ht="24.9" customHeight="1">
      <c r="A158" s="51"/>
      <c r="B158" s="57"/>
      <c r="C158" s="39"/>
      <c r="D158" s="20" t="s">
        <v>17</v>
      </c>
      <c r="E158" s="21" t="n">
        <v>1199.0</v>
      </c>
      <c r="F158" s="22" t="n">
        <f>0</f>
        <v>0.0</v>
      </c>
      <c r="G158" s="21" t="n">
        <v>1.2071156E9</v>
      </c>
      <c r="H158" s="22" t="n">
        <f>0</f>
        <v>0.0</v>
      </c>
    </row>
    <row r="159" spans="1:8" ht="24.9" customHeight="1">
      <c r="A159" s="51"/>
      <c r="B159" s="57"/>
      <c r="C159" s="39"/>
      <c r="D159" s="24" t="s">
        <v>18</v>
      </c>
      <c r="E159" s="25" t="n">
        <v>2096.0</v>
      </c>
      <c r="F159" s="26" t="n">
        <f>0</f>
        <v>0.0</v>
      </c>
      <c r="G159" s="25" t="n">
        <v>2.0972075E9</v>
      </c>
      <c r="H159" s="26" t="n">
        <f>0</f>
        <v>0.0</v>
      </c>
    </row>
    <row r="160" spans="1:8" ht="24.9" customHeight="1">
      <c r="A160" s="51"/>
      <c r="B160" s="57"/>
      <c r="C160" s="39" t="s">
        <v>72</v>
      </c>
      <c r="D160" s="16" t="s">
        <v>15</v>
      </c>
      <c r="E160" s="17" t="n">
        <v>0.0</v>
      </c>
      <c r="F160" s="18" t="n">
        <f>0</f>
        <v>0.0</v>
      </c>
      <c r="G160" s="17" t="n">
        <v>0.0</v>
      </c>
      <c r="H160" s="18" t="n">
        <f>0</f>
        <v>0.0</v>
      </c>
    </row>
    <row r="161" spans="1:8" ht="24.9" customHeight="1">
      <c r="A161" s="51"/>
      <c r="B161" s="57"/>
      <c r="C161" s="39"/>
      <c r="D161" s="20" t="s">
        <v>16</v>
      </c>
      <c r="E161" s="21" t="n">
        <v>0.0</v>
      </c>
      <c r="F161" s="22" t="n">
        <f>0</f>
        <v>0.0</v>
      </c>
      <c r="G161" s="21" t="n">
        <v>0.0</v>
      </c>
      <c r="H161" s="22" t="n">
        <f>0</f>
        <v>0.0</v>
      </c>
    </row>
    <row r="162" spans="1:8" ht="24.9" customHeight="1">
      <c r="A162" s="51"/>
      <c r="B162" s="57"/>
      <c r="C162" s="39"/>
      <c r="D162" s="20" t="s">
        <v>17</v>
      </c>
      <c r="E162" s="21" t="n">
        <v>0.0</v>
      </c>
      <c r="F162" s="22" t="n">
        <f>0</f>
        <v>0.0</v>
      </c>
      <c r="G162" s="21" t="n">
        <v>0.0</v>
      </c>
      <c r="H162" s="22" t="n">
        <f>0</f>
        <v>0.0</v>
      </c>
    </row>
    <row r="163" spans="1:8" ht="24.9" customHeight="1">
      <c r="A163" s="51"/>
      <c r="B163" s="57"/>
      <c r="C163" s="39"/>
      <c r="D163" s="24" t="s">
        <v>18</v>
      </c>
      <c r="E163" s="25" t="n">
        <v>0.0</v>
      </c>
      <c r="F163" s="26" t="n">
        <f>0</f>
        <v>0.0</v>
      </c>
      <c r="G163" s="25" t="n">
        <v>0.0</v>
      </c>
      <c r="H163" s="26" t="n">
        <f>0</f>
        <v>0.0</v>
      </c>
    </row>
    <row r="164" spans="1:8" ht="24.9" customHeight="1">
      <c r="A164" s="51"/>
      <c r="B164" s="57"/>
      <c r="C164" s="39" t="s">
        <v>73</v>
      </c>
      <c r="D164" s="16" t="s">
        <v>15</v>
      </c>
      <c r="E164" s="17" t="n">
        <v>0.0</v>
      </c>
      <c r="F164" s="18" t="n">
        <f>0</f>
        <v>0.0</v>
      </c>
      <c r="G164" s="17" t="n">
        <v>0.0</v>
      </c>
      <c r="H164" s="18" t="n">
        <f>0</f>
        <v>0.0</v>
      </c>
    </row>
    <row r="165" spans="1:8" ht="24.9" customHeight="1">
      <c r="A165" s="51"/>
      <c r="B165" s="57"/>
      <c r="C165" s="39"/>
      <c r="D165" s="20" t="s">
        <v>16</v>
      </c>
      <c r="E165" s="21" t="n">
        <v>0.0</v>
      </c>
      <c r="F165" s="22" t="n">
        <f>0</f>
        <v>0.0</v>
      </c>
      <c r="G165" s="21" t="n">
        <v>0.0</v>
      </c>
      <c r="H165" s="22" t="n">
        <f>0</f>
        <v>0.0</v>
      </c>
    </row>
    <row r="166" spans="1:8" ht="24.9" customHeight="1">
      <c r="A166" s="51"/>
      <c r="B166" s="57"/>
      <c r="C166" s="39"/>
      <c r="D166" s="20" t="s">
        <v>17</v>
      </c>
      <c r="E166" s="21" t="n">
        <v>0.0</v>
      </c>
      <c r="F166" s="22" t="n">
        <f>0</f>
        <v>0.0</v>
      </c>
      <c r="G166" s="21" t="n">
        <v>0.0</v>
      </c>
      <c r="H166" s="22" t="n">
        <f>0</f>
        <v>0.0</v>
      </c>
    </row>
    <row r="167" spans="1:8" ht="24.9" customHeight="1">
      <c r="A167" s="51"/>
      <c r="B167" s="57"/>
      <c r="C167" s="39"/>
      <c r="D167" s="24" t="s">
        <v>18</v>
      </c>
      <c r="E167" s="25" t="n">
        <v>0.0</v>
      </c>
      <c r="F167" s="26" t="n">
        <f>0</f>
        <v>0.0</v>
      </c>
      <c r="G167" s="25" t="n">
        <v>0.0</v>
      </c>
      <c r="H167" s="26" t="n">
        <f>0</f>
        <v>0.0</v>
      </c>
    </row>
    <row r="168" spans="1:8" ht="24.9" customHeight="1">
      <c r="A168" s="51"/>
      <c r="B168" s="57"/>
      <c r="C168" s="39" t="s">
        <v>74</v>
      </c>
      <c r="D168" s="16" t="s">
        <v>15</v>
      </c>
      <c r="E168" s="17" t="n">
        <v>104.0</v>
      </c>
      <c r="F168" s="18" t="n">
        <f>0</f>
        <v>0.0</v>
      </c>
      <c r="G168" s="17" t="n">
        <v>2.16412E8</v>
      </c>
      <c r="H168" s="18" t="n">
        <f>0</f>
        <v>0.0</v>
      </c>
    </row>
    <row r="169" spans="1:8" ht="24.9" customHeight="1">
      <c r="A169" s="51"/>
      <c r="B169" s="57"/>
      <c r="C169" s="39"/>
      <c r="D169" s="20" t="s">
        <v>16</v>
      </c>
      <c r="E169" s="21" t="n">
        <v>1009.0</v>
      </c>
      <c r="F169" s="22" t="n">
        <f>10</f>
        <v>10.0</v>
      </c>
      <c r="G169" s="21" t="n">
        <v>2.1270425E9</v>
      </c>
      <c r="H169" s="22" t="n">
        <f>20335000</f>
        <v>2.0335E7</v>
      </c>
    </row>
    <row r="170" spans="1:8" ht="24.9" customHeight="1">
      <c r="A170" s="51"/>
      <c r="B170" s="57"/>
      <c r="C170" s="39"/>
      <c r="D170" s="20" t="s">
        <v>17</v>
      </c>
      <c r="E170" s="21" t="n">
        <v>769.0</v>
      </c>
      <c r="F170" s="22" t="n">
        <f>0</f>
        <v>0.0</v>
      </c>
      <c r="G170" s="21" t="n">
        <v>1.640144E9</v>
      </c>
      <c r="H170" s="22" t="n">
        <f>0</f>
        <v>0.0</v>
      </c>
    </row>
    <row r="171" spans="1:8" ht="24.9" customHeight="1">
      <c r="A171" s="51"/>
      <c r="B171" s="57"/>
      <c r="C171" s="39"/>
      <c r="D171" s="24" t="s">
        <v>18</v>
      </c>
      <c r="E171" s="25" t="n">
        <v>1882.0</v>
      </c>
      <c r="F171" s="26" t="n">
        <f>10</f>
        <v>10.0</v>
      </c>
      <c r="G171" s="25" t="n">
        <v>3.9835985E9</v>
      </c>
      <c r="H171" s="26" t="n">
        <f>20335000</f>
        <v>2.0335E7</v>
      </c>
    </row>
    <row r="172" spans="1:8" ht="24.9" customHeight="1">
      <c r="A172" s="51"/>
      <c r="B172" s="57"/>
      <c r="C172" s="39" t="s">
        <v>75</v>
      </c>
      <c r="D172" s="16" t="s">
        <v>15</v>
      </c>
      <c r="E172" s="17" t="n">
        <v>0.0</v>
      </c>
      <c r="F172" s="18" t="n">
        <f>0</f>
        <v>0.0</v>
      </c>
      <c r="G172" s="17" t="n">
        <v>0.0</v>
      </c>
      <c r="H172" s="18" t="n">
        <f>0</f>
        <v>0.0</v>
      </c>
    </row>
    <row r="173" spans="1:8" ht="24.9" customHeight="1">
      <c r="A173" s="51"/>
      <c r="B173" s="57"/>
      <c r="C173" s="39"/>
      <c r="D173" s="20" t="s">
        <v>16</v>
      </c>
      <c r="E173" s="21" t="n">
        <v>0.0</v>
      </c>
      <c r="F173" s="22" t="n">
        <f>0</f>
        <v>0.0</v>
      </c>
      <c r="G173" s="21" t="n">
        <v>0.0</v>
      </c>
      <c r="H173" s="22" t="n">
        <f>0</f>
        <v>0.0</v>
      </c>
    </row>
    <row r="174" spans="1:8" ht="24.9" customHeight="1">
      <c r="A174" s="51"/>
      <c r="B174" s="57"/>
      <c r="C174" s="39"/>
      <c r="D174" s="20" t="s">
        <v>17</v>
      </c>
      <c r="E174" s="21" t="n">
        <v>0.0</v>
      </c>
      <c r="F174" s="22" t="n">
        <f>0</f>
        <v>0.0</v>
      </c>
      <c r="G174" s="21" t="n">
        <v>0.0</v>
      </c>
      <c r="H174" s="22" t="n">
        <f>0</f>
        <v>0.0</v>
      </c>
    </row>
    <row r="175" spans="1:8" ht="24.9" customHeight="1">
      <c r="A175" s="51"/>
      <c r="B175" s="57"/>
      <c r="C175" s="39"/>
      <c r="D175" s="24" t="s">
        <v>18</v>
      </c>
      <c r="E175" s="25" t="n">
        <v>0.0</v>
      </c>
      <c r="F175" s="26" t="n">
        <f>0</f>
        <v>0.0</v>
      </c>
      <c r="G175" s="25" t="n">
        <v>0.0</v>
      </c>
      <c r="H175" s="26" t="n">
        <f>0</f>
        <v>0.0</v>
      </c>
    </row>
    <row r="176" spans="1:8" ht="24.9" customHeight="1">
      <c r="A176" s="51"/>
      <c r="B176" s="57"/>
      <c r="C176" s="39" t="s">
        <v>126</v>
      </c>
      <c r="D176" s="16" t="s">
        <v>15</v>
      </c>
      <c r="E176" s="17" t="n">
        <v>0.0</v>
      </c>
      <c r="F176" s="18" t="n">
        <f>0</f>
        <v>0.0</v>
      </c>
      <c r="G176" s="17" t="n">
        <v>0.0</v>
      </c>
      <c r="H176" s="18" t="n">
        <f>0</f>
        <v>0.0</v>
      </c>
    </row>
    <row r="177" spans="1:8" ht="24.9" customHeight="1">
      <c r="A177" s="51"/>
      <c r="B177" s="57"/>
      <c r="C177" s="39"/>
      <c r="D177" s="20" t="s">
        <v>16</v>
      </c>
      <c r="E177" s="21" t="n">
        <v>4.0</v>
      </c>
      <c r="F177" s="22" t="n">
        <f>0</f>
        <v>0.0</v>
      </c>
      <c r="G177" s="21" t="n">
        <v>7414000.0</v>
      </c>
      <c r="H177" s="22" t="n">
        <f>0</f>
        <v>0.0</v>
      </c>
    </row>
    <row r="178" spans="1:8" ht="24.9" customHeight="1">
      <c r="A178" s="51"/>
      <c r="B178" s="57"/>
      <c r="C178" s="39"/>
      <c r="D178" s="20" t="s">
        <v>17</v>
      </c>
      <c r="E178" s="21" t="n">
        <v>44.0</v>
      </c>
      <c r="F178" s="22" t="n">
        <f>0</f>
        <v>0.0</v>
      </c>
      <c r="G178" s="21" t="n">
        <v>8.1451E7</v>
      </c>
      <c r="H178" s="22" t="n">
        <f>0</f>
        <v>0.0</v>
      </c>
    </row>
    <row r="179" spans="1:8" ht="24.9" customHeight="1">
      <c r="A179" s="51"/>
      <c r="B179" s="57"/>
      <c r="C179" s="39"/>
      <c r="D179" s="24" t="s">
        <v>18</v>
      </c>
      <c r="E179" s="25" t="n">
        <v>48.0</v>
      </c>
      <c r="F179" s="26" t="n">
        <f>0</f>
        <v>0.0</v>
      </c>
      <c r="G179" s="25" t="n">
        <v>8.8865E7</v>
      </c>
      <c r="H179" s="26" t="n">
        <f>0</f>
        <v>0.0</v>
      </c>
    </row>
    <row r="180" spans="1:8" ht="24.9" customHeight="1">
      <c r="A180" s="51"/>
      <c r="B180" s="57"/>
      <c r="C180" s="39" t="s">
        <v>76</v>
      </c>
      <c r="D180" s="16" t="s">
        <v>15</v>
      </c>
      <c r="E180" s="17" t="n">
        <v>0.0</v>
      </c>
      <c r="F180" s="18" t="n">
        <f>0</f>
        <v>0.0</v>
      </c>
      <c r="G180" s="17" t="n">
        <v>0.0</v>
      </c>
      <c r="H180" s="18" t="n">
        <f>0</f>
        <v>0.0</v>
      </c>
    </row>
    <row r="181" spans="1:8" ht="24.9" customHeight="1">
      <c r="A181" s="51"/>
      <c r="B181" s="57"/>
      <c r="C181" s="39"/>
      <c r="D181" s="20" t="s">
        <v>16</v>
      </c>
      <c r="E181" s="21" t="n">
        <v>0.0</v>
      </c>
      <c r="F181" s="22" t="n">
        <f>0</f>
        <v>0.0</v>
      </c>
      <c r="G181" s="21" t="n">
        <v>0.0</v>
      </c>
      <c r="H181" s="22" t="n">
        <f>0</f>
        <v>0.0</v>
      </c>
    </row>
    <row r="182" spans="1:8" ht="24.9" customHeight="1">
      <c r="A182" s="51"/>
      <c r="B182" s="57"/>
      <c r="C182" s="39"/>
      <c r="D182" s="20" t="s">
        <v>17</v>
      </c>
      <c r="E182" s="21" t="n">
        <v>0.0</v>
      </c>
      <c r="F182" s="22" t="n">
        <f>0</f>
        <v>0.0</v>
      </c>
      <c r="G182" s="21" t="n">
        <v>0.0</v>
      </c>
      <c r="H182" s="22" t="n">
        <f>0</f>
        <v>0.0</v>
      </c>
    </row>
    <row r="183" spans="1:8" ht="24.9" customHeight="1">
      <c r="A183" s="51"/>
      <c r="B183" s="57"/>
      <c r="C183" s="39"/>
      <c r="D183" s="24" t="s">
        <v>18</v>
      </c>
      <c r="E183" s="25" t="n">
        <v>0.0</v>
      </c>
      <c r="F183" s="26" t="n">
        <f>0</f>
        <v>0.0</v>
      </c>
      <c r="G183" s="25" t="n">
        <v>0.0</v>
      </c>
      <c r="H183" s="26" t="n">
        <f>0</f>
        <v>0.0</v>
      </c>
    </row>
    <row r="184" spans="1:8" ht="24.9" customHeight="1">
      <c r="A184" s="51"/>
      <c r="B184" s="57"/>
      <c r="C184" s="39" t="s">
        <v>77</v>
      </c>
      <c r="D184" s="16" t="s">
        <v>15</v>
      </c>
      <c r="E184" s="17" t="n">
        <v>0.0</v>
      </c>
      <c r="F184" s="18" t="n">
        <f>0</f>
        <v>0.0</v>
      </c>
      <c r="G184" s="17" t="n">
        <v>0.0</v>
      </c>
      <c r="H184" s="18" t="n">
        <f>0</f>
        <v>0.0</v>
      </c>
    </row>
    <row r="185" spans="1:8" ht="24.9" customHeight="1">
      <c r="A185" s="51"/>
      <c r="B185" s="57"/>
      <c r="C185" s="39"/>
      <c r="D185" s="20" t="s">
        <v>16</v>
      </c>
      <c r="E185" s="21" t="n">
        <v>0.0</v>
      </c>
      <c r="F185" s="22" t="n">
        <f>0</f>
        <v>0.0</v>
      </c>
      <c r="G185" s="21" t="n">
        <v>0.0</v>
      </c>
      <c r="H185" s="22" t="n">
        <f>0</f>
        <v>0.0</v>
      </c>
    </row>
    <row r="186" spans="1:8" ht="24.9" customHeight="1">
      <c r="A186" s="51"/>
      <c r="B186" s="57"/>
      <c r="C186" s="39"/>
      <c r="D186" s="20" t="s">
        <v>17</v>
      </c>
      <c r="E186" s="21" t="n">
        <v>0.0</v>
      </c>
      <c r="F186" s="22" t="n">
        <f>0</f>
        <v>0.0</v>
      </c>
      <c r="G186" s="21" t="n">
        <v>0.0</v>
      </c>
      <c r="H186" s="22" t="n">
        <f>0</f>
        <v>0.0</v>
      </c>
    </row>
    <row r="187" spans="1:8" ht="24.9" customHeight="1">
      <c r="A187" s="51"/>
      <c r="B187" s="57"/>
      <c r="C187" s="39"/>
      <c r="D187" s="24" t="s">
        <v>18</v>
      </c>
      <c r="E187" s="25" t="n">
        <v>0.0</v>
      </c>
      <c r="F187" s="26" t="n">
        <f>0</f>
        <v>0.0</v>
      </c>
      <c r="G187" s="25" t="n">
        <v>0.0</v>
      </c>
      <c r="H187" s="26" t="n">
        <f>0</f>
        <v>0.0</v>
      </c>
    </row>
    <row r="188" spans="1:8" ht="24.9" customHeight="1">
      <c r="A188" s="51"/>
      <c r="B188" s="57"/>
      <c r="C188" s="39" t="s">
        <v>78</v>
      </c>
      <c r="D188" s="16" t="s">
        <v>15</v>
      </c>
      <c r="E188" s="17" t="n">
        <v>0.0</v>
      </c>
      <c r="F188" s="18" t="n">
        <f>0</f>
        <v>0.0</v>
      </c>
      <c r="G188" s="17" t="n">
        <v>0.0</v>
      </c>
      <c r="H188" s="18" t="n">
        <f>0</f>
        <v>0.0</v>
      </c>
    </row>
    <row r="189" spans="1:8" ht="24.9" customHeight="1">
      <c r="A189" s="51"/>
      <c r="B189" s="57"/>
      <c r="C189" s="39"/>
      <c r="D189" s="20" t="s">
        <v>16</v>
      </c>
      <c r="E189" s="21" t="n">
        <v>0.0</v>
      </c>
      <c r="F189" s="22" t="n">
        <f>0</f>
        <v>0.0</v>
      </c>
      <c r="G189" s="21" t="n">
        <v>0.0</v>
      </c>
      <c r="H189" s="22" t="n">
        <f>0</f>
        <v>0.0</v>
      </c>
    </row>
    <row r="190" spans="1:8" ht="24.9" customHeight="1">
      <c r="A190" s="51"/>
      <c r="B190" s="57"/>
      <c r="C190" s="39"/>
      <c r="D190" s="20" t="s">
        <v>17</v>
      </c>
      <c r="E190" s="21" t="n">
        <v>0.0</v>
      </c>
      <c r="F190" s="22" t="n">
        <f>0</f>
        <v>0.0</v>
      </c>
      <c r="G190" s="21" t="n">
        <v>0.0</v>
      </c>
      <c r="H190" s="22" t="n">
        <f>0</f>
        <v>0.0</v>
      </c>
    </row>
    <row r="191" spans="1:8" ht="24.9" customHeight="1">
      <c r="A191" s="52"/>
      <c r="B191" s="57"/>
      <c r="C191" s="39"/>
      <c r="D191" s="24" t="s">
        <v>18</v>
      </c>
      <c r="E191" s="25" t="n">
        <v>0.0</v>
      </c>
      <c r="F191" s="26" t="n">
        <f>0</f>
        <v>0.0</v>
      </c>
      <c r="G191" s="25" t="n">
        <v>0.0</v>
      </c>
      <c r="H191" s="26" t="n">
        <f>0</f>
        <v>0.0</v>
      </c>
    </row>
    <row r="192" spans="1:8" ht="24.9" customHeight="1">
      <c r="A192" s="56" t="s">
        <v>79</v>
      </c>
      <c r="B192" s="59" t="s">
        <v>80</v>
      </c>
      <c r="C192" s="39" t="s">
        <v>81</v>
      </c>
      <c r="D192" s="16" t="s">
        <v>15</v>
      </c>
      <c r="E192" s="17" t="n">
        <v>0.0</v>
      </c>
      <c r="F192" s="18" t="n">
        <f>0</f>
        <v>0.0</v>
      </c>
      <c r="G192" s="17" t="n">
        <v>0.0</v>
      </c>
      <c r="H192" s="18" t="n">
        <f>0</f>
        <v>0.0</v>
      </c>
    </row>
    <row r="193" spans="1:8" ht="24.9" customHeight="1">
      <c r="A193" s="57"/>
      <c r="B193" s="59"/>
      <c r="C193" s="39"/>
      <c r="D193" s="20" t="s">
        <v>16</v>
      </c>
      <c r="E193" s="21" t="n">
        <v>0.0</v>
      </c>
      <c r="F193" s="22" t="n">
        <f>0</f>
        <v>0.0</v>
      </c>
      <c r="G193" s="21" t="n">
        <v>0.0</v>
      </c>
      <c r="H193" s="22" t="n">
        <f>0</f>
        <v>0.0</v>
      </c>
    </row>
    <row r="194" spans="1:8" ht="24.9" customHeight="1">
      <c r="A194" s="57"/>
      <c r="B194" s="59"/>
      <c r="C194" s="39"/>
      <c r="D194" s="20" t="s">
        <v>17</v>
      </c>
      <c r="E194" s="21" t="n">
        <v>0.0</v>
      </c>
      <c r="F194" s="22" t="n">
        <f>0</f>
        <v>0.0</v>
      </c>
      <c r="G194" s="21" t="n">
        <v>0.0</v>
      </c>
      <c r="H194" s="22" t="n">
        <f>0</f>
        <v>0.0</v>
      </c>
    </row>
    <row r="195" spans="1:8" ht="24.9" customHeight="1">
      <c r="A195" s="57"/>
      <c r="B195" s="59"/>
      <c r="C195" s="39"/>
      <c r="D195" s="24" t="s">
        <v>18</v>
      </c>
      <c r="E195" s="25" t="n">
        <v>0.0</v>
      </c>
      <c r="F195" s="26" t="n">
        <f>0</f>
        <v>0.0</v>
      </c>
      <c r="G195" s="25" t="n">
        <v>0.0</v>
      </c>
      <c r="H195" s="26" t="n">
        <f>0</f>
        <v>0.0</v>
      </c>
    </row>
    <row r="196" spans="1:8" ht="24.9" customHeight="1">
      <c r="A196" s="57"/>
      <c r="B196" s="59"/>
      <c r="C196" s="39" t="s">
        <v>82</v>
      </c>
      <c r="D196" s="16" t="s">
        <v>15</v>
      </c>
      <c r="E196" s="17" t="n">
        <v>0.0</v>
      </c>
      <c r="F196" s="18" t="n">
        <f>0</f>
        <v>0.0</v>
      </c>
      <c r="G196" s="17" t="n">
        <v>0.0</v>
      </c>
      <c r="H196" s="18" t="n">
        <f>0</f>
        <v>0.0</v>
      </c>
    </row>
    <row r="197" spans="1:8" ht="24.9" customHeight="1">
      <c r="A197" s="57"/>
      <c r="B197" s="59"/>
      <c r="C197" s="39"/>
      <c r="D197" s="20" t="s">
        <v>16</v>
      </c>
      <c r="E197" s="21" t="n">
        <v>0.0</v>
      </c>
      <c r="F197" s="22" t="n">
        <f>0</f>
        <v>0.0</v>
      </c>
      <c r="G197" s="21" t="n">
        <v>0.0</v>
      </c>
      <c r="H197" s="22" t="n">
        <f>0</f>
        <v>0.0</v>
      </c>
    </row>
    <row r="198" spans="1:8" ht="24.9" customHeight="1">
      <c r="A198" s="57"/>
      <c r="B198" s="59"/>
      <c r="C198" s="39"/>
      <c r="D198" s="20" t="s">
        <v>17</v>
      </c>
      <c r="E198" s="21" t="n">
        <v>0.0</v>
      </c>
      <c r="F198" s="22" t="n">
        <f>0</f>
        <v>0.0</v>
      </c>
      <c r="G198" s="21" t="n">
        <v>0.0</v>
      </c>
      <c r="H198" s="22" t="n">
        <f>0</f>
        <v>0.0</v>
      </c>
    </row>
    <row r="199" spans="1:8" ht="24.9" customHeight="1">
      <c r="A199" s="57"/>
      <c r="B199" s="59"/>
      <c r="C199" s="39"/>
      <c r="D199" s="24" t="s">
        <v>18</v>
      </c>
      <c r="E199" s="25" t="n">
        <v>0.0</v>
      </c>
      <c r="F199" s="26" t="n">
        <f>0</f>
        <v>0.0</v>
      </c>
      <c r="G199" s="25" t="n">
        <v>0.0</v>
      </c>
      <c r="H199" s="26" t="n">
        <f>0</f>
        <v>0.0</v>
      </c>
    </row>
    <row r="200" spans="1:8" ht="24.9" customHeight="1">
      <c r="A200" s="57"/>
      <c r="B200" s="59"/>
      <c r="C200" s="39" t="s">
        <v>83</v>
      </c>
      <c r="D200" s="16" t="s">
        <v>15</v>
      </c>
      <c r="E200" s="17" t="n">
        <v>0.0</v>
      </c>
      <c r="F200" s="18" t="n">
        <f>0</f>
        <v>0.0</v>
      </c>
      <c r="G200" s="17" t="n">
        <v>0.0</v>
      </c>
      <c r="H200" s="18" t="n">
        <f>0</f>
        <v>0.0</v>
      </c>
    </row>
    <row r="201" spans="1:8" ht="24.9" customHeight="1">
      <c r="A201" s="57"/>
      <c r="B201" s="59"/>
      <c r="C201" s="39"/>
      <c r="D201" s="20" t="s">
        <v>16</v>
      </c>
      <c r="E201" s="21" t="n">
        <v>0.0</v>
      </c>
      <c r="F201" s="22" t="n">
        <f>0</f>
        <v>0.0</v>
      </c>
      <c r="G201" s="21" t="n">
        <v>0.0</v>
      </c>
      <c r="H201" s="22" t="n">
        <f>0</f>
        <v>0.0</v>
      </c>
    </row>
    <row r="202" spans="1:8" ht="24.9" customHeight="1">
      <c r="A202" s="57"/>
      <c r="B202" s="59"/>
      <c r="C202" s="39"/>
      <c r="D202" s="20" t="s">
        <v>17</v>
      </c>
      <c r="E202" s="21" t="n">
        <v>0.0</v>
      </c>
      <c r="F202" s="22" t="n">
        <f>0</f>
        <v>0.0</v>
      </c>
      <c r="G202" s="21" t="n">
        <v>0.0</v>
      </c>
      <c r="H202" s="22" t="n">
        <f>0</f>
        <v>0.0</v>
      </c>
    </row>
    <row r="203" spans="1:8" ht="24.9" customHeight="1">
      <c r="A203" s="57"/>
      <c r="B203" s="59"/>
      <c r="C203" s="39"/>
      <c r="D203" s="24" t="s">
        <v>18</v>
      </c>
      <c r="E203" s="25" t="n">
        <v>0.0</v>
      </c>
      <c r="F203" s="26" t="n">
        <f>0</f>
        <v>0.0</v>
      </c>
      <c r="G203" s="25" t="n">
        <v>0.0</v>
      </c>
      <c r="H203" s="26" t="n">
        <f>0</f>
        <v>0.0</v>
      </c>
    </row>
    <row r="204" spans="1:8" ht="24.9" customHeight="1">
      <c r="A204" s="57"/>
      <c r="B204" s="59"/>
      <c r="C204" s="39" t="s">
        <v>84</v>
      </c>
      <c r="D204" s="16" t="s">
        <v>15</v>
      </c>
      <c r="E204" s="17" t="n">
        <v>1132.0</v>
      </c>
      <c r="F204" s="18" t="n">
        <f>0</f>
        <v>0.0</v>
      </c>
      <c r="G204" s="17" t="n">
        <v>4.6790585E9</v>
      </c>
      <c r="H204" s="18" t="n">
        <f>0</f>
        <v>0.0</v>
      </c>
    </row>
    <row r="205" spans="1:8" ht="24.9" customHeight="1">
      <c r="A205" s="57"/>
      <c r="B205" s="59"/>
      <c r="C205" s="39"/>
      <c r="D205" s="20" t="s">
        <v>16</v>
      </c>
      <c r="E205" s="21" t="n">
        <v>448.0</v>
      </c>
      <c r="F205" s="22" t="n">
        <f>0</f>
        <v>0.0</v>
      </c>
      <c r="G205" s="21" t="n">
        <v>1.8535435E9</v>
      </c>
      <c r="H205" s="22" t="n">
        <f>0</f>
        <v>0.0</v>
      </c>
    </row>
    <row r="206" spans="1:8" ht="24.9" customHeight="1">
      <c r="A206" s="57"/>
      <c r="B206" s="59"/>
      <c r="C206" s="39"/>
      <c r="D206" s="20" t="s">
        <v>17</v>
      </c>
      <c r="E206" s="21" t="n">
        <v>1241.0</v>
      </c>
      <c r="F206" s="22" t="n">
        <f>1</f>
        <v>1.0</v>
      </c>
      <c r="G206" s="21" t="n">
        <v>5.076865E9</v>
      </c>
      <c r="H206" s="22" t="n">
        <f>4450000</f>
        <v>4450000.0</v>
      </c>
    </row>
    <row r="207" spans="1:8" ht="24.9" customHeight="1">
      <c r="A207" s="57"/>
      <c r="B207" s="59"/>
      <c r="C207" s="39"/>
      <c r="D207" s="24" t="s">
        <v>18</v>
      </c>
      <c r="E207" s="25" t="n">
        <v>2821.0</v>
      </c>
      <c r="F207" s="26" t="n">
        <f>1</f>
        <v>1.0</v>
      </c>
      <c r="G207" s="25" t="n">
        <v>1.1609467E10</v>
      </c>
      <c r="H207" s="26" t="n">
        <f>4450000</f>
        <v>4450000.0</v>
      </c>
    </row>
    <row r="208" spans="1:8" ht="24.9" customHeight="1">
      <c r="A208" s="57"/>
      <c r="B208" s="59"/>
      <c r="C208" s="39" t="s">
        <v>85</v>
      </c>
      <c r="D208" s="16" t="s">
        <v>15</v>
      </c>
      <c r="E208" s="17" t="n">
        <v>0.0</v>
      </c>
      <c r="F208" s="18" t="n">
        <f>0</f>
        <v>0.0</v>
      </c>
      <c r="G208" s="17" t="n">
        <v>0.0</v>
      </c>
      <c r="H208" s="18" t="n">
        <f>0</f>
        <v>0.0</v>
      </c>
    </row>
    <row r="209" spans="1:8" ht="24.9" customHeight="1">
      <c r="A209" s="57"/>
      <c r="B209" s="59"/>
      <c r="C209" s="39"/>
      <c r="D209" s="20" t="s">
        <v>16</v>
      </c>
      <c r="E209" s="21" t="n">
        <v>0.0</v>
      </c>
      <c r="F209" s="22" t="n">
        <f>0</f>
        <v>0.0</v>
      </c>
      <c r="G209" s="21" t="n">
        <v>0.0</v>
      </c>
      <c r="H209" s="22" t="n">
        <f>0</f>
        <v>0.0</v>
      </c>
    </row>
    <row r="210" spans="1:8" ht="24.9" customHeight="1">
      <c r="A210" s="57"/>
      <c r="B210" s="59"/>
      <c r="C210" s="39"/>
      <c r="D210" s="20" t="s">
        <v>17</v>
      </c>
      <c r="E210" s="21" t="n">
        <v>0.0</v>
      </c>
      <c r="F210" s="22" t="n">
        <f>0</f>
        <v>0.0</v>
      </c>
      <c r="G210" s="21" t="n">
        <v>0.0</v>
      </c>
      <c r="H210" s="22" t="n">
        <f>0</f>
        <v>0.0</v>
      </c>
    </row>
    <row r="211" spans="1:8" ht="24.9" customHeight="1">
      <c r="A211" s="57"/>
      <c r="B211" s="59"/>
      <c r="C211" s="39"/>
      <c r="D211" s="24" t="s">
        <v>18</v>
      </c>
      <c r="E211" s="25" t="n">
        <v>0.0</v>
      </c>
      <c r="F211" s="26" t="n">
        <f>0</f>
        <v>0.0</v>
      </c>
      <c r="G211" s="25" t="n">
        <v>0.0</v>
      </c>
      <c r="H211" s="26" t="n">
        <f>0</f>
        <v>0.0</v>
      </c>
    </row>
    <row r="212" spans="1:8" ht="24.9" customHeight="1">
      <c r="A212" s="57"/>
      <c r="B212" s="59"/>
      <c r="C212" s="39" t="s">
        <v>86</v>
      </c>
      <c r="D212" s="16" t="s">
        <v>15</v>
      </c>
      <c r="E212" s="17" t="n">
        <v>0.0</v>
      </c>
      <c r="F212" s="18" t="n">
        <f>0</f>
        <v>0.0</v>
      </c>
      <c r="G212" s="17" t="n">
        <v>0.0</v>
      </c>
      <c r="H212" s="18" t="n">
        <f>0</f>
        <v>0.0</v>
      </c>
    </row>
    <row r="213" spans="1:8" ht="24.9" customHeight="1">
      <c r="A213" s="57"/>
      <c r="B213" s="59"/>
      <c r="C213" s="39"/>
      <c r="D213" s="20" t="s">
        <v>16</v>
      </c>
      <c r="E213" s="21" t="n">
        <v>0.0</v>
      </c>
      <c r="F213" s="22" t="n">
        <f>0</f>
        <v>0.0</v>
      </c>
      <c r="G213" s="21" t="n">
        <v>0.0</v>
      </c>
      <c r="H213" s="22" t="n">
        <f>0</f>
        <v>0.0</v>
      </c>
    </row>
    <row r="214" spans="1:8" ht="24.9" customHeight="1">
      <c r="A214" s="57"/>
      <c r="B214" s="59"/>
      <c r="C214" s="39"/>
      <c r="D214" s="20" t="s">
        <v>17</v>
      </c>
      <c r="E214" s="21" t="n">
        <v>0.0</v>
      </c>
      <c r="F214" s="22" t="n">
        <f>0</f>
        <v>0.0</v>
      </c>
      <c r="G214" s="21" t="n">
        <v>0.0</v>
      </c>
      <c r="H214" s="22" t="n">
        <f>0</f>
        <v>0.0</v>
      </c>
    </row>
    <row r="215" spans="1:8" ht="24.9" customHeight="1">
      <c r="A215" s="57"/>
      <c r="B215" s="59"/>
      <c r="C215" s="39"/>
      <c r="D215" s="24" t="s">
        <v>18</v>
      </c>
      <c r="E215" s="25" t="n">
        <v>0.0</v>
      </c>
      <c r="F215" s="26" t="n">
        <f>0</f>
        <v>0.0</v>
      </c>
      <c r="G215" s="25" t="n">
        <v>0.0</v>
      </c>
      <c r="H215" s="26" t="n">
        <f>0</f>
        <v>0.0</v>
      </c>
    </row>
    <row r="216" spans="1:8" ht="24.9" customHeight="1">
      <c r="A216" s="57"/>
      <c r="B216" s="59"/>
      <c r="C216" s="39" t="s">
        <v>115</v>
      </c>
      <c r="D216" s="16" t="s">
        <v>15</v>
      </c>
      <c r="E216" s="17" t="n">
        <v>0.0</v>
      </c>
      <c r="F216" s="18" t="n">
        <f>0</f>
        <v>0.0</v>
      </c>
      <c r="G216" s="17" t="n">
        <v>0.0</v>
      </c>
      <c r="H216" s="18" t="n">
        <f>0</f>
        <v>0.0</v>
      </c>
    </row>
    <row r="217" spans="1:8" ht="24.9" customHeight="1">
      <c r="A217" s="57"/>
      <c r="B217" s="59"/>
      <c r="C217" s="39"/>
      <c r="D217" s="20" t="s">
        <v>16</v>
      </c>
      <c r="E217" s="21" t="n">
        <v>0.0</v>
      </c>
      <c r="F217" s="22" t="n">
        <f>0</f>
        <v>0.0</v>
      </c>
      <c r="G217" s="21" t="n">
        <v>0.0</v>
      </c>
      <c r="H217" s="22" t="n">
        <f>0</f>
        <v>0.0</v>
      </c>
    </row>
    <row r="218" spans="1:8" ht="24.9" customHeight="1">
      <c r="A218" s="57"/>
      <c r="B218" s="59"/>
      <c r="C218" s="39"/>
      <c r="D218" s="20" t="s">
        <v>17</v>
      </c>
      <c r="E218" s="21" t="n">
        <v>0.0</v>
      </c>
      <c r="F218" s="22" t="n">
        <f>0</f>
        <v>0.0</v>
      </c>
      <c r="G218" s="21" t="n">
        <v>0.0</v>
      </c>
      <c r="H218" s="22" t="n">
        <f>0</f>
        <v>0.0</v>
      </c>
    </row>
    <row r="219" spans="1:8" ht="24.9" customHeight="1">
      <c r="A219" s="57"/>
      <c r="B219" s="59"/>
      <c r="C219" s="39"/>
      <c r="D219" s="24" t="s">
        <v>18</v>
      </c>
      <c r="E219" s="25" t="n">
        <v>0.0</v>
      </c>
      <c r="F219" s="26" t="n">
        <f>0</f>
        <v>0.0</v>
      </c>
      <c r="G219" s="25" t="n">
        <v>0.0</v>
      </c>
      <c r="H219" s="26" t="n">
        <f>0</f>
        <v>0.0</v>
      </c>
    </row>
    <row r="220" spans="1:8" ht="24.9" customHeight="1">
      <c r="A220" s="57"/>
      <c r="B220" s="59"/>
      <c r="C220" s="39" t="s">
        <v>87</v>
      </c>
      <c r="D220" s="16" t="s">
        <v>15</v>
      </c>
      <c r="E220" s="17" t="n">
        <v>0.0</v>
      </c>
      <c r="F220" s="18" t="n">
        <f>0</f>
        <v>0.0</v>
      </c>
      <c r="G220" s="17" t="n">
        <v>0.0</v>
      </c>
      <c r="H220" s="18" t="n">
        <f>0</f>
        <v>0.0</v>
      </c>
    </row>
    <row r="221" spans="1:8" ht="24.9" customHeight="1">
      <c r="A221" s="57"/>
      <c r="B221" s="59"/>
      <c r="C221" s="39"/>
      <c r="D221" s="20" t="s">
        <v>16</v>
      </c>
      <c r="E221" s="21" t="n">
        <v>0.0</v>
      </c>
      <c r="F221" s="22" t="n">
        <f>0</f>
        <v>0.0</v>
      </c>
      <c r="G221" s="21" t="n">
        <v>0.0</v>
      </c>
      <c r="H221" s="22" t="n">
        <f>0</f>
        <v>0.0</v>
      </c>
    </row>
    <row r="222" spans="1:8" ht="24.9" customHeight="1">
      <c r="A222" s="57"/>
      <c r="B222" s="59"/>
      <c r="C222" s="39"/>
      <c r="D222" s="20" t="s">
        <v>17</v>
      </c>
      <c r="E222" s="21" t="n">
        <v>0.0</v>
      </c>
      <c r="F222" s="22" t="n">
        <f>0</f>
        <v>0.0</v>
      </c>
      <c r="G222" s="21" t="n">
        <v>0.0</v>
      </c>
      <c r="H222" s="22" t="n">
        <f>0</f>
        <v>0.0</v>
      </c>
    </row>
    <row r="223" spans="1:8" ht="24.9" customHeight="1">
      <c r="A223" s="57"/>
      <c r="B223" s="59"/>
      <c r="C223" s="39"/>
      <c r="D223" s="24" t="s">
        <v>18</v>
      </c>
      <c r="E223" s="25" t="n">
        <v>0.0</v>
      </c>
      <c r="F223" s="26" t="n">
        <f>0</f>
        <v>0.0</v>
      </c>
      <c r="G223" s="25" t="n">
        <v>0.0</v>
      </c>
      <c r="H223" s="26" t="n">
        <f>0</f>
        <v>0.0</v>
      </c>
    </row>
    <row r="224" spans="1:8" ht="24.9" customHeight="1">
      <c r="A224" s="57"/>
      <c r="B224" s="59"/>
      <c r="C224" s="39" t="s">
        <v>88</v>
      </c>
      <c r="D224" s="16" t="s">
        <v>15</v>
      </c>
      <c r="E224" s="17" t="n">
        <v>0.0</v>
      </c>
      <c r="F224" s="18" t="n">
        <f>0</f>
        <v>0.0</v>
      </c>
      <c r="G224" s="17" t="n">
        <v>0.0</v>
      </c>
      <c r="H224" s="18" t="n">
        <f>0</f>
        <v>0.0</v>
      </c>
    </row>
    <row r="225" spans="1:8" ht="24.9" customHeight="1">
      <c r="A225" s="57"/>
      <c r="B225" s="59"/>
      <c r="C225" s="39"/>
      <c r="D225" s="20" t="s">
        <v>16</v>
      </c>
      <c r="E225" s="21" t="n">
        <v>0.0</v>
      </c>
      <c r="F225" s="22" t="n">
        <f>0</f>
        <v>0.0</v>
      </c>
      <c r="G225" s="21" t="n">
        <v>0.0</v>
      </c>
      <c r="H225" s="22" t="n">
        <f>0</f>
        <v>0.0</v>
      </c>
    </row>
    <row r="226" spans="1:8" ht="24.9" customHeight="1">
      <c r="A226" s="57"/>
      <c r="B226" s="59"/>
      <c r="C226" s="39"/>
      <c r="D226" s="20" t="s">
        <v>17</v>
      </c>
      <c r="E226" s="21" t="n">
        <v>0.0</v>
      </c>
      <c r="F226" s="22" t="n">
        <f>0</f>
        <v>0.0</v>
      </c>
      <c r="G226" s="21" t="n">
        <v>0.0</v>
      </c>
      <c r="H226" s="22" t="n">
        <f>0</f>
        <v>0.0</v>
      </c>
    </row>
    <row r="227" spans="1:8" ht="24.9" customHeight="1">
      <c r="A227" s="57"/>
      <c r="B227" s="59"/>
      <c r="C227" s="39"/>
      <c r="D227" s="24" t="s">
        <v>18</v>
      </c>
      <c r="E227" s="25" t="n">
        <v>0.0</v>
      </c>
      <c r="F227" s="26" t="n">
        <f>0</f>
        <v>0.0</v>
      </c>
      <c r="G227" s="25" t="n">
        <v>0.0</v>
      </c>
      <c r="H227" s="26" t="n">
        <f>0</f>
        <v>0.0</v>
      </c>
    </row>
    <row r="228" spans="1:8" ht="24.9" customHeight="1">
      <c r="A228" s="57"/>
      <c r="B228" s="59"/>
      <c r="C228" s="39" t="s">
        <v>116</v>
      </c>
      <c r="D228" s="16" t="s">
        <v>15</v>
      </c>
      <c r="E228" s="17" t="n">
        <v>0.0</v>
      </c>
      <c r="F228" s="18" t="n">
        <f>0</f>
        <v>0.0</v>
      </c>
      <c r="G228" s="17" t="n">
        <v>0.0</v>
      </c>
      <c r="H228" s="18" t="n">
        <f>0</f>
        <v>0.0</v>
      </c>
    </row>
    <row r="229" spans="1:8" ht="24.9" customHeight="1">
      <c r="A229" s="57"/>
      <c r="B229" s="59"/>
      <c r="C229" s="39"/>
      <c r="D229" s="20" t="s">
        <v>16</v>
      </c>
      <c r="E229" s="21" t="n">
        <v>0.0</v>
      </c>
      <c r="F229" s="22" t="n">
        <f>0</f>
        <v>0.0</v>
      </c>
      <c r="G229" s="21" t="n">
        <v>0.0</v>
      </c>
      <c r="H229" s="22" t="n">
        <f>0</f>
        <v>0.0</v>
      </c>
    </row>
    <row r="230" spans="1:8" ht="24.9" customHeight="1">
      <c r="A230" s="57"/>
      <c r="B230" s="59"/>
      <c r="C230" s="39"/>
      <c r="D230" s="20" t="s">
        <v>17</v>
      </c>
      <c r="E230" s="21" t="n">
        <v>0.0</v>
      </c>
      <c r="F230" s="22" t="n">
        <f>0</f>
        <v>0.0</v>
      </c>
      <c r="G230" s="21" t="n">
        <v>0.0</v>
      </c>
      <c r="H230" s="22" t="n">
        <f>0</f>
        <v>0.0</v>
      </c>
    </row>
    <row r="231" spans="1:8" ht="24.9" customHeight="1">
      <c r="A231" s="57"/>
      <c r="B231" s="59"/>
      <c r="C231" s="39"/>
      <c r="D231" s="24" t="s">
        <v>18</v>
      </c>
      <c r="E231" s="25" t="n">
        <v>0.0</v>
      </c>
      <c r="F231" s="26" t="n">
        <f>0</f>
        <v>0.0</v>
      </c>
      <c r="G231" s="25" t="n">
        <v>0.0</v>
      </c>
      <c r="H231" s="26" t="n">
        <f>0</f>
        <v>0.0</v>
      </c>
    </row>
    <row r="232" spans="1:8" ht="24.9" customHeight="1">
      <c r="A232" s="57"/>
      <c r="B232" s="59"/>
      <c r="C232" s="39" t="s">
        <v>89</v>
      </c>
      <c r="D232" s="16" t="s">
        <v>15</v>
      </c>
      <c r="E232" s="17" t="n">
        <v>0.0</v>
      </c>
      <c r="F232" s="18" t="n">
        <f>0</f>
        <v>0.0</v>
      </c>
      <c r="G232" s="17" t="n">
        <v>0.0</v>
      </c>
      <c r="H232" s="18" t="n">
        <f>0</f>
        <v>0.0</v>
      </c>
    </row>
    <row r="233" spans="1:8" ht="24.9" customHeight="1">
      <c r="A233" s="57"/>
      <c r="B233" s="59"/>
      <c r="C233" s="39"/>
      <c r="D233" s="20" t="s">
        <v>16</v>
      </c>
      <c r="E233" s="21" t="n">
        <v>0.0</v>
      </c>
      <c r="F233" s="22" t="n">
        <f>0</f>
        <v>0.0</v>
      </c>
      <c r="G233" s="21" t="n">
        <v>0.0</v>
      </c>
      <c r="H233" s="22" t="n">
        <f>0</f>
        <v>0.0</v>
      </c>
    </row>
    <row r="234" spans="1:8" ht="24.9" customHeight="1">
      <c r="A234" s="57"/>
      <c r="B234" s="59"/>
      <c r="C234" s="39"/>
      <c r="D234" s="20" t="s">
        <v>17</v>
      </c>
      <c r="E234" s="21" t="n">
        <v>0.0</v>
      </c>
      <c r="F234" s="22" t="n">
        <f>0</f>
        <v>0.0</v>
      </c>
      <c r="G234" s="21" t="n">
        <v>0.0</v>
      </c>
      <c r="H234" s="22" t="n">
        <f>0</f>
        <v>0.0</v>
      </c>
    </row>
    <row r="235" spans="1:8" ht="24.9" customHeight="1">
      <c r="A235" s="57"/>
      <c r="B235" s="59"/>
      <c r="C235" s="39"/>
      <c r="D235" s="24" t="s">
        <v>18</v>
      </c>
      <c r="E235" s="25" t="n">
        <v>0.0</v>
      </c>
      <c r="F235" s="26" t="n">
        <f>0</f>
        <v>0.0</v>
      </c>
      <c r="G235" s="25" t="n">
        <v>0.0</v>
      </c>
      <c r="H235" s="26" t="n">
        <f>0</f>
        <v>0.0</v>
      </c>
    </row>
    <row r="236" spans="1:8" ht="24.9" customHeight="1">
      <c r="A236" s="57"/>
      <c r="B236" s="59"/>
      <c r="C236" s="39" t="s">
        <v>90</v>
      </c>
      <c r="D236" s="16" t="s">
        <v>15</v>
      </c>
      <c r="E236" s="17" t="n">
        <v>0.0</v>
      </c>
      <c r="F236" s="18" t="n">
        <f>0</f>
        <v>0.0</v>
      </c>
      <c r="G236" s="17" t="n">
        <v>0.0</v>
      </c>
      <c r="H236" s="18" t="n">
        <f>0</f>
        <v>0.0</v>
      </c>
    </row>
    <row r="237" spans="1:8" ht="24.9" customHeight="1">
      <c r="A237" s="57"/>
      <c r="B237" s="59"/>
      <c r="C237" s="39"/>
      <c r="D237" s="20" t="s">
        <v>16</v>
      </c>
      <c r="E237" s="21" t="n">
        <v>0.0</v>
      </c>
      <c r="F237" s="22" t="n">
        <f>0</f>
        <v>0.0</v>
      </c>
      <c r="G237" s="21" t="n">
        <v>0.0</v>
      </c>
      <c r="H237" s="22" t="n">
        <f>0</f>
        <v>0.0</v>
      </c>
    </row>
    <row r="238" spans="1:8" ht="24.9" customHeight="1">
      <c r="A238" s="57"/>
      <c r="B238" s="59"/>
      <c r="C238" s="39"/>
      <c r="D238" s="20" t="s">
        <v>17</v>
      </c>
      <c r="E238" s="21" t="n">
        <v>0.0</v>
      </c>
      <c r="F238" s="22" t="n">
        <f>0</f>
        <v>0.0</v>
      </c>
      <c r="G238" s="21" t="n">
        <v>0.0</v>
      </c>
      <c r="H238" s="22" t="n">
        <f>0</f>
        <v>0.0</v>
      </c>
    </row>
    <row r="239" spans="1:8" ht="24.9" customHeight="1">
      <c r="A239" s="57"/>
      <c r="B239" s="59"/>
      <c r="C239" s="39"/>
      <c r="D239" s="24" t="s">
        <v>18</v>
      </c>
      <c r="E239" s="25" t="n">
        <v>0.0</v>
      </c>
      <c r="F239" s="26" t="n">
        <f>0</f>
        <v>0.0</v>
      </c>
      <c r="G239" s="25" t="n">
        <v>0.0</v>
      </c>
      <c r="H239" s="26" t="n">
        <f>0</f>
        <v>0.0</v>
      </c>
    </row>
    <row r="240" spans="1:8" ht="24.9" customHeight="1">
      <c r="A240" s="57"/>
      <c r="B240" s="59"/>
      <c r="C240" s="39" t="s">
        <v>91</v>
      </c>
      <c r="D240" s="16" t="s">
        <v>15</v>
      </c>
      <c r="E240" s="17" t="n">
        <v>0.0</v>
      </c>
      <c r="F240" s="18" t="n">
        <f>0</f>
        <v>0.0</v>
      </c>
      <c r="G240" s="17" t="n">
        <v>0.0</v>
      </c>
      <c r="H240" s="18" t="n">
        <f>0</f>
        <v>0.0</v>
      </c>
    </row>
    <row r="241" spans="1:8" ht="24.9" customHeight="1">
      <c r="A241" s="57"/>
      <c r="B241" s="59"/>
      <c r="C241" s="39"/>
      <c r="D241" s="20" t="s">
        <v>16</v>
      </c>
      <c r="E241" s="21" t="n">
        <v>0.0</v>
      </c>
      <c r="F241" s="22" t="n">
        <f>0</f>
        <v>0.0</v>
      </c>
      <c r="G241" s="21" t="n">
        <v>0.0</v>
      </c>
      <c r="H241" s="22" t="n">
        <f>0</f>
        <v>0.0</v>
      </c>
    </row>
    <row r="242" spans="1:8" ht="24.9" customHeight="1">
      <c r="A242" s="57"/>
      <c r="B242" s="59"/>
      <c r="C242" s="39"/>
      <c r="D242" s="20" t="s">
        <v>17</v>
      </c>
      <c r="E242" s="21" t="n">
        <v>0.0</v>
      </c>
      <c r="F242" s="22" t="n">
        <f>0</f>
        <v>0.0</v>
      </c>
      <c r="G242" s="21" t="n">
        <v>0.0</v>
      </c>
      <c r="H242" s="22" t="n">
        <f>0</f>
        <v>0.0</v>
      </c>
    </row>
    <row r="243" spans="1:8" ht="24.9" customHeight="1">
      <c r="A243" s="57"/>
      <c r="B243" s="59"/>
      <c r="C243" s="39"/>
      <c r="D243" s="24" t="s">
        <v>18</v>
      </c>
      <c r="E243" s="25" t="n">
        <v>0.0</v>
      </c>
      <c r="F243" s="26" t="n">
        <f>0</f>
        <v>0.0</v>
      </c>
      <c r="G243" s="25" t="n">
        <v>0.0</v>
      </c>
      <c r="H243" s="26" t="n">
        <f>0</f>
        <v>0.0</v>
      </c>
    </row>
    <row r="244" spans="1:8" ht="24.9" customHeight="1">
      <c r="A244" s="57"/>
      <c r="B244" s="59"/>
      <c r="C244" s="39" t="s">
        <v>92</v>
      </c>
      <c r="D244" s="16" t="s">
        <v>15</v>
      </c>
      <c r="E244" s="17" t="n">
        <v>0.0</v>
      </c>
      <c r="F244" s="18" t="n">
        <f>0</f>
        <v>0.0</v>
      </c>
      <c r="G244" s="17" t="n">
        <v>0.0</v>
      </c>
      <c r="H244" s="18" t="n">
        <f>0</f>
        <v>0.0</v>
      </c>
    </row>
    <row r="245" spans="1:8" ht="24.9" customHeight="1">
      <c r="A245" s="57"/>
      <c r="B245" s="59"/>
      <c r="C245" s="39"/>
      <c r="D245" s="20" t="s">
        <v>16</v>
      </c>
      <c r="E245" s="21" t="n">
        <v>0.0</v>
      </c>
      <c r="F245" s="22" t="n">
        <f>0</f>
        <v>0.0</v>
      </c>
      <c r="G245" s="21" t="n">
        <v>0.0</v>
      </c>
      <c r="H245" s="22" t="n">
        <f>0</f>
        <v>0.0</v>
      </c>
    </row>
    <row r="246" spans="1:8" ht="24.9" customHeight="1">
      <c r="A246" s="57"/>
      <c r="B246" s="59"/>
      <c r="C246" s="39"/>
      <c r="D246" s="20" t="s">
        <v>17</v>
      </c>
      <c r="E246" s="21" t="n">
        <v>0.0</v>
      </c>
      <c r="F246" s="22" t="n">
        <f>0</f>
        <v>0.0</v>
      </c>
      <c r="G246" s="21" t="n">
        <v>0.0</v>
      </c>
      <c r="H246" s="22" t="n">
        <f>0</f>
        <v>0.0</v>
      </c>
    </row>
    <row r="247" spans="1:8" ht="24.9" customHeight="1">
      <c r="A247" s="57"/>
      <c r="B247" s="59"/>
      <c r="C247" s="39"/>
      <c r="D247" s="24" t="s">
        <v>18</v>
      </c>
      <c r="E247" s="25" t="n">
        <v>0.0</v>
      </c>
      <c r="F247" s="26" t="n">
        <f>0</f>
        <v>0.0</v>
      </c>
      <c r="G247" s="25" t="n">
        <v>0.0</v>
      </c>
      <c r="H247" s="26" t="n">
        <f>0</f>
        <v>0.0</v>
      </c>
    </row>
    <row r="248" spans="1:8" ht="24.9" customHeight="1">
      <c r="A248" s="57"/>
      <c r="B248" s="59"/>
      <c r="C248" s="39" t="s">
        <v>117</v>
      </c>
      <c r="D248" s="16" t="s">
        <v>15</v>
      </c>
      <c r="E248" s="17" t="n">
        <v>0.0</v>
      </c>
      <c r="F248" s="18" t="n">
        <f>0</f>
        <v>0.0</v>
      </c>
      <c r="G248" s="17" t="n">
        <v>0.0</v>
      </c>
      <c r="H248" s="18" t="n">
        <f>0</f>
        <v>0.0</v>
      </c>
    </row>
    <row r="249" spans="1:8" ht="24.9" customHeight="1">
      <c r="A249" s="57"/>
      <c r="B249" s="59"/>
      <c r="C249" s="39"/>
      <c r="D249" s="20" t="s">
        <v>16</v>
      </c>
      <c r="E249" s="21" t="n">
        <v>0.0</v>
      </c>
      <c r="F249" s="22" t="n">
        <f>0</f>
        <v>0.0</v>
      </c>
      <c r="G249" s="21" t="n">
        <v>0.0</v>
      </c>
      <c r="H249" s="22" t="n">
        <f>0</f>
        <v>0.0</v>
      </c>
    </row>
    <row r="250" spans="1:8" ht="24.9" customHeight="1">
      <c r="A250" s="57"/>
      <c r="B250" s="59"/>
      <c r="C250" s="39"/>
      <c r="D250" s="20" t="s">
        <v>17</v>
      </c>
      <c r="E250" s="21" t="n">
        <v>0.0</v>
      </c>
      <c r="F250" s="22" t="n">
        <f>0</f>
        <v>0.0</v>
      </c>
      <c r="G250" s="21" t="n">
        <v>0.0</v>
      </c>
      <c r="H250" s="22" t="n">
        <f>0</f>
        <v>0.0</v>
      </c>
    </row>
    <row r="251" spans="1:8" ht="24.9" customHeight="1">
      <c r="A251" s="57"/>
      <c r="B251" s="59"/>
      <c r="C251" s="39"/>
      <c r="D251" s="24" t="s">
        <v>18</v>
      </c>
      <c r="E251" s="25" t="n">
        <v>0.0</v>
      </c>
      <c r="F251" s="26" t="n">
        <f>0</f>
        <v>0.0</v>
      </c>
      <c r="G251" s="25" t="n">
        <v>0.0</v>
      </c>
      <c r="H251" s="26" t="n">
        <f>0</f>
        <v>0.0</v>
      </c>
    </row>
    <row r="252" spans="1:8" ht="24.9" customHeight="1">
      <c r="A252" s="57"/>
      <c r="B252" s="59"/>
      <c r="C252" s="39" t="s">
        <v>118</v>
      </c>
      <c r="D252" s="16" t="s">
        <v>15</v>
      </c>
      <c r="E252" s="17" t="n">
        <v>0.0</v>
      </c>
      <c r="F252" s="18" t="n">
        <f>0</f>
        <v>0.0</v>
      </c>
      <c r="G252" s="17" t="n">
        <v>0.0</v>
      </c>
      <c r="H252" s="18" t="n">
        <f>0</f>
        <v>0.0</v>
      </c>
    </row>
    <row r="253" spans="1:8" ht="24.9" customHeight="1">
      <c r="A253" s="57"/>
      <c r="B253" s="59"/>
      <c r="C253" s="39"/>
      <c r="D253" s="20" t="s">
        <v>16</v>
      </c>
      <c r="E253" s="21" t="n">
        <v>0.0</v>
      </c>
      <c r="F253" s="22" t="n">
        <f>0</f>
        <v>0.0</v>
      </c>
      <c r="G253" s="21" t="n">
        <v>0.0</v>
      </c>
      <c r="H253" s="22" t="n">
        <f>0</f>
        <v>0.0</v>
      </c>
    </row>
    <row r="254" spans="1:8" ht="24.9" customHeight="1">
      <c r="A254" s="57"/>
      <c r="B254" s="59"/>
      <c r="C254" s="39"/>
      <c r="D254" s="20" t="s">
        <v>17</v>
      </c>
      <c r="E254" s="21" t="n">
        <v>0.0</v>
      </c>
      <c r="F254" s="22" t="n">
        <f>0</f>
        <v>0.0</v>
      </c>
      <c r="G254" s="21" t="n">
        <v>0.0</v>
      </c>
      <c r="H254" s="22" t="n">
        <f>0</f>
        <v>0.0</v>
      </c>
    </row>
    <row r="255" spans="1:8" ht="24.9" customHeight="1">
      <c r="A255" s="57"/>
      <c r="B255" s="59"/>
      <c r="C255" s="39"/>
      <c r="D255" s="24" t="s">
        <v>18</v>
      </c>
      <c r="E255" s="25" t="n">
        <v>0.0</v>
      </c>
      <c r="F255" s="26" t="n">
        <f>0</f>
        <v>0.0</v>
      </c>
      <c r="G255" s="25" t="n">
        <v>0.0</v>
      </c>
      <c r="H255" s="26" t="n">
        <f>0</f>
        <v>0.0</v>
      </c>
    </row>
    <row r="256" spans="1:8" ht="24.9" customHeight="1">
      <c r="A256" s="57"/>
      <c r="B256" s="59"/>
      <c r="C256" s="39" t="s">
        <v>121</v>
      </c>
      <c r="D256" s="16" t="s">
        <v>15</v>
      </c>
      <c r="E256" s="17" t="n">
        <v>0.0</v>
      </c>
      <c r="F256" s="18" t="n">
        <f>0</f>
        <v>0.0</v>
      </c>
      <c r="G256" s="17" t="n">
        <v>0.0</v>
      </c>
      <c r="H256" s="18" t="n">
        <f>0</f>
        <v>0.0</v>
      </c>
    </row>
    <row r="257" spans="1:8" ht="24.9" customHeight="1">
      <c r="A257" s="57"/>
      <c r="B257" s="59"/>
      <c r="C257" s="39"/>
      <c r="D257" s="20" t="s">
        <v>16</v>
      </c>
      <c r="E257" s="21" t="n">
        <v>0.0</v>
      </c>
      <c r="F257" s="22" t="n">
        <f>0</f>
        <v>0.0</v>
      </c>
      <c r="G257" s="21" t="n">
        <v>0.0</v>
      </c>
      <c r="H257" s="22" t="n">
        <f>0</f>
        <v>0.0</v>
      </c>
    </row>
    <row r="258" spans="1:8" ht="24.9" customHeight="1">
      <c r="A258" s="57"/>
      <c r="B258" s="59"/>
      <c r="C258" s="39"/>
      <c r="D258" s="20" t="s">
        <v>17</v>
      </c>
      <c r="E258" s="21" t="n">
        <v>0.0</v>
      </c>
      <c r="F258" s="22" t="n">
        <f>0</f>
        <v>0.0</v>
      </c>
      <c r="G258" s="21" t="n">
        <v>0.0</v>
      </c>
      <c r="H258" s="22" t="n">
        <f>0</f>
        <v>0.0</v>
      </c>
    </row>
    <row r="259" spans="1:8" ht="24.9" customHeight="1">
      <c r="A259" s="57"/>
      <c r="B259" s="59"/>
      <c r="C259" s="39"/>
      <c r="D259" s="24" t="s">
        <v>18</v>
      </c>
      <c r="E259" s="25" t="n">
        <v>0.0</v>
      </c>
      <c r="F259" s="26" t="n">
        <f>0</f>
        <v>0.0</v>
      </c>
      <c r="G259" s="25" t="n">
        <v>0.0</v>
      </c>
      <c r="H259" s="26" t="n">
        <f>0</f>
        <v>0.0</v>
      </c>
    </row>
    <row r="260" spans="1:8" ht="24.9" customHeight="1">
      <c r="A260" s="57"/>
      <c r="B260" s="59"/>
      <c r="C260" s="39" t="s">
        <v>119</v>
      </c>
      <c r="D260" s="16" t="s">
        <v>15</v>
      </c>
      <c r="E260" s="17" t="n">
        <v>0.0</v>
      </c>
      <c r="F260" s="18" t="n">
        <f>0</f>
        <v>0.0</v>
      </c>
      <c r="G260" s="17" t="n">
        <v>0.0</v>
      </c>
      <c r="H260" s="18" t="n">
        <f>0</f>
        <v>0.0</v>
      </c>
    </row>
    <row r="261" spans="1:8" ht="24.9" customHeight="1">
      <c r="A261" s="57"/>
      <c r="B261" s="59"/>
      <c r="C261" s="39"/>
      <c r="D261" s="20" t="s">
        <v>16</v>
      </c>
      <c r="E261" s="21" t="n">
        <v>0.0</v>
      </c>
      <c r="F261" s="22" t="n">
        <f>0</f>
        <v>0.0</v>
      </c>
      <c r="G261" s="21" t="n">
        <v>0.0</v>
      </c>
      <c r="H261" s="22" t="n">
        <f>0</f>
        <v>0.0</v>
      </c>
    </row>
    <row r="262" spans="1:8" ht="24.9" customHeight="1">
      <c r="A262" s="57"/>
      <c r="B262" s="59"/>
      <c r="C262" s="39"/>
      <c r="D262" s="20" t="s">
        <v>17</v>
      </c>
      <c r="E262" s="21" t="n">
        <v>0.0</v>
      </c>
      <c r="F262" s="22" t="n">
        <f>0</f>
        <v>0.0</v>
      </c>
      <c r="G262" s="21" t="n">
        <v>0.0</v>
      </c>
      <c r="H262" s="22" t="n">
        <f>0</f>
        <v>0.0</v>
      </c>
    </row>
    <row r="263" spans="1:8" ht="24.9" customHeight="1">
      <c r="A263" s="57"/>
      <c r="B263" s="59"/>
      <c r="C263" s="39"/>
      <c r="D263" s="24" t="s">
        <v>18</v>
      </c>
      <c r="E263" s="25" t="n">
        <v>0.0</v>
      </c>
      <c r="F263" s="26" t="n">
        <f>0</f>
        <v>0.0</v>
      </c>
      <c r="G263" s="25" t="n">
        <v>0.0</v>
      </c>
      <c r="H263" s="26" t="n">
        <f>0</f>
        <v>0.0</v>
      </c>
    </row>
    <row r="264" spans="1:8" ht="24.9" customHeight="1">
      <c r="A264" s="57"/>
      <c r="B264" s="59"/>
      <c r="C264" s="39" t="s">
        <v>120</v>
      </c>
      <c r="D264" s="16" t="s">
        <v>15</v>
      </c>
      <c r="E264" s="17" t="n">
        <v>0.0</v>
      </c>
      <c r="F264" s="18" t="n">
        <f>0</f>
        <v>0.0</v>
      </c>
      <c r="G264" s="17" t="n">
        <v>0.0</v>
      </c>
      <c r="H264" s="18" t="n">
        <f>0</f>
        <v>0.0</v>
      </c>
    </row>
    <row r="265" spans="1:8" ht="24.9" customHeight="1">
      <c r="A265" s="57"/>
      <c r="B265" s="59"/>
      <c r="C265" s="39"/>
      <c r="D265" s="20" t="s">
        <v>16</v>
      </c>
      <c r="E265" s="21" t="n">
        <v>0.0</v>
      </c>
      <c r="F265" s="22" t="n">
        <f>0</f>
        <v>0.0</v>
      </c>
      <c r="G265" s="21" t="n">
        <v>0.0</v>
      </c>
      <c r="H265" s="22" t="n">
        <f>0</f>
        <v>0.0</v>
      </c>
    </row>
    <row r="266" spans="1:8" ht="24.9" customHeight="1">
      <c r="A266" s="57"/>
      <c r="B266" s="59"/>
      <c r="C266" s="39"/>
      <c r="D266" s="20" t="s">
        <v>17</v>
      </c>
      <c r="E266" s="21" t="n">
        <v>0.0</v>
      </c>
      <c r="F266" s="22" t="n">
        <f>0</f>
        <v>0.0</v>
      </c>
      <c r="G266" s="21" t="n">
        <v>0.0</v>
      </c>
      <c r="H266" s="22" t="n">
        <f>0</f>
        <v>0.0</v>
      </c>
    </row>
    <row r="267" spans="1:8" ht="24.9" customHeight="1">
      <c r="A267" s="57"/>
      <c r="B267" s="59"/>
      <c r="C267" s="39"/>
      <c r="D267" s="24" t="s">
        <v>18</v>
      </c>
      <c r="E267" s="25" t="n">
        <v>0.0</v>
      </c>
      <c r="F267" s="26" t="n">
        <f>0</f>
        <v>0.0</v>
      </c>
      <c r="G267" s="25" t="n">
        <v>0.0</v>
      </c>
      <c r="H267" s="26" t="n">
        <f>0</f>
        <v>0.0</v>
      </c>
    </row>
    <row r="268" spans="1:8" ht="24.9" customHeight="1">
      <c r="A268" s="57"/>
      <c r="B268" s="59"/>
      <c r="C268" s="39" t="s">
        <v>122</v>
      </c>
      <c r="D268" s="16" t="s">
        <v>15</v>
      </c>
      <c r="E268" s="17" t="n">
        <v>0.0</v>
      </c>
      <c r="F268" s="18" t="n">
        <f>0</f>
        <v>0.0</v>
      </c>
      <c r="G268" s="17" t="n">
        <v>0.0</v>
      </c>
      <c r="H268" s="18" t="n">
        <f>0</f>
        <v>0.0</v>
      </c>
    </row>
    <row r="269" spans="1:8" ht="24.9" customHeight="1">
      <c r="A269" s="57"/>
      <c r="B269" s="59"/>
      <c r="C269" s="39"/>
      <c r="D269" s="20" t="s">
        <v>16</v>
      </c>
      <c r="E269" s="21" t="n">
        <v>0.0</v>
      </c>
      <c r="F269" s="22" t="n">
        <f>0</f>
        <v>0.0</v>
      </c>
      <c r="G269" s="21" t="n">
        <v>0.0</v>
      </c>
      <c r="H269" s="22" t="n">
        <f>0</f>
        <v>0.0</v>
      </c>
    </row>
    <row r="270" spans="1:8" ht="24.9" customHeight="1">
      <c r="A270" s="57"/>
      <c r="B270" s="59"/>
      <c r="C270" s="39"/>
      <c r="D270" s="20" t="s">
        <v>17</v>
      </c>
      <c r="E270" s="21" t="n">
        <v>0.0</v>
      </c>
      <c r="F270" s="22" t="n">
        <f>0</f>
        <v>0.0</v>
      </c>
      <c r="G270" s="21" t="n">
        <v>0.0</v>
      </c>
      <c r="H270" s="22" t="n">
        <f>0</f>
        <v>0.0</v>
      </c>
    </row>
    <row r="271" spans="1:8" ht="24.9" customHeight="1">
      <c r="A271" s="57"/>
      <c r="B271" s="59"/>
      <c r="C271" s="39"/>
      <c r="D271" s="24" t="s">
        <v>18</v>
      </c>
      <c r="E271" s="25" t="n">
        <v>0.0</v>
      </c>
      <c r="F271" s="26" t="n">
        <f>0</f>
        <v>0.0</v>
      </c>
      <c r="G271" s="25" t="n">
        <v>0.0</v>
      </c>
      <c r="H271" s="26" t="n">
        <f>0</f>
        <v>0.0</v>
      </c>
    </row>
    <row r="272" spans="1:8" ht="24.9" customHeight="1">
      <c r="A272" s="57"/>
      <c r="B272" s="59"/>
      <c r="C272" s="39" t="s">
        <v>93</v>
      </c>
      <c r="D272" s="16" t="s">
        <v>15</v>
      </c>
      <c r="E272" s="17" t="n">
        <v>0.0</v>
      </c>
      <c r="F272" s="18" t="n">
        <f>0</f>
        <v>0.0</v>
      </c>
      <c r="G272" s="17" t="n">
        <v>0.0</v>
      </c>
      <c r="H272" s="18" t="n">
        <f>0</f>
        <v>0.0</v>
      </c>
    </row>
    <row r="273" spans="1:8" ht="24.9" customHeight="1">
      <c r="A273" s="57"/>
      <c r="B273" s="59"/>
      <c r="C273" s="39"/>
      <c r="D273" s="20" t="s">
        <v>16</v>
      </c>
      <c r="E273" s="21" t="n">
        <v>0.0</v>
      </c>
      <c r="F273" s="22" t="n">
        <f>0</f>
        <v>0.0</v>
      </c>
      <c r="G273" s="21" t="n">
        <v>0.0</v>
      </c>
      <c r="H273" s="22" t="n">
        <f>0</f>
        <v>0.0</v>
      </c>
    </row>
    <row r="274" spans="1:8" ht="24.9" customHeight="1">
      <c r="A274" s="57"/>
      <c r="B274" s="59"/>
      <c r="C274" s="39"/>
      <c r="D274" s="20" t="s">
        <v>17</v>
      </c>
      <c r="E274" s="21" t="n">
        <v>0.0</v>
      </c>
      <c r="F274" s="22" t="n">
        <f>0</f>
        <v>0.0</v>
      </c>
      <c r="G274" s="21" t="n">
        <v>0.0</v>
      </c>
      <c r="H274" s="22" t="n">
        <f>0</f>
        <v>0.0</v>
      </c>
    </row>
    <row r="275" spans="1:8" ht="24.9" customHeight="1">
      <c r="A275" s="57"/>
      <c r="B275" s="59"/>
      <c r="C275" s="39"/>
      <c r="D275" s="24" t="s">
        <v>18</v>
      </c>
      <c r="E275" s="25" t="n">
        <v>0.0</v>
      </c>
      <c r="F275" s="26" t="n">
        <f>0</f>
        <v>0.0</v>
      </c>
      <c r="G275" s="25" t="n">
        <v>0.0</v>
      </c>
      <c r="H275" s="26" t="n">
        <f>0</f>
        <v>0.0</v>
      </c>
    </row>
    <row r="276" spans="1:8" ht="24.9" customHeight="1">
      <c r="A276" s="57"/>
      <c r="B276" s="59"/>
      <c r="C276" s="39" t="s">
        <v>94</v>
      </c>
      <c r="D276" s="16" t="s">
        <v>15</v>
      </c>
      <c r="E276" s="17" t="n">
        <v>0.0</v>
      </c>
      <c r="F276" s="18" t="n">
        <f>0</f>
        <v>0.0</v>
      </c>
      <c r="G276" s="17" t="n">
        <v>0.0</v>
      </c>
      <c r="H276" s="18" t="n">
        <f>0</f>
        <v>0.0</v>
      </c>
    </row>
    <row r="277" spans="1:8" ht="24.9" customHeight="1">
      <c r="A277" s="57"/>
      <c r="B277" s="59"/>
      <c r="C277" s="39"/>
      <c r="D277" s="20" t="s">
        <v>16</v>
      </c>
      <c r="E277" s="21" t="n">
        <v>0.0</v>
      </c>
      <c r="F277" s="22" t="n">
        <f>0</f>
        <v>0.0</v>
      </c>
      <c r="G277" s="21" t="n">
        <v>0.0</v>
      </c>
      <c r="H277" s="22" t="n">
        <f>0</f>
        <v>0.0</v>
      </c>
    </row>
    <row r="278" spans="1:8" ht="24.9" customHeight="1">
      <c r="A278" s="57"/>
      <c r="B278" s="59"/>
      <c r="C278" s="39"/>
      <c r="D278" s="20" t="s">
        <v>17</v>
      </c>
      <c r="E278" s="21" t="n">
        <v>0.0</v>
      </c>
      <c r="F278" s="22" t="n">
        <f>0</f>
        <v>0.0</v>
      </c>
      <c r="G278" s="21" t="n">
        <v>0.0</v>
      </c>
      <c r="H278" s="22" t="n">
        <f>0</f>
        <v>0.0</v>
      </c>
    </row>
    <row r="279" spans="1:8" ht="24.9" customHeight="1">
      <c r="A279" s="57"/>
      <c r="B279" s="59"/>
      <c r="C279" s="39"/>
      <c r="D279" s="24" t="s">
        <v>18</v>
      </c>
      <c r="E279" s="25" t="n">
        <v>0.0</v>
      </c>
      <c r="F279" s="26" t="n">
        <f>0</f>
        <v>0.0</v>
      </c>
      <c r="G279" s="25" t="n">
        <v>0.0</v>
      </c>
      <c r="H279" s="26" t="n">
        <f>0</f>
        <v>0.0</v>
      </c>
    </row>
    <row r="280" spans="1:8" ht="24.9" customHeight="1">
      <c r="A280" s="57"/>
      <c r="B280" s="59"/>
      <c r="C280" s="39" t="s">
        <v>95</v>
      </c>
      <c r="D280" s="16" t="s">
        <v>15</v>
      </c>
      <c r="E280" s="17" t="n">
        <v>0.0</v>
      </c>
      <c r="F280" s="18" t="n">
        <f>0</f>
        <v>0.0</v>
      </c>
      <c r="G280" s="17" t="n">
        <v>0.0</v>
      </c>
      <c r="H280" s="18" t="n">
        <f>0</f>
        <v>0.0</v>
      </c>
    </row>
    <row r="281" spans="1:8" ht="24.9" customHeight="1">
      <c r="A281" s="57"/>
      <c r="B281" s="59"/>
      <c r="C281" s="39"/>
      <c r="D281" s="20" t="s">
        <v>16</v>
      </c>
      <c r="E281" s="21" t="n">
        <v>0.0</v>
      </c>
      <c r="F281" s="22" t="n">
        <f>0</f>
        <v>0.0</v>
      </c>
      <c r="G281" s="21" t="n">
        <v>0.0</v>
      </c>
      <c r="H281" s="22" t="n">
        <f>0</f>
        <v>0.0</v>
      </c>
    </row>
    <row r="282" spans="1:8" ht="24.9" customHeight="1">
      <c r="A282" s="57"/>
      <c r="B282" s="59"/>
      <c r="C282" s="39"/>
      <c r="D282" s="20" t="s">
        <v>17</v>
      </c>
      <c r="E282" s="21" t="n">
        <v>0.0</v>
      </c>
      <c r="F282" s="22" t="n">
        <f>0</f>
        <v>0.0</v>
      </c>
      <c r="G282" s="21" t="n">
        <v>0.0</v>
      </c>
      <c r="H282" s="22" t="n">
        <f>0</f>
        <v>0.0</v>
      </c>
    </row>
    <row r="283" spans="1:8" ht="24.9" customHeight="1">
      <c r="A283" s="58"/>
      <c r="B283" s="59"/>
      <c r="C283" s="39"/>
      <c r="D283" s="24" t="s">
        <v>18</v>
      </c>
      <c r="E283" s="25" t="n">
        <v>0.0</v>
      </c>
      <c r="F283" s="26" t="n">
        <f>0</f>
        <v>0.0</v>
      </c>
      <c r="G283" s="25" t="n">
        <v>0.0</v>
      </c>
      <c r="H283" s="26" t="n">
        <f>0</f>
        <v>0.0</v>
      </c>
    </row>
  </sheetData>
  <mergeCells count="81">
    <mergeCell ref="B12:B103"/>
    <mergeCell ref="A1:H1"/>
    <mergeCell ref="A2:H2"/>
    <mergeCell ref="A3:H3"/>
    <mergeCell ref="A4:H4"/>
    <mergeCell ref="E10:F10"/>
    <mergeCell ref="G10:H10"/>
    <mergeCell ref="C84:C87"/>
    <mergeCell ref="C44:C47"/>
    <mergeCell ref="C48:C51"/>
    <mergeCell ref="C52:C55"/>
    <mergeCell ref="C56:C59"/>
    <mergeCell ref="C60:C63"/>
    <mergeCell ref="C64:C67"/>
    <mergeCell ref="C12:C15"/>
    <mergeCell ref="C16:C19"/>
    <mergeCell ref="B104:B119"/>
    <mergeCell ref="C104:C107"/>
    <mergeCell ref="C108:C111"/>
    <mergeCell ref="C112:C115"/>
    <mergeCell ref="C116:C119"/>
    <mergeCell ref="C20:C23"/>
    <mergeCell ref="C24:C27"/>
    <mergeCell ref="C28:C31"/>
    <mergeCell ref="C32:C35"/>
    <mergeCell ref="C36:C39"/>
    <mergeCell ref="C40:C43"/>
    <mergeCell ref="C92:C95"/>
    <mergeCell ref="C184:C187"/>
    <mergeCell ref="C180:C183"/>
    <mergeCell ref="C88:C91"/>
    <mergeCell ref="C68:C71"/>
    <mergeCell ref="C72:C75"/>
    <mergeCell ref="C76:C79"/>
    <mergeCell ref="C80:C83"/>
    <mergeCell ref="C96:C99"/>
    <mergeCell ref="C100:C103"/>
    <mergeCell ref="B124:B191"/>
    <mergeCell ref="C124:C127"/>
    <mergeCell ref="C132:C135"/>
    <mergeCell ref="C136:C139"/>
    <mergeCell ref="C140:C143"/>
    <mergeCell ref="C144:C147"/>
    <mergeCell ref="C152:C155"/>
    <mergeCell ref="C156:C159"/>
    <mergeCell ref="C160:C163"/>
    <mergeCell ref="C164:C167"/>
    <mergeCell ref="C168:C171"/>
    <mergeCell ref="C172:C175"/>
    <mergeCell ref="C188:C191"/>
    <mergeCell ref="C176:C179"/>
    <mergeCell ref="A192:A283"/>
    <mergeCell ref="B192:B283"/>
    <mergeCell ref="C192:C195"/>
    <mergeCell ref="C196:C199"/>
    <mergeCell ref="C200:C203"/>
    <mergeCell ref="C204:C207"/>
    <mergeCell ref="C208:C211"/>
    <mergeCell ref="C212:C215"/>
    <mergeCell ref="C220:C223"/>
    <mergeCell ref="C276:C279"/>
    <mergeCell ref="C280:C283"/>
    <mergeCell ref="C272:C275"/>
    <mergeCell ref="C264:C267"/>
    <mergeCell ref="C268:C271"/>
    <mergeCell ref="A12:A191"/>
    <mergeCell ref="C248:C251"/>
    <mergeCell ref="C252:C255"/>
    <mergeCell ref="C260:C263"/>
    <mergeCell ref="B120:B123"/>
    <mergeCell ref="C120:C123"/>
    <mergeCell ref="C216:C219"/>
    <mergeCell ref="C228:C231"/>
    <mergeCell ref="C256:C259"/>
    <mergeCell ref="C224:C227"/>
    <mergeCell ref="C232:C235"/>
    <mergeCell ref="C236:C239"/>
    <mergeCell ref="C240:C243"/>
    <mergeCell ref="C244:C247"/>
    <mergeCell ref="C128:C131"/>
    <mergeCell ref="C148:C151"/>
  </mergeCells>
  <phoneticPr fontId="10"/>
  <pageMargins left="0.23622047244094491" right="0.23622047244094491" top="0.74803149606299213" bottom="0.74803149606299213" header="0.31496062992125984" footer="0.31496062992125984"/>
  <pageSetup paperSize="9" scale="72" fitToHeight="0" orientation="portrait" r:id="rId1"/>
  <rowBreaks count="8" manualBreakCount="8">
    <brk id="43" max="7" man="1"/>
    <brk id="75" max="7" man="1"/>
    <brk id="107" max="7" man="1"/>
    <brk id="139" max="7" man="1"/>
    <brk id="171" max="7" man="1"/>
    <brk id="203" max="7" man="1"/>
    <brk id="235" max="7" man="1"/>
    <brk id="267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71852-D758-4948-A566-0B70E90E1C34}">
  <sheetPr codeName="Sheet4">
    <pageSetUpPr fitToPage="1"/>
  </sheetPr>
  <dimension ref="A1:O47"/>
  <sheetViews>
    <sheetView showGridLines="0" view="pageBreakPreview" zoomScale="85" zoomScaleNormal="70" zoomScaleSheetLayoutView="85" workbookViewId="0" tabSelected="false">
      <selection sqref="A1:O1"/>
    </sheetView>
  </sheetViews>
  <sheetFormatPr defaultColWidth="9" defaultRowHeight="13.2"/>
  <cols>
    <col min="1" max="1" customWidth="true" style="4" width="4.6640625" collapsed="true"/>
    <col min="2" max="2" customWidth="true" style="4" width="29.109375" collapsed="true"/>
    <col min="3" max="3" customWidth="true" style="4" width="20.6640625" collapsed="true"/>
    <col min="4" max="15" customWidth="true" style="4" width="18.6640625" collapsed="true"/>
    <col min="16" max="16384" style="4" width="9.0" collapsed="true"/>
  </cols>
  <sheetData>
    <row r="1" spans="1:15" ht="28.5" customHeight="1">
      <c r="A1" s="43" t="s">
        <v>96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5" ht="23.1" customHeight="1">
      <c r="A2" s="43" t="s">
        <v>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16.5" customHeight="1">
      <c r="A3" s="44" t="n">
        <f>summary_data_Futures!A3:I3</f>
        <v>46175.0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16.5" customHeight="1">
      <c r="A4" s="45" t="n">
        <f>summary_data_Futures!A4:I4</f>
        <v>46175.0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16.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ht="14.25" customHeight="1">
      <c r="A6" s="7" t="s">
        <v>26</v>
      </c>
      <c r="B6" s="8"/>
      <c r="C6" s="9"/>
      <c r="D6" s="9"/>
      <c r="E6" s="9"/>
      <c r="F6" s="9"/>
      <c r="G6" s="6"/>
      <c r="H6" s="6"/>
      <c r="I6" s="6"/>
      <c r="J6" s="6"/>
      <c r="K6" s="6"/>
      <c r="L6" s="6"/>
      <c r="M6" s="6"/>
      <c r="N6" s="6"/>
      <c r="O6" s="6"/>
    </row>
    <row r="7" spans="1:15" ht="14.25" customHeight="1">
      <c r="A7" s="10" t="s">
        <v>97</v>
      </c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 ht="14.25" customHeight="1">
      <c r="A8" s="10" t="s">
        <v>28</v>
      </c>
      <c r="B8" s="10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 ht="24.9" customHeight="1">
      <c r="A9" s="12"/>
      <c r="B9" s="12" t="s">
        <v>7</v>
      </c>
      <c r="C9" s="12" t="s">
        <v>0</v>
      </c>
      <c r="D9" s="50" t="s">
        <v>8</v>
      </c>
      <c r="E9" s="65"/>
      <c r="F9" s="65"/>
      <c r="G9" s="65"/>
      <c r="H9" s="65"/>
      <c r="I9" s="47"/>
      <c r="J9" s="50" t="s">
        <v>10</v>
      </c>
      <c r="K9" s="65"/>
      <c r="L9" s="65"/>
      <c r="M9" s="65"/>
      <c r="N9" s="65"/>
      <c r="O9" s="47"/>
    </row>
    <row r="10" spans="1:15" ht="24.9" customHeight="1">
      <c r="A10" s="34"/>
      <c r="B10" s="34" t="s">
        <v>11</v>
      </c>
      <c r="C10" s="34" t="s">
        <v>12</v>
      </c>
      <c r="D10" s="63" t="s">
        <v>98</v>
      </c>
      <c r="E10" s="66"/>
      <c r="F10" s="63" t="s">
        <v>99</v>
      </c>
      <c r="G10" s="66"/>
      <c r="H10" s="63" t="s">
        <v>100</v>
      </c>
      <c r="I10" s="64"/>
      <c r="J10" s="63" t="s">
        <v>98</v>
      </c>
      <c r="K10" s="66"/>
      <c r="L10" s="63" t="s">
        <v>99</v>
      </c>
      <c r="M10" s="66"/>
      <c r="N10" s="63" t="s">
        <v>100</v>
      </c>
      <c r="O10" s="64"/>
    </row>
    <row r="11" spans="1:15" ht="24.9" customHeight="1">
      <c r="A11" s="34"/>
      <c r="B11" s="34"/>
      <c r="C11" s="34"/>
      <c r="D11" s="14" t="s">
        <v>102</v>
      </c>
      <c r="E11" s="15" t="s">
        <v>101</v>
      </c>
      <c r="F11" s="14" t="s">
        <v>102</v>
      </c>
      <c r="G11" s="15" t="s">
        <v>101</v>
      </c>
      <c r="H11" s="14" t="s">
        <v>102</v>
      </c>
      <c r="I11" s="15" t="s">
        <v>101</v>
      </c>
      <c r="J11" s="14" t="s">
        <v>103</v>
      </c>
      <c r="K11" s="15" t="s">
        <v>101</v>
      </c>
      <c r="L11" s="14" t="s">
        <v>103</v>
      </c>
      <c r="M11" s="15" t="s">
        <v>101</v>
      </c>
      <c r="N11" s="14" t="s">
        <v>103</v>
      </c>
      <c r="O11" s="15" t="s">
        <v>101</v>
      </c>
    </row>
    <row r="12" spans="1:15" ht="24.9" customHeight="1">
      <c r="A12" s="38" t="s">
        <v>19</v>
      </c>
      <c r="B12" s="61" t="s">
        <v>104</v>
      </c>
      <c r="C12" s="16" t="s">
        <v>15</v>
      </c>
      <c r="D12" s="17" t="n">
        <f>3386</f>
        <v>3386.0</v>
      </c>
      <c r="E12" s="35" t="n">
        <f>1073</f>
        <v>1073.0</v>
      </c>
      <c r="F12" s="17" t="n">
        <f>3322</f>
        <v>3322.0</v>
      </c>
      <c r="G12" s="35" t="n">
        <f>1760</f>
        <v>1760.0</v>
      </c>
      <c r="H12" s="17" t="n">
        <f>6708</f>
        <v>6708.0</v>
      </c>
      <c r="I12" s="35" t="n">
        <f>2833</f>
        <v>2833.0</v>
      </c>
      <c r="J12" s="17" t="n">
        <f>2118991260</f>
        <v>2.11899126E9</v>
      </c>
      <c r="K12" s="35" t="n">
        <f>1679799260</f>
        <v>1.67979926E9</v>
      </c>
      <c r="L12" s="17" t="n">
        <f>3214744050</f>
        <v>3.21474405E9</v>
      </c>
      <c r="M12" s="35" t="n">
        <f>2674126050</f>
        <v>2.67412605E9</v>
      </c>
      <c r="N12" s="17" t="n">
        <f>5333735310</f>
        <v>5.33373531E9</v>
      </c>
      <c r="O12" s="35" t="n">
        <f>4353925310</f>
        <v>4.35392531E9</v>
      </c>
    </row>
    <row r="13" spans="1:15" ht="24.9" customHeight="1">
      <c r="A13" s="38"/>
      <c r="B13" s="62"/>
      <c r="C13" s="20" t="s">
        <v>16</v>
      </c>
      <c r="D13" s="21" t="n">
        <f>8409</f>
        <v>8409.0</v>
      </c>
      <c r="E13" s="36" t="n">
        <f>4457</f>
        <v>4457.0</v>
      </c>
      <c r="F13" s="21" t="n">
        <f>3184</f>
        <v>3184.0</v>
      </c>
      <c r="G13" s="36" t="n">
        <f>731</f>
        <v>731.0</v>
      </c>
      <c r="H13" s="21" t="n">
        <f>11593</f>
        <v>11593.0</v>
      </c>
      <c r="I13" s="36" t="n">
        <f>5188</f>
        <v>5188.0</v>
      </c>
      <c r="J13" s="21" t="n">
        <f>5000257383</f>
        <v>5.000257383E9</v>
      </c>
      <c r="K13" s="36" t="n">
        <f>3850579383</f>
        <v>3.850579383E9</v>
      </c>
      <c r="L13" s="21" t="n">
        <f>2213127420</f>
        <v>2.21312742E9</v>
      </c>
      <c r="M13" s="36" t="n">
        <f>1304964420</f>
        <v>1.30496442E9</v>
      </c>
      <c r="N13" s="21" t="n">
        <f>7213384803</f>
        <v>7.213384803E9</v>
      </c>
      <c r="O13" s="36" t="n">
        <f>5155543803</f>
        <v>5.155543803E9</v>
      </c>
    </row>
    <row r="14" spans="1:15" ht="24.9" customHeight="1">
      <c r="A14" s="38"/>
      <c r="B14" s="62"/>
      <c r="C14" s="20" t="s">
        <v>17</v>
      </c>
      <c r="D14" s="21" t="n">
        <f>19151</f>
        <v>19151.0</v>
      </c>
      <c r="E14" s="36" t="n">
        <f>13995</f>
        <v>13995.0</v>
      </c>
      <c r="F14" s="21" t="n">
        <f>5825</f>
        <v>5825.0</v>
      </c>
      <c r="G14" s="36" t="n">
        <f>2484</f>
        <v>2484.0</v>
      </c>
      <c r="H14" s="21" t="n">
        <f>24976</f>
        <v>24976.0</v>
      </c>
      <c r="I14" s="36" t="n">
        <f>16479</f>
        <v>16479.0</v>
      </c>
      <c r="J14" s="21" t="n">
        <f>10904800960</f>
        <v>1.090480096E10</v>
      </c>
      <c r="K14" s="36" t="n">
        <f>9026224960</f>
        <v>9.02622496E9</v>
      </c>
      <c r="L14" s="21" t="n">
        <f>6292069550</f>
        <v>6.29206955E9</v>
      </c>
      <c r="M14" s="36" t="n">
        <f>4471347550</f>
        <v>4.47134755E9</v>
      </c>
      <c r="N14" s="21" t="n">
        <f>17196870510</f>
        <v>1.719687051E10</v>
      </c>
      <c r="O14" s="36" t="n">
        <f>13497572510</f>
        <v>1.349757251E10</v>
      </c>
    </row>
    <row r="15" spans="1:15" ht="24.9" customHeight="1">
      <c r="A15" s="38"/>
      <c r="B15" s="62"/>
      <c r="C15" s="24" t="s">
        <v>18</v>
      </c>
      <c r="D15" s="25" t="n">
        <f>30946</f>
        <v>30946.0</v>
      </c>
      <c r="E15" s="37" t="n">
        <f>19525</f>
        <v>19525.0</v>
      </c>
      <c r="F15" s="25" t="n">
        <f>12331</f>
        <v>12331.0</v>
      </c>
      <c r="G15" s="37" t="n">
        <f>4975</f>
        <v>4975.0</v>
      </c>
      <c r="H15" s="25" t="n">
        <f>43277</f>
        <v>43277.0</v>
      </c>
      <c r="I15" s="37" t="n">
        <f>24500</f>
        <v>24500.0</v>
      </c>
      <c r="J15" s="25" t="n">
        <f>18024049603</f>
        <v>1.8024049603E10</v>
      </c>
      <c r="K15" s="37" t="n">
        <f>14556603603</f>
        <v>1.4556603603E10</v>
      </c>
      <c r="L15" s="25" t="n">
        <f>11719941020</f>
        <v>1.171994102E10</v>
      </c>
      <c r="M15" s="37" t="n">
        <f>8450438020</f>
        <v>8.45043802E9</v>
      </c>
      <c r="N15" s="25" t="n">
        <f>29743990623</f>
        <v>2.9743990623E10</v>
      </c>
      <c r="O15" s="37" t="n">
        <f>23007041623</f>
        <v>2.3007041623E10</v>
      </c>
    </row>
    <row r="16" spans="1:15" ht="24.9" customHeight="1">
      <c r="A16" s="38"/>
      <c r="B16" s="61" t="s">
        <v>105</v>
      </c>
      <c r="C16" s="16" t="s">
        <v>15</v>
      </c>
      <c r="D16" s="17" t="n">
        <f>18782</f>
        <v>18782.0</v>
      </c>
      <c r="E16" s="35" t="n">
        <f>2180</f>
        <v>2180.0</v>
      </c>
      <c r="F16" s="17" t="n">
        <f>6717</f>
        <v>6717.0</v>
      </c>
      <c r="G16" s="35" t="n">
        <f>200</f>
        <v>200.0</v>
      </c>
      <c r="H16" s="17" t="n">
        <f>25499</f>
        <v>25499.0</v>
      </c>
      <c r="I16" s="35" t="n">
        <f>2380</f>
        <v>2380.0</v>
      </c>
      <c r="J16" s="17" t="n">
        <f>533764880</f>
        <v>5.3376488E8</v>
      </c>
      <c r="K16" s="35" t="n">
        <f>56138580</f>
        <v>5.613858E7</v>
      </c>
      <c r="L16" s="17" t="n">
        <f>1861150420</f>
        <v>1.86115042E9</v>
      </c>
      <c r="M16" s="35" t="n">
        <f>35817220</f>
        <v>3.581722E7</v>
      </c>
      <c r="N16" s="17" t="n">
        <f>2394915300</f>
        <v>2.3949153E9</v>
      </c>
      <c r="O16" s="35" t="n">
        <f>91955800</f>
        <v>9.19558E7</v>
      </c>
    </row>
    <row r="17" spans="1:15" ht="24.9" customHeight="1">
      <c r="A17" s="38"/>
      <c r="B17" s="62"/>
      <c r="C17" s="20" t="s">
        <v>16</v>
      </c>
      <c r="D17" s="21" t="n">
        <f>9970</f>
        <v>9970.0</v>
      </c>
      <c r="E17" s="36" t="n">
        <f>800</f>
        <v>800.0</v>
      </c>
      <c r="F17" s="21" t="n">
        <f>4958</f>
        <v>4958.0</v>
      </c>
      <c r="G17" s="36" t="n">
        <f>270</f>
        <v>270.0</v>
      </c>
      <c r="H17" s="21" t="n">
        <f>14928</f>
        <v>14928.0</v>
      </c>
      <c r="I17" s="36" t="n">
        <f>1070</f>
        <v>1070.0</v>
      </c>
      <c r="J17" s="21" t="n">
        <f>199469880</f>
        <v>1.9946988E8</v>
      </c>
      <c r="K17" s="36" t="n">
        <f>7261080</f>
        <v>7261080.0</v>
      </c>
      <c r="L17" s="21" t="n">
        <f>211672360</f>
        <v>2.1167236E8</v>
      </c>
      <c r="M17" s="36" t="n">
        <f>9664260</f>
        <v>9664260.0</v>
      </c>
      <c r="N17" s="21" t="n">
        <f>411142240</f>
        <v>4.1114224E8</v>
      </c>
      <c r="O17" s="36" t="n">
        <f>16925340</f>
        <v>1.692534E7</v>
      </c>
    </row>
    <row r="18" spans="1:15" ht="24.9" customHeight="1">
      <c r="A18" s="38"/>
      <c r="B18" s="62"/>
      <c r="C18" s="20" t="s">
        <v>17</v>
      </c>
      <c r="D18" s="21" t="n">
        <f>13777</f>
        <v>13777.0</v>
      </c>
      <c r="E18" s="36" t="n">
        <f>1060</f>
        <v>1060.0</v>
      </c>
      <c r="F18" s="21" t="n">
        <f>7076</f>
        <v>7076.0</v>
      </c>
      <c r="G18" s="36" t="n">
        <f>340</f>
        <v>340.0</v>
      </c>
      <c r="H18" s="21" t="n">
        <f>20853</f>
        <v>20853.0</v>
      </c>
      <c r="I18" s="36" t="n">
        <f>1400</f>
        <v>1400.0</v>
      </c>
      <c r="J18" s="21" t="n">
        <f>315263630</f>
        <v>3.1526363E8</v>
      </c>
      <c r="K18" s="36" t="n">
        <f>12888330</f>
        <v>1.288833E7</v>
      </c>
      <c r="L18" s="21" t="n">
        <f>308755590</f>
        <v>3.0875559E8</v>
      </c>
      <c r="M18" s="36" t="n">
        <f>7583790</f>
        <v>7583790.0</v>
      </c>
      <c r="N18" s="21" t="n">
        <f>624019220</f>
        <v>6.2401922E8</v>
      </c>
      <c r="O18" s="36" t="n">
        <f>20472120</f>
        <v>2.047212E7</v>
      </c>
    </row>
    <row r="19" spans="1:15" ht="24.9" customHeight="1">
      <c r="A19" s="38"/>
      <c r="B19" s="62"/>
      <c r="C19" s="24" t="s">
        <v>18</v>
      </c>
      <c r="D19" s="25" t="n">
        <f>42529</f>
        <v>42529.0</v>
      </c>
      <c r="E19" s="37" t="n">
        <f>4040</f>
        <v>4040.0</v>
      </c>
      <c r="F19" s="25" t="n">
        <f>18751</f>
        <v>18751.0</v>
      </c>
      <c r="G19" s="37" t="n">
        <f>810</f>
        <v>810.0</v>
      </c>
      <c r="H19" s="25" t="n">
        <f>61280</f>
        <v>61280.0</v>
      </c>
      <c r="I19" s="37" t="n">
        <f>4850</f>
        <v>4850.0</v>
      </c>
      <c r="J19" s="25" t="n">
        <f>1048498390</f>
        <v>1.04849839E9</v>
      </c>
      <c r="K19" s="37" t="n">
        <f>76287990</f>
        <v>7.628799E7</v>
      </c>
      <c r="L19" s="25" t="n">
        <f>2381578370</f>
        <v>2.38157837E9</v>
      </c>
      <c r="M19" s="37" t="n">
        <f>53065270</f>
        <v>5.306527E7</v>
      </c>
      <c r="N19" s="25" t="n">
        <f>3430076760</f>
        <v>3.43007676E9</v>
      </c>
      <c r="O19" s="37" t="n">
        <f>129353260</f>
        <v>1.2935326E8</v>
      </c>
    </row>
    <row r="20" spans="1:15" ht="24.9" customHeight="1">
      <c r="A20" s="38"/>
      <c r="B20" s="61" t="s">
        <v>106</v>
      </c>
      <c r="C20" s="16" t="s">
        <v>15</v>
      </c>
      <c r="D20" s="17" t="n">
        <f>0</f>
        <v>0.0</v>
      </c>
      <c r="E20" s="35" t="n">
        <f>0</f>
        <v>0.0</v>
      </c>
      <c r="F20" s="17" t="n">
        <f>300</f>
        <v>300.0</v>
      </c>
      <c r="G20" s="35" t="n">
        <f>300</f>
        <v>300.0</v>
      </c>
      <c r="H20" s="17" t="n">
        <f>300</f>
        <v>300.0</v>
      </c>
      <c r="I20" s="35" t="n">
        <f>300</f>
        <v>300.0</v>
      </c>
      <c r="J20" s="17" t="n">
        <f>0</f>
        <v>0.0</v>
      </c>
      <c r="K20" s="35" t="n">
        <f>0</f>
        <v>0.0</v>
      </c>
      <c r="L20" s="17" t="n">
        <f>254460000</f>
        <v>2.5446E8</v>
      </c>
      <c r="M20" s="35" t="n">
        <f>254460000</f>
        <v>2.5446E8</v>
      </c>
      <c r="N20" s="17" t="n">
        <f>254460000</f>
        <v>2.5446E8</v>
      </c>
      <c r="O20" s="35" t="n">
        <f>254460000</f>
        <v>2.5446E8</v>
      </c>
    </row>
    <row r="21" spans="1:15" ht="24.9" customHeight="1">
      <c r="A21" s="38"/>
      <c r="B21" s="62"/>
      <c r="C21" s="20" t="s">
        <v>16</v>
      </c>
      <c r="D21" s="21" t="n">
        <f>0</f>
        <v>0.0</v>
      </c>
      <c r="E21" s="36" t="n">
        <f>0</f>
        <v>0.0</v>
      </c>
      <c r="F21" s="21" t="n">
        <f>100</f>
        <v>100.0</v>
      </c>
      <c r="G21" s="36" t="n">
        <f>100</f>
        <v>100.0</v>
      </c>
      <c r="H21" s="21" t="n">
        <f>100</f>
        <v>100.0</v>
      </c>
      <c r="I21" s="36" t="n">
        <f>100</f>
        <v>100.0</v>
      </c>
      <c r="J21" s="21" t="n">
        <f>0</f>
        <v>0.0</v>
      </c>
      <c r="K21" s="36" t="n">
        <f>0</f>
        <v>0.0</v>
      </c>
      <c r="L21" s="21" t="n">
        <f>46450000</f>
        <v>4.645E7</v>
      </c>
      <c r="M21" s="36" t="n">
        <f>46450000</f>
        <v>4.645E7</v>
      </c>
      <c r="N21" s="21" t="n">
        <f>46450000</f>
        <v>4.645E7</v>
      </c>
      <c r="O21" s="36" t="n">
        <f>46450000</f>
        <v>4.645E7</v>
      </c>
    </row>
    <row r="22" spans="1:15" ht="24.9" customHeight="1">
      <c r="A22" s="38"/>
      <c r="B22" s="62"/>
      <c r="C22" s="20" t="s">
        <v>17</v>
      </c>
      <c r="D22" s="21" t="n">
        <f>1474</f>
        <v>1474.0</v>
      </c>
      <c r="E22" s="36" t="n">
        <f>1474</f>
        <v>1474.0</v>
      </c>
      <c r="F22" s="21" t="n">
        <f>20</f>
        <v>20.0</v>
      </c>
      <c r="G22" s="36" t="n">
        <f>20</f>
        <v>20.0</v>
      </c>
      <c r="H22" s="21" t="n">
        <f>1494</f>
        <v>1494.0</v>
      </c>
      <c r="I22" s="36" t="n">
        <f>1494</f>
        <v>1494.0</v>
      </c>
      <c r="J22" s="21" t="n">
        <f>793958159</f>
        <v>7.93958159E8</v>
      </c>
      <c r="K22" s="36" t="n">
        <f>793958159</f>
        <v>7.93958159E8</v>
      </c>
      <c r="L22" s="21" t="n">
        <f>10764800</f>
        <v>1.07648E7</v>
      </c>
      <c r="M22" s="36" t="n">
        <f>10764800</f>
        <v>1.07648E7</v>
      </c>
      <c r="N22" s="21" t="n">
        <f>804722959</f>
        <v>8.04722959E8</v>
      </c>
      <c r="O22" s="36" t="n">
        <f>804722959</f>
        <v>8.04722959E8</v>
      </c>
    </row>
    <row r="23" spans="1:15" ht="24.9" customHeight="1">
      <c r="A23" s="38"/>
      <c r="B23" s="62"/>
      <c r="C23" s="24" t="s">
        <v>18</v>
      </c>
      <c r="D23" s="25" t="n">
        <f>1474</f>
        <v>1474.0</v>
      </c>
      <c r="E23" s="37" t="n">
        <f>1474</f>
        <v>1474.0</v>
      </c>
      <c r="F23" s="25" t="n">
        <f>420</f>
        <v>420.0</v>
      </c>
      <c r="G23" s="37" t="n">
        <f>420</f>
        <v>420.0</v>
      </c>
      <c r="H23" s="25" t="n">
        <f>1894</f>
        <v>1894.0</v>
      </c>
      <c r="I23" s="37" t="n">
        <f>1894</f>
        <v>1894.0</v>
      </c>
      <c r="J23" s="25" t="n">
        <f>793958159</f>
        <v>7.93958159E8</v>
      </c>
      <c r="K23" s="37" t="n">
        <f>793958159</f>
        <v>7.93958159E8</v>
      </c>
      <c r="L23" s="25" t="n">
        <f>311674800</f>
        <v>3.116748E8</v>
      </c>
      <c r="M23" s="37" t="n">
        <f>311674800</f>
        <v>3.116748E8</v>
      </c>
      <c r="N23" s="25" t="n">
        <f>1105632959</f>
        <v>1.105632959E9</v>
      </c>
      <c r="O23" s="37" t="n">
        <f>1105632959</f>
        <v>1.105632959E9</v>
      </c>
    </row>
    <row r="24" spans="1:15" ht="24.9" customHeight="1">
      <c r="A24" s="38"/>
      <c r="B24" s="61" t="s">
        <v>107</v>
      </c>
      <c r="C24" s="16" t="s">
        <v>15</v>
      </c>
      <c r="D24" s="17" t="n">
        <f>0</f>
        <v>0.0</v>
      </c>
      <c r="E24" s="35" t="n">
        <f>0</f>
        <v>0.0</v>
      </c>
      <c r="F24" s="17" t="n">
        <f>0</f>
        <v>0.0</v>
      </c>
      <c r="G24" s="35" t="n">
        <f>0</f>
        <v>0.0</v>
      </c>
      <c r="H24" s="17" t="n">
        <f>0</f>
        <v>0.0</v>
      </c>
      <c r="I24" s="35" t="n">
        <f>0</f>
        <v>0.0</v>
      </c>
      <c r="J24" s="17" t="n">
        <f>0</f>
        <v>0.0</v>
      </c>
      <c r="K24" s="35" t="n">
        <f>0</f>
        <v>0.0</v>
      </c>
      <c r="L24" s="17" t="n">
        <f>0</f>
        <v>0.0</v>
      </c>
      <c r="M24" s="35" t="n">
        <f>0</f>
        <v>0.0</v>
      </c>
      <c r="N24" s="17" t="n">
        <f>0</f>
        <v>0.0</v>
      </c>
      <c r="O24" s="35" t="n">
        <f>0</f>
        <v>0.0</v>
      </c>
    </row>
    <row r="25" spans="1:15" ht="24.9" customHeight="1">
      <c r="A25" s="38"/>
      <c r="B25" s="62"/>
      <c r="C25" s="20" t="s">
        <v>16</v>
      </c>
      <c r="D25" s="21" t="n">
        <f>0</f>
        <v>0.0</v>
      </c>
      <c r="E25" s="36" t="n">
        <f>0</f>
        <v>0.0</v>
      </c>
      <c r="F25" s="21" t="n">
        <f>0</f>
        <v>0.0</v>
      </c>
      <c r="G25" s="36" t="n">
        <f>0</f>
        <v>0.0</v>
      </c>
      <c r="H25" s="21" t="n">
        <f>0</f>
        <v>0.0</v>
      </c>
      <c r="I25" s="36" t="n">
        <f>0</f>
        <v>0.0</v>
      </c>
      <c r="J25" s="21" t="n">
        <f>0</f>
        <v>0.0</v>
      </c>
      <c r="K25" s="36" t="n">
        <f>0</f>
        <v>0.0</v>
      </c>
      <c r="L25" s="21" t="n">
        <f>0</f>
        <v>0.0</v>
      </c>
      <c r="M25" s="36" t="n">
        <f>0</f>
        <v>0.0</v>
      </c>
      <c r="N25" s="21" t="n">
        <f>0</f>
        <v>0.0</v>
      </c>
      <c r="O25" s="36" t="n">
        <f>0</f>
        <v>0.0</v>
      </c>
    </row>
    <row r="26" spans="1:15" ht="24.9" customHeight="1">
      <c r="A26" s="38"/>
      <c r="B26" s="62"/>
      <c r="C26" s="20" t="s">
        <v>17</v>
      </c>
      <c r="D26" s="21" t="n">
        <f>0</f>
        <v>0.0</v>
      </c>
      <c r="E26" s="36" t="n">
        <f>0</f>
        <v>0.0</v>
      </c>
      <c r="F26" s="21" t="n">
        <f>0</f>
        <v>0.0</v>
      </c>
      <c r="G26" s="36" t="n">
        <f>0</f>
        <v>0.0</v>
      </c>
      <c r="H26" s="21" t="n">
        <f>0</f>
        <v>0.0</v>
      </c>
      <c r="I26" s="36" t="n">
        <f>0</f>
        <v>0.0</v>
      </c>
      <c r="J26" s="21" t="n">
        <f>0</f>
        <v>0.0</v>
      </c>
      <c r="K26" s="36" t="n">
        <f>0</f>
        <v>0.0</v>
      </c>
      <c r="L26" s="21" t="n">
        <f>0</f>
        <v>0.0</v>
      </c>
      <c r="M26" s="36" t="n">
        <f>0</f>
        <v>0.0</v>
      </c>
      <c r="N26" s="21" t="n">
        <f>0</f>
        <v>0.0</v>
      </c>
      <c r="O26" s="36" t="n">
        <f>0</f>
        <v>0.0</v>
      </c>
    </row>
    <row r="27" spans="1:15" ht="24.9" customHeight="1">
      <c r="A27" s="38"/>
      <c r="B27" s="62"/>
      <c r="C27" s="24" t="s">
        <v>18</v>
      </c>
      <c r="D27" s="25" t="n">
        <f>0</f>
        <v>0.0</v>
      </c>
      <c r="E27" s="37" t="n">
        <f>0</f>
        <v>0.0</v>
      </c>
      <c r="F27" s="25" t="n">
        <f>0</f>
        <v>0.0</v>
      </c>
      <c r="G27" s="37" t="n">
        <f>0</f>
        <v>0.0</v>
      </c>
      <c r="H27" s="25" t="n">
        <f>0</f>
        <v>0.0</v>
      </c>
      <c r="I27" s="37" t="n">
        <f>0</f>
        <v>0.0</v>
      </c>
      <c r="J27" s="25" t="n">
        <f>0</f>
        <v>0.0</v>
      </c>
      <c r="K27" s="37" t="n">
        <f>0</f>
        <v>0.0</v>
      </c>
      <c r="L27" s="25" t="n">
        <f>0</f>
        <v>0.0</v>
      </c>
      <c r="M27" s="37" t="n">
        <f>0</f>
        <v>0.0</v>
      </c>
      <c r="N27" s="25" t="n">
        <f>0</f>
        <v>0.0</v>
      </c>
      <c r="O27" s="37" t="n">
        <f>0</f>
        <v>0.0</v>
      </c>
    </row>
    <row r="28" spans="1:15" ht="24.9" customHeight="1">
      <c r="A28" s="38"/>
      <c r="B28" s="61" t="s">
        <v>108</v>
      </c>
      <c r="C28" s="16" t="s">
        <v>15</v>
      </c>
      <c r="D28" s="17" t="n">
        <f>0</f>
        <v>0.0</v>
      </c>
      <c r="E28" s="18" t="n">
        <f>0</f>
        <v>0.0</v>
      </c>
      <c r="F28" s="17" t="n">
        <f>0</f>
        <v>0.0</v>
      </c>
      <c r="G28" s="18" t="n">
        <f>0</f>
        <v>0.0</v>
      </c>
      <c r="H28" s="17" t="n">
        <f>0</f>
        <v>0.0</v>
      </c>
      <c r="I28" s="18" t="n">
        <f>0</f>
        <v>0.0</v>
      </c>
      <c r="J28" s="17" t="n">
        <f>0</f>
        <v>0.0</v>
      </c>
      <c r="K28" s="18" t="n">
        <f>0</f>
        <v>0.0</v>
      </c>
      <c r="L28" s="17" t="n">
        <f>0</f>
        <v>0.0</v>
      </c>
      <c r="M28" s="18" t="n">
        <f>0</f>
        <v>0.0</v>
      </c>
      <c r="N28" s="17" t="n">
        <f>0</f>
        <v>0.0</v>
      </c>
      <c r="O28" s="18" t="n">
        <f>0</f>
        <v>0.0</v>
      </c>
    </row>
    <row r="29" spans="1:15" ht="24.9" customHeight="1">
      <c r="A29" s="38"/>
      <c r="B29" s="62"/>
      <c r="C29" s="20" t="s">
        <v>16</v>
      </c>
      <c r="D29" s="21" t="n">
        <f>0</f>
        <v>0.0</v>
      </c>
      <c r="E29" s="22" t="n">
        <f>0</f>
        <v>0.0</v>
      </c>
      <c r="F29" s="21" t="n">
        <f>0</f>
        <v>0.0</v>
      </c>
      <c r="G29" s="22" t="n">
        <f>0</f>
        <v>0.0</v>
      </c>
      <c r="H29" s="21" t="n">
        <f>0</f>
        <v>0.0</v>
      </c>
      <c r="I29" s="22" t="n">
        <f>0</f>
        <v>0.0</v>
      </c>
      <c r="J29" s="21" t="n">
        <f>0</f>
        <v>0.0</v>
      </c>
      <c r="K29" s="22" t="n">
        <f>0</f>
        <v>0.0</v>
      </c>
      <c r="L29" s="21" t="n">
        <f>0</f>
        <v>0.0</v>
      </c>
      <c r="M29" s="22" t="n">
        <f>0</f>
        <v>0.0</v>
      </c>
      <c r="N29" s="21" t="n">
        <f>0</f>
        <v>0.0</v>
      </c>
      <c r="O29" s="22" t="n">
        <f>0</f>
        <v>0.0</v>
      </c>
    </row>
    <row r="30" spans="1:15" ht="24.9" customHeight="1">
      <c r="A30" s="38"/>
      <c r="B30" s="62"/>
      <c r="C30" s="20" t="s">
        <v>17</v>
      </c>
      <c r="D30" s="21" t="n">
        <f>0</f>
        <v>0.0</v>
      </c>
      <c r="E30" s="36" t="n">
        <f>0</f>
        <v>0.0</v>
      </c>
      <c r="F30" s="21" t="n">
        <f>0</f>
        <v>0.0</v>
      </c>
      <c r="G30" s="36" t="n">
        <f>0</f>
        <v>0.0</v>
      </c>
      <c r="H30" s="21" t="n">
        <f>0</f>
        <v>0.0</v>
      </c>
      <c r="I30" s="36" t="n">
        <f>0</f>
        <v>0.0</v>
      </c>
      <c r="J30" s="21" t="n">
        <f>0</f>
        <v>0.0</v>
      </c>
      <c r="K30" s="36" t="n">
        <f>0</f>
        <v>0.0</v>
      </c>
      <c r="L30" s="21" t="n">
        <f>0</f>
        <v>0.0</v>
      </c>
      <c r="M30" s="36" t="n">
        <f>0</f>
        <v>0.0</v>
      </c>
      <c r="N30" s="21" t="n">
        <f>0</f>
        <v>0.0</v>
      </c>
      <c r="O30" s="36" t="n">
        <f>0</f>
        <v>0.0</v>
      </c>
    </row>
    <row r="31" spans="1:15" ht="24.9" customHeight="1">
      <c r="A31" s="38"/>
      <c r="B31" s="62"/>
      <c r="C31" s="24" t="s">
        <v>18</v>
      </c>
      <c r="D31" s="25" t="n">
        <f>0</f>
        <v>0.0</v>
      </c>
      <c r="E31" s="37" t="n">
        <f>0</f>
        <v>0.0</v>
      </c>
      <c r="F31" s="25" t="n">
        <f>0</f>
        <v>0.0</v>
      </c>
      <c r="G31" s="37" t="n">
        <f>0</f>
        <v>0.0</v>
      </c>
      <c r="H31" s="25" t="n">
        <f>0</f>
        <v>0.0</v>
      </c>
      <c r="I31" s="37" t="n">
        <f>0</f>
        <v>0.0</v>
      </c>
      <c r="J31" s="25" t="n">
        <f>0</f>
        <v>0.0</v>
      </c>
      <c r="K31" s="37" t="n">
        <f>0</f>
        <v>0.0</v>
      </c>
      <c r="L31" s="25" t="n">
        <f>0</f>
        <v>0.0</v>
      </c>
      <c r="M31" s="37" t="n">
        <f>0</f>
        <v>0.0</v>
      </c>
      <c r="N31" s="25" t="n">
        <f>0</f>
        <v>0.0</v>
      </c>
      <c r="O31" s="37" t="n">
        <f>0</f>
        <v>0.0</v>
      </c>
    </row>
    <row r="32" spans="1:15" ht="24.9" customHeight="1">
      <c r="A32" s="38"/>
      <c r="B32" s="61" t="s">
        <v>109</v>
      </c>
      <c r="C32" s="16" t="s">
        <v>15</v>
      </c>
      <c r="D32" s="17" t="n">
        <f>0</f>
        <v>0.0</v>
      </c>
      <c r="E32" s="35" t="n">
        <f>0</f>
        <v>0.0</v>
      </c>
      <c r="F32" s="17" t="n">
        <f>0</f>
        <v>0.0</v>
      </c>
      <c r="G32" s="35" t="n">
        <f>0</f>
        <v>0.0</v>
      </c>
      <c r="H32" s="17" t="n">
        <f>0</f>
        <v>0.0</v>
      </c>
      <c r="I32" s="35" t="n">
        <f>0</f>
        <v>0.0</v>
      </c>
      <c r="J32" s="17" t="n">
        <f>0</f>
        <v>0.0</v>
      </c>
      <c r="K32" s="35" t="n">
        <f>0</f>
        <v>0.0</v>
      </c>
      <c r="L32" s="17" t="n">
        <f>0</f>
        <v>0.0</v>
      </c>
      <c r="M32" s="35" t="n">
        <f>0</f>
        <v>0.0</v>
      </c>
      <c r="N32" s="17" t="n">
        <f>0</f>
        <v>0.0</v>
      </c>
      <c r="O32" s="35" t="n">
        <f>0</f>
        <v>0.0</v>
      </c>
    </row>
    <row r="33" spans="1:15" ht="24.9" customHeight="1">
      <c r="A33" s="38"/>
      <c r="B33" s="62"/>
      <c r="C33" s="20" t="s">
        <v>16</v>
      </c>
      <c r="D33" s="21" t="n">
        <f>0</f>
        <v>0.0</v>
      </c>
      <c r="E33" s="36" t="n">
        <f>0</f>
        <v>0.0</v>
      </c>
      <c r="F33" s="21" t="n">
        <f>0</f>
        <v>0.0</v>
      </c>
      <c r="G33" s="36" t="n">
        <f>0</f>
        <v>0.0</v>
      </c>
      <c r="H33" s="21" t="n">
        <f>0</f>
        <v>0.0</v>
      </c>
      <c r="I33" s="36" t="n">
        <f>0</f>
        <v>0.0</v>
      </c>
      <c r="J33" s="21" t="n">
        <f>0</f>
        <v>0.0</v>
      </c>
      <c r="K33" s="36" t="n">
        <f>0</f>
        <v>0.0</v>
      </c>
      <c r="L33" s="21" t="n">
        <f>0</f>
        <v>0.0</v>
      </c>
      <c r="M33" s="36" t="n">
        <f>0</f>
        <v>0.0</v>
      </c>
      <c r="N33" s="21" t="n">
        <f>0</f>
        <v>0.0</v>
      </c>
      <c r="O33" s="36" t="n">
        <f>0</f>
        <v>0.0</v>
      </c>
    </row>
    <row r="34" spans="1:15" ht="24.9" customHeight="1">
      <c r="A34" s="38"/>
      <c r="B34" s="62"/>
      <c r="C34" s="20" t="s">
        <v>17</v>
      </c>
      <c r="D34" s="21" t="n">
        <f>0</f>
        <v>0.0</v>
      </c>
      <c r="E34" s="36" t="n">
        <f>0</f>
        <v>0.0</v>
      </c>
      <c r="F34" s="21" t="n">
        <f>0</f>
        <v>0.0</v>
      </c>
      <c r="G34" s="36" t="n">
        <f>0</f>
        <v>0.0</v>
      </c>
      <c r="H34" s="21" t="n">
        <f>0</f>
        <v>0.0</v>
      </c>
      <c r="I34" s="36" t="n">
        <f>0</f>
        <v>0.0</v>
      </c>
      <c r="J34" s="21" t="n">
        <f>0</f>
        <v>0.0</v>
      </c>
      <c r="K34" s="36" t="n">
        <f>0</f>
        <v>0.0</v>
      </c>
      <c r="L34" s="21" t="n">
        <f>0</f>
        <v>0.0</v>
      </c>
      <c r="M34" s="36" t="n">
        <f>0</f>
        <v>0.0</v>
      </c>
      <c r="N34" s="21" t="n">
        <f>0</f>
        <v>0.0</v>
      </c>
      <c r="O34" s="36" t="n">
        <f>0</f>
        <v>0.0</v>
      </c>
    </row>
    <row r="35" spans="1:15" ht="24.9" customHeight="1">
      <c r="A35" s="38"/>
      <c r="B35" s="62"/>
      <c r="C35" s="24" t="s">
        <v>18</v>
      </c>
      <c r="D35" s="25" t="n">
        <f>0</f>
        <v>0.0</v>
      </c>
      <c r="E35" s="37" t="n">
        <f>0</f>
        <v>0.0</v>
      </c>
      <c r="F35" s="25" t="n">
        <f>0</f>
        <v>0.0</v>
      </c>
      <c r="G35" s="37" t="n">
        <f>0</f>
        <v>0.0</v>
      </c>
      <c r="H35" s="25" t="n">
        <f>0</f>
        <v>0.0</v>
      </c>
      <c r="I35" s="37" t="n">
        <f>0</f>
        <v>0.0</v>
      </c>
      <c r="J35" s="25" t="n">
        <f>0</f>
        <v>0.0</v>
      </c>
      <c r="K35" s="37" t="n">
        <f>0</f>
        <v>0.0</v>
      </c>
      <c r="L35" s="25" t="n">
        <f>0</f>
        <v>0.0</v>
      </c>
      <c r="M35" s="37" t="n">
        <f>0</f>
        <v>0.0</v>
      </c>
      <c r="N35" s="25" t="n">
        <f>0</f>
        <v>0.0</v>
      </c>
      <c r="O35" s="37" t="n">
        <f>0</f>
        <v>0.0</v>
      </c>
    </row>
    <row r="36" spans="1:15" ht="24.9" customHeight="1">
      <c r="A36" s="38"/>
      <c r="B36" s="61" t="s">
        <v>110</v>
      </c>
      <c r="C36" s="16" t="s">
        <v>15</v>
      </c>
      <c r="D36" s="17" t="n">
        <f>0</f>
        <v>0.0</v>
      </c>
      <c r="E36" s="18" t="n">
        <f>0</f>
        <v>0.0</v>
      </c>
      <c r="F36" s="17" t="n">
        <f>1</f>
        <v>1.0</v>
      </c>
      <c r="G36" s="18" t="n">
        <f>0</f>
        <v>0.0</v>
      </c>
      <c r="H36" s="17" t="n">
        <f>1</f>
        <v>1.0</v>
      </c>
      <c r="I36" s="18" t="n">
        <f>0</f>
        <v>0.0</v>
      </c>
      <c r="J36" s="17" t="n">
        <f>0</f>
        <v>0.0</v>
      </c>
      <c r="K36" s="18" t="n">
        <f>0</f>
        <v>0.0</v>
      </c>
      <c r="L36" s="17" t="n">
        <f>320000</f>
        <v>320000.0</v>
      </c>
      <c r="M36" s="18" t="n">
        <f>0</f>
        <v>0.0</v>
      </c>
      <c r="N36" s="17" t="n">
        <f>320000</f>
        <v>320000.0</v>
      </c>
      <c r="O36" s="18" t="n">
        <f>0</f>
        <v>0.0</v>
      </c>
    </row>
    <row r="37" spans="1:15" ht="24.9" customHeight="1">
      <c r="A37" s="38"/>
      <c r="B37" s="62"/>
      <c r="C37" s="20" t="s">
        <v>16</v>
      </c>
      <c r="D37" s="21" t="n">
        <f>20</f>
        <v>20.0</v>
      </c>
      <c r="E37" s="22" t="n">
        <f>0</f>
        <v>0.0</v>
      </c>
      <c r="F37" s="21" t="n">
        <f>45</f>
        <v>45.0</v>
      </c>
      <c r="G37" s="22" t="n">
        <f>0</f>
        <v>0.0</v>
      </c>
      <c r="H37" s="21" t="n">
        <f>65</f>
        <v>65.0</v>
      </c>
      <c r="I37" s="22" t="n">
        <f>0</f>
        <v>0.0</v>
      </c>
      <c r="J37" s="21" t="n">
        <f>4600000</f>
        <v>4600000.0</v>
      </c>
      <c r="K37" s="22" t="n">
        <f>0</f>
        <v>0.0</v>
      </c>
      <c r="L37" s="21" t="n">
        <f>12640000</f>
        <v>1.264E7</v>
      </c>
      <c r="M37" s="22" t="n">
        <f>0</f>
        <v>0.0</v>
      </c>
      <c r="N37" s="21" t="n">
        <f>17240000</f>
        <v>1.724E7</v>
      </c>
      <c r="O37" s="22" t="n">
        <f>0</f>
        <v>0.0</v>
      </c>
    </row>
    <row r="38" spans="1:15" ht="24.9" customHeight="1">
      <c r="A38" s="38"/>
      <c r="B38" s="62"/>
      <c r="C38" s="20" t="s">
        <v>17</v>
      </c>
      <c r="D38" s="21" t="n">
        <f>80</f>
        <v>80.0</v>
      </c>
      <c r="E38" s="36" t="n">
        <f>0</f>
        <v>0.0</v>
      </c>
      <c r="F38" s="21" t="n">
        <f>198</f>
        <v>198.0</v>
      </c>
      <c r="G38" s="36" t="n">
        <f>0</f>
        <v>0.0</v>
      </c>
      <c r="H38" s="21" t="n">
        <f>278</f>
        <v>278.0</v>
      </c>
      <c r="I38" s="36" t="n">
        <f>0</f>
        <v>0.0</v>
      </c>
      <c r="J38" s="21" t="n">
        <f>16300000</f>
        <v>1.63E7</v>
      </c>
      <c r="K38" s="36" t="n">
        <f>0</f>
        <v>0.0</v>
      </c>
      <c r="L38" s="21" t="n">
        <f>48370000</f>
        <v>4.837E7</v>
      </c>
      <c r="M38" s="36" t="n">
        <f>0</f>
        <v>0.0</v>
      </c>
      <c r="N38" s="21" t="n">
        <f>64670000</f>
        <v>6.467E7</v>
      </c>
      <c r="O38" s="36" t="n">
        <f>0</f>
        <v>0.0</v>
      </c>
    </row>
    <row r="39" spans="1:15" ht="24.9" customHeight="1">
      <c r="A39" s="38"/>
      <c r="B39" s="62"/>
      <c r="C39" s="24" t="s">
        <v>18</v>
      </c>
      <c r="D39" s="25" t="n">
        <f>100</f>
        <v>100.0</v>
      </c>
      <c r="E39" s="37" t="n">
        <f>0</f>
        <v>0.0</v>
      </c>
      <c r="F39" s="25" t="n">
        <f>244</f>
        <v>244.0</v>
      </c>
      <c r="G39" s="37" t="n">
        <f>0</f>
        <v>0.0</v>
      </c>
      <c r="H39" s="25" t="n">
        <f>344</f>
        <v>344.0</v>
      </c>
      <c r="I39" s="37" t="n">
        <f>0</f>
        <v>0.0</v>
      </c>
      <c r="J39" s="25" t="n">
        <f>20900000</f>
        <v>2.09E7</v>
      </c>
      <c r="K39" s="37" t="n">
        <f>0</f>
        <v>0.0</v>
      </c>
      <c r="L39" s="25" t="n">
        <f>61330000</f>
        <v>6.133E7</v>
      </c>
      <c r="M39" s="37" t="n">
        <f>0</f>
        <v>0.0</v>
      </c>
      <c r="N39" s="25" t="n">
        <f>82230000</f>
        <v>8.223E7</v>
      </c>
      <c r="O39" s="37" t="n">
        <f>0</f>
        <v>0.0</v>
      </c>
    </row>
    <row r="40" spans="1:15" ht="24.9" customHeight="1">
      <c r="A40" s="38"/>
      <c r="B40" s="61" t="s">
        <v>111</v>
      </c>
      <c r="C40" s="16" t="s">
        <v>15</v>
      </c>
      <c r="D40" s="17" t="str">
        <f>"－"</f>
        <v>－</v>
      </c>
      <c r="E40" s="35" t="str">
        <f>"－"</f>
        <v>－</v>
      </c>
      <c r="F40" s="17" t="str">
        <f>"－"</f>
        <v>－</v>
      </c>
      <c r="G40" s="35" t="str">
        <f>"－"</f>
        <v>－</v>
      </c>
      <c r="H40" s="17" t="str">
        <f>"－"</f>
        <v>－</v>
      </c>
      <c r="I40" s="35" t="str">
        <f>"－"</f>
        <v>－</v>
      </c>
      <c r="J40" s="17" t="str">
        <f>"－"</f>
        <v>－</v>
      </c>
      <c r="K40" s="35" t="str">
        <f>"－"</f>
        <v>－</v>
      </c>
      <c r="L40" s="17" t="str">
        <f>"－"</f>
        <v>－</v>
      </c>
      <c r="M40" s="35" t="str">
        <f>"－"</f>
        <v>－</v>
      </c>
      <c r="N40" s="17" t="str">
        <f>"－"</f>
        <v>－</v>
      </c>
      <c r="O40" s="35" t="str">
        <f>"－"</f>
        <v>－</v>
      </c>
    </row>
    <row r="41" spans="1:15" ht="24.9" customHeight="1">
      <c r="A41" s="38"/>
      <c r="B41" s="62"/>
      <c r="C41" s="20" t="s">
        <v>16</v>
      </c>
      <c r="D41" s="21" t="n">
        <f>1430</f>
        <v>1430.0</v>
      </c>
      <c r="E41" s="36" t="n">
        <f>0</f>
        <v>0.0</v>
      </c>
      <c r="F41" s="21" t="n">
        <f>3711</f>
        <v>3711.0</v>
      </c>
      <c r="G41" s="36" t="n">
        <f>0</f>
        <v>0.0</v>
      </c>
      <c r="H41" s="21" t="n">
        <f>5141</f>
        <v>5141.0</v>
      </c>
      <c r="I41" s="36" t="n">
        <f>0</f>
        <v>0.0</v>
      </c>
      <c r="J41" s="21" t="n">
        <f>27277486</f>
        <v>2.7277486E7</v>
      </c>
      <c r="K41" s="36" t="n">
        <f>0</f>
        <v>0.0</v>
      </c>
      <c r="L41" s="21" t="n">
        <f>12843910</f>
        <v>1.284391E7</v>
      </c>
      <c r="M41" s="36" t="n">
        <f>0</f>
        <v>0.0</v>
      </c>
      <c r="N41" s="21" t="n">
        <f>40121396</f>
        <v>4.0121396E7</v>
      </c>
      <c r="O41" s="36" t="n">
        <f>0</f>
        <v>0.0</v>
      </c>
    </row>
    <row r="42" spans="1:15" ht="24.9" customHeight="1">
      <c r="A42" s="38"/>
      <c r="B42" s="62"/>
      <c r="C42" s="20" t="s">
        <v>17</v>
      </c>
      <c r="D42" s="21" t="n">
        <f>3033</f>
        <v>3033.0</v>
      </c>
      <c r="E42" s="36" t="n">
        <f>2300</f>
        <v>2300.0</v>
      </c>
      <c r="F42" s="21" t="n">
        <f>5229</f>
        <v>5229.0</v>
      </c>
      <c r="G42" s="36" t="n">
        <f>2300</f>
        <v>2300.0</v>
      </c>
      <c r="H42" s="21" t="n">
        <f>8262</f>
        <v>8262.0</v>
      </c>
      <c r="I42" s="36" t="n">
        <f>4600</f>
        <v>4600.0</v>
      </c>
      <c r="J42" s="21" t="n">
        <f>222788688</f>
        <v>2.22788688E8</v>
      </c>
      <c r="K42" s="36" t="n">
        <f>186940000</f>
        <v>1.8694E8</v>
      </c>
      <c r="L42" s="21" t="n">
        <f>259568155</f>
        <v>2.59568155E8</v>
      </c>
      <c r="M42" s="36" t="n">
        <f>230210000</f>
        <v>2.3021E8</v>
      </c>
      <c r="N42" s="21" t="n">
        <f>482356843</f>
        <v>4.82356843E8</v>
      </c>
      <c r="O42" s="36" t="n">
        <f>417150000</f>
        <v>4.1715E8</v>
      </c>
    </row>
    <row r="43" spans="1:15" ht="24.9" customHeight="1">
      <c r="A43" s="38"/>
      <c r="B43" s="62"/>
      <c r="C43" s="24" t="s">
        <v>18</v>
      </c>
      <c r="D43" s="25" t="n">
        <f>4463</f>
        <v>4463.0</v>
      </c>
      <c r="E43" s="37" t="n">
        <f>2300</f>
        <v>2300.0</v>
      </c>
      <c r="F43" s="25" t="n">
        <f>8940</f>
        <v>8940.0</v>
      </c>
      <c r="G43" s="37" t="n">
        <f>2300</f>
        <v>2300.0</v>
      </c>
      <c r="H43" s="25" t="n">
        <f>13403</f>
        <v>13403.0</v>
      </c>
      <c r="I43" s="37" t="n">
        <f>4600</f>
        <v>4600.0</v>
      </c>
      <c r="J43" s="25" t="n">
        <f>250066174</f>
        <v>2.50066174E8</v>
      </c>
      <c r="K43" s="37" t="n">
        <f>186940000</f>
        <v>1.8694E8</v>
      </c>
      <c r="L43" s="25" t="n">
        <f>272412065</f>
        <v>2.72412065E8</v>
      </c>
      <c r="M43" s="37" t="n">
        <f>230210000</f>
        <v>2.3021E8</v>
      </c>
      <c r="N43" s="25" t="n">
        <f>522478239</f>
        <v>5.22478239E8</v>
      </c>
      <c r="O43" s="37" t="n">
        <f>417150000</f>
        <v>4.1715E8</v>
      </c>
    </row>
    <row r="44" spans="1:15" ht="24.9" customHeight="1">
      <c r="A44" s="38"/>
      <c r="B44" s="39" t="s">
        <v>112</v>
      </c>
      <c r="C44" s="16" t="s">
        <v>15</v>
      </c>
      <c r="D44" s="17" t="n">
        <f>0</f>
        <v>0.0</v>
      </c>
      <c r="E44" s="35" t="n">
        <f>0</f>
        <v>0.0</v>
      </c>
      <c r="F44" s="17" t="n">
        <f>0</f>
        <v>0.0</v>
      </c>
      <c r="G44" s="35" t="n">
        <f>0</f>
        <v>0.0</v>
      </c>
      <c r="H44" s="17" t="n">
        <f>0</f>
        <v>0.0</v>
      </c>
      <c r="I44" s="35" t="n">
        <f>0</f>
        <v>0.0</v>
      </c>
      <c r="J44" s="17" t="n">
        <f>0</f>
        <v>0.0</v>
      </c>
      <c r="K44" s="35" t="n">
        <f>0</f>
        <v>0.0</v>
      </c>
      <c r="L44" s="17" t="n">
        <f>0</f>
        <v>0.0</v>
      </c>
      <c r="M44" s="35" t="n">
        <f>0</f>
        <v>0.0</v>
      </c>
      <c r="N44" s="17" t="n">
        <f>0</f>
        <v>0.0</v>
      </c>
      <c r="O44" s="35" t="n">
        <f>0</f>
        <v>0.0</v>
      </c>
    </row>
    <row r="45" spans="1:15" ht="24.9" customHeight="1">
      <c r="A45" s="38"/>
      <c r="B45" s="39"/>
      <c r="C45" s="20" t="s">
        <v>16</v>
      </c>
      <c r="D45" s="21" t="n">
        <f>0</f>
        <v>0.0</v>
      </c>
      <c r="E45" s="36" t="n">
        <f>0</f>
        <v>0.0</v>
      </c>
      <c r="F45" s="21" t="n">
        <f>0</f>
        <v>0.0</v>
      </c>
      <c r="G45" s="36" t="n">
        <f>0</f>
        <v>0.0</v>
      </c>
      <c r="H45" s="21" t="n">
        <f>0</f>
        <v>0.0</v>
      </c>
      <c r="I45" s="36" t="n">
        <f>0</f>
        <v>0.0</v>
      </c>
      <c r="J45" s="21" t="n">
        <f>0</f>
        <v>0.0</v>
      </c>
      <c r="K45" s="36" t="n">
        <f>0</f>
        <v>0.0</v>
      </c>
      <c r="L45" s="21" t="n">
        <f>0</f>
        <v>0.0</v>
      </c>
      <c r="M45" s="36" t="n">
        <f>0</f>
        <v>0.0</v>
      </c>
      <c r="N45" s="21" t="n">
        <f>0</f>
        <v>0.0</v>
      </c>
      <c r="O45" s="36" t="n">
        <f>0</f>
        <v>0.0</v>
      </c>
    </row>
    <row r="46" spans="1:15" ht="24.9" customHeight="1">
      <c r="A46" s="38"/>
      <c r="B46" s="39"/>
      <c r="C46" s="20" t="s">
        <v>17</v>
      </c>
      <c r="D46" s="21" t="n">
        <f>0</f>
        <v>0.0</v>
      </c>
      <c r="E46" s="36" t="n">
        <f>0</f>
        <v>0.0</v>
      </c>
      <c r="F46" s="21" t="n">
        <f>0</f>
        <v>0.0</v>
      </c>
      <c r="G46" s="36" t="n">
        <f>0</f>
        <v>0.0</v>
      </c>
      <c r="H46" s="21" t="n">
        <f>0</f>
        <v>0.0</v>
      </c>
      <c r="I46" s="36" t="n">
        <f>0</f>
        <v>0.0</v>
      </c>
      <c r="J46" s="21" t="n">
        <f>0</f>
        <v>0.0</v>
      </c>
      <c r="K46" s="36" t="n">
        <f>0</f>
        <v>0.0</v>
      </c>
      <c r="L46" s="21" t="n">
        <f>0</f>
        <v>0.0</v>
      </c>
      <c r="M46" s="36" t="n">
        <f>0</f>
        <v>0.0</v>
      </c>
      <c r="N46" s="21" t="n">
        <f>0</f>
        <v>0.0</v>
      </c>
      <c r="O46" s="36" t="n">
        <f>0</f>
        <v>0.0</v>
      </c>
    </row>
    <row r="47" spans="1:15" ht="24.9" customHeight="1">
      <c r="A47" s="38"/>
      <c r="B47" s="39"/>
      <c r="C47" s="24" t="s">
        <v>18</v>
      </c>
      <c r="D47" s="25" t="n">
        <f>0</f>
        <v>0.0</v>
      </c>
      <c r="E47" s="37" t="n">
        <f>0</f>
        <v>0.0</v>
      </c>
      <c r="F47" s="25" t="n">
        <f>0</f>
        <v>0.0</v>
      </c>
      <c r="G47" s="37" t="n">
        <f>0</f>
        <v>0.0</v>
      </c>
      <c r="H47" s="25" t="n">
        <f>0</f>
        <v>0.0</v>
      </c>
      <c r="I47" s="37" t="n">
        <f>0</f>
        <v>0.0</v>
      </c>
      <c r="J47" s="25" t="n">
        <f>0</f>
        <v>0.0</v>
      </c>
      <c r="K47" s="37" t="n">
        <f>0</f>
        <v>0.0</v>
      </c>
      <c r="L47" s="25" t="n">
        <f>0</f>
        <v>0.0</v>
      </c>
      <c r="M47" s="37" t="n">
        <f>0</f>
        <v>0.0</v>
      </c>
      <c r="N47" s="25" t="n">
        <f>0</f>
        <v>0.0</v>
      </c>
      <c r="O47" s="37" t="n">
        <f>0</f>
        <v>0.0</v>
      </c>
    </row>
  </sheetData>
  <mergeCells count="22">
    <mergeCell ref="N10:O10"/>
    <mergeCell ref="A1:O1"/>
    <mergeCell ref="A2:O2"/>
    <mergeCell ref="A3:O3"/>
    <mergeCell ref="A4:O4"/>
    <mergeCell ref="D9:I9"/>
    <mergeCell ref="J9:O9"/>
    <mergeCell ref="D10:E10"/>
    <mergeCell ref="F10:G10"/>
    <mergeCell ref="H10:I10"/>
    <mergeCell ref="J10:K10"/>
    <mergeCell ref="L10:M10"/>
    <mergeCell ref="A12:A47"/>
    <mergeCell ref="B12:B15"/>
    <mergeCell ref="B16:B19"/>
    <mergeCell ref="B20:B23"/>
    <mergeCell ref="B24:B27"/>
    <mergeCell ref="B28:B31"/>
    <mergeCell ref="B32:B35"/>
    <mergeCell ref="B36:B39"/>
    <mergeCell ref="B40:B43"/>
    <mergeCell ref="B44:B47"/>
  </mergeCells>
  <phoneticPr fontId="10"/>
  <pageMargins left="0.23622047244094491" right="0.23622047244094491" top="0.74803149606299213" bottom="0.74803149606299213" header="0.31496062992125984" footer="0.31496062992125984"/>
  <pageSetup paperSize="9" scale="35" fitToHeight="0" orientation="portrait" r:id="rId1"/>
</worksheet>
</file>

<file path=docMetadata/LabelInfo.xml><?xml version="1.0" encoding="utf-8"?>
<clbl:labelList xmlns:clbl="http://schemas.microsoft.com/office/2020/mipLabelMetadata">
  <clbl:label id="{fe7a9aa7-6097-47a2-9163-81d624f8cbfd}" enabled="0" method="" siteId="{fe7a9aa7-6097-47a2-9163-81d624f8cbfd}" actionId="{0dcd7a5e-3c6b-42e7-9601-af5c5122401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summary_data_Futures</vt:lpstr>
      <vt:lpstr>summary_data_OP</vt:lpstr>
      <vt:lpstr>market_data_Futures</vt:lpstr>
      <vt:lpstr>market_data_OP</vt:lpstr>
      <vt:lpstr>market_data_Futures!Print_Area</vt:lpstr>
      <vt:lpstr>market_data_OP!Print_Area</vt:lpstr>
      <vt:lpstr>summary_data_Futures!Print_Area</vt:lpstr>
      <vt:lpstr>summary_data_OP!Print_Area</vt:lpstr>
      <vt:lpstr>market_data_Futures!Print_Titles</vt:lpstr>
      <vt:lpstr>market_data_OP!Print_Titles</vt:lpstr>
      <vt:lpstr>summary_data_Futures!Print_Titles</vt:lpstr>
      <vt:lpstr>summary_data_OP!Print_Titles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2025-08-05T03:55:45Z</cp:lastPrinted>
  <dcterms:modified xsi:type="dcterms:W3CDTF">2025-10-22T02:03:02Z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2022-12-06T08:38:23Z</vt:filetime>
  </property>
  <property fmtid="{D5CDD505-2E9C-101B-9397-08002B2CF9AE}" pid="3" name="MSIP_Label_525b0843-b663-4345-b413-7675981e8467_SiteId">
    <vt:lpwstr>fe7a9aa7-6097-47a2-9163-81d624f8cbfd</vt:lpwstr>
  </property>
  <property fmtid="{D5CDD505-2E9C-101B-9397-08002B2CF9AE}" pid="4" name="MSIP_Label_525b0843-b663-4345-b413-7675981e8467_SetDate">
    <vt:lpwstr>2023-08-21T16:44:08Z</vt:lpwstr>
  </property>
  <property fmtid="{D5CDD505-2E9C-101B-9397-08002B2CF9AE}" pid="5" name="MSIP_Label_525b0843-b663-4345-b413-7675981e8467_Name">
    <vt:lpwstr/>
  </property>
  <property fmtid="{D5CDD505-2E9C-101B-9397-08002B2CF9AE}" pid="6" name="MSIP_Label_525b0843-b663-4345-b413-7675981e8467_Method">
    <vt:lpwstr>Standard</vt:lpwstr>
  </property>
  <property fmtid="{D5CDD505-2E9C-101B-9397-08002B2CF9AE}" pid="7" name="MSIP_Label_525b0843-b663-4345-b413-7675981e8467_Enabled">
    <vt:lpwstr>true</vt:lpwstr>
  </property>
  <property fmtid="{D5CDD505-2E9C-101B-9397-08002B2CF9AE}" pid="8" name="MSIP_Label_525b0843-b663-4345-b413-7675981e8467_ContentBits">
    <vt:lpwstr>8</vt:lpwstr>
  </property>
</Properties>
</file>