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<sst xmlns="http://schemas.openxmlformats.org/spreadsheetml/2006/main" count="528" uniqueCount="129">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</sst>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DATE(2026,07,10)</f>
        <v>46213.0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DATE(2026,07,10)</f>
        <v>46213.0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722606.0</f>
        <v>722606.0</v>
      </c>
      <c r="E12" s="18" t="n">
        <f>34324.0</f>
        <v>34324.0</v>
      </c>
      <c r="F12" s="19" t="n">
        <f>1.0</f>
        <v>1.0</v>
      </c>
      <c r="G12" s="17" t="n">
        <f>5010168216005.0</f>
        <v>5.010168216005E12</v>
      </c>
      <c r="H12" s="18" t="n">
        <f>376857843730.0</f>
        <v>3.7685784373E11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498392.0</f>
        <v>498392.0</v>
      </c>
      <c r="E13" s="22" t="n">
        <f>21708.0</f>
        <v>21708.0</v>
      </c>
      <c r="F13" s="23" t="n">
        <f>1.0</f>
        <v>1.0</v>
      </c>
      <c r="G13" s="21" t="n">
        <f>6970378254730.0</f>
        <v>6.97037825473E12</v>
      </c>
      <c r="H13" s="22" t="n">
        <f>380964660880.0</f>
        <v>3.8096466088E11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529209.0</f>
        <v>529209.0</v>
      </c>
      <c r="E14" s="22" t="n">
        <f>57958.0</f>
        <v>57958.0</v>
      </c>
      <c r="F14" s="23" t="n">
        <f>1.0</f>
        <v>1.0</v>
      </c>
      <c r="G14" s="21" t="n">
        <f>8666193719145.0</f>
        <v>8.666193719145E12</v>
      </c>
      <c r="H14" s="22" t="n">
        <f>2118832554120.0</f>
        <v>2.11883255412E12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1750207.0</f>
        <v>1750207.0</v>
      </c>
      <c r="E15" s="26" t="n">
        <f>113990.0</f>
        <v>113990.0</v>
      </c>
      <c r="F15" s="27" t="n">
        <f>1.0</f>
        <v>1.0</v>
      </c>
      <c r="G15" s="25" t="n">
        <f>20646740189880.0</f>
        <v>2.064674018988E13</v>
      </c>
      <c r="H15" s="26" t="n">
        <f>2876655058730.0</f>
        <v>2.87665505873E12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12062.0</f>
        <v>12062.0</v>
      </c>
      <c r="E16" s="18" t="n">
        <f>256.0</f>
        <v>256.0</v>
      </c>
      <c r="F16" s="19" t="n">
        <f>0.017</f>
        <v>0.017</v>
      </c>
      <c r="G16" s="17" t="n">
        <f>1362320250625.0</f>
        <v>1.362320250625E12</v>
      </c>
      <c r="H16" s="18" t="n">
        <f>32394860000.0</f>
        <v>3.239486E10</v>
      </c>
      <c r="I16" s="19" t="n">
        <f>0.272</f>
        <v>0.272</v>
      </c>
    </row>
    <row r="17" spans="1:9" ht="24.9" customHeight="1">
      <c r="A17" s="41"/>
      <c r="B17" s="39"/>
      <c r="C17" s="20" t="s">
        <v>16</v>
      </c>
      <c r="D17" s="21" t="n">
        <f>29111.0</f>
        <v>29111.0</v>
      </c>
      <c r="E17" s="22" t="n">
        <f>447.0</f>
        <v>447.0</v>
      </c>
      <c r="F17" s="23" t="n">
        <f>0.058</f>
        <v>0.058</v>
      </c>
      <c r="G17" s="21" t="n">
        <f>3597007293750.0</f>
        <v>3.59700729375E12</v>
      </c>
      <c r="H17" s="22" t="n">
        <f>56718090000.0</f>
        <v>5.671809E10</v>
      </c>
      <c r="I17" s="23" t="n">
        <f>0.516</f>
        <v>0.516</v>
      </c>
    </row>
    <row r="18" spans="1:9" ht="24.9" customHeight="1">
      <c r="A18" s="41"/>
      <c r="B18" s="39"/>
      <c r="C18" s="20" t="s">
        <v>17</v>
      </c>
      <c r="D18" s="21" t="n">
        <f>22616.0</f>
        <v>22616.0</v>
      </c>
      <c r="E18" s="22" t="n">
        <f>1416.0</f>
        <v>1416.0</v>
      </c>
      <c r="F18" s="23" t="n">
        <f>0.043</f>
        <v>0.043</v>
      </c>
      <c r="G18" s="21" t="n">
        <f>2796986463625.0</f>
        <v>2.796986463625E12</v>
      </c>
      <c r="H18" s="22" t="n">
        <f>180032050000.0</f>
        <v>1.8003205E11</v>
      </c>
      <c r="I18" s="23" t="n">
        <f>0.323</f>
        <v>0.323</v>
      </c>
    </row>
    <row r="19" spans="1:9" ht="24.9" customHeight="1">
      <c r="A19" s="41"/>
      <c r="B19" s="39"/>
      <c r="C19" s="24" t="s">
        <v>18</v>
      </c>
      <c r="D19" s="25" t="n">
        <f>63789.0</f>
        <v>63789.0</v>
      </c>
      <c r="E19" s="26" t="n">
        <f>2119.0</f>
        <v>2119.0</v>
      </c>
      <c r="F19" s="27" t="n">
        <f>0.036</f>
        <v>0.036</v>
      </c>
      <c r="G19" s="25" t="n">
        <f>7756314008000.0</f>
        <v>7.756314008E12</v>
      </c>
      <c r="H19" s="26" t="n">
        <f>269145000000.0</f>
        <v>2.69145E11</v>
      </c>
      <c r="I19" s="27" t="n">
        <f>0.376</f>
        <v>0.376</v>
      </c>
    </row>
    <row r="20" spans="1:9" ht="24.9" customHeight="1">
      <c r="A20" s="41"/>
      <c r="B20" s="39" t="s">
        <v>21</v>
      </c>
      <c r="C20" s="16" t="s">
        <v>15</v>
      </c>
      <c r="D20" s="17" t="n">
        <f>700584.0</f>
        <v>700584.0</v>
      </c>
      <c r="E20" s="18" t="n">
        <f>34008.0</f>
        <v>34008.0</v>
      </c>
      <c r="F20" s="19" t="n">
        <f>0.97</f>
        <v>0.97</v>
      </c>
      <c r="G20" s="17" t="n">
        <f>3550604545880.0</f>
        <v>3.55060454588E12</v>
      </c>
      <c r="H20" s="18" t="n">
        <f>344430014930.0</f>
        <v>3.4443001493E11</v>
      </c>
      <c r="I20" s="19" t="n">
        <f>0.709</f>
        <v>0.709</v>
      </c>
    </row>
    <row r="21" spans="1:9" ht="24.9" customHeight="1">
      <c r="A21" s="41"/>
      <c r="B21" s="39"/>
      <c r="C21" s="20" t="s">
        <v>16</v>
      </c>
      <c r="D21" s="21" t="n">
        <f>464558.0</f>
        <v>464558.0</v>
      </c>
      <c r="E21" s="22" t="n">
        <f>21261.0</f>
        <v>21261.0</v>
      </c>
      <c r="F21" s="23" t="n">
        <f>0.932</f>
        <v>0.932</v>
      </c>
      <c r="G21" s="21" t="n">
        <f>3332213162330.0</f>
        <v>3.33221316233E12</v>
      </c>
      <c r="H21" s="22" t="n">
        <f>324246570880.0</f>
        <v>3.2424657088E11</v>
      </c>
      <c r="I21" s="23" t="n">
        <f>0.478</f>
        <v>0.478</v>
      </c>
    </row>
    <row r="22" spans="1:9" ht="24.9" customHeight="1">
      <c r="A22" s="41"/>
      <c r="B22" s="39"/>
      <c r="C22" s="20" t="s">
        <v>17</v>
      </c>
      <c r="D22" s="21" t="n">
        <f>497077.0</f>
        <v>497077.0</v>
      </c>
      <c r="E22" s="22" t="n">
        <f>56501.0</f>
        <v>56501.0</v>
      </c>
      <c r="F22" s="23" t="n">
        <f>0.939</f>
        <v>0.939</v>
      </c>
      <c r="G22" s="21" t="n">
        <f>5781714736120.0</f>
        <v>5.78171473612E12</v>
      </c>
      <c r="H22" s="22" t="n">
        <f>1938742412820.0</f>
        <v>1.93874241282E12</v>
      </c>
      <c r="I22" s="23" t="n">
        <f>0.667</f>
        <v>0.667</v>
      </c>
    </row>
    <row r="23" spans="1:9" ht="24.9" customHeight="1">
      <c r="A23" s="41"/>
      <c r="B23" s="39"/>
      <c r="C23" s="24" t="s">
        <v>18</v>
      </c>
      <c r="D23" s="25" t="n">
        <f>1662219.0</f>
        <v>1662219.0</v>
      </c>
      <c r="E23" s="26" t="n">
        <f>111770.0</f>
        <v>111770.0</v>
      </c>
      <c r="F23" s="27" t="n">
        <f>0.95</f>
        <v>0.95</v>
      </c>
      <c r="G23" s="25" t="n">
        <f>12664532444330.0</f>
        <v>1.266453244433E13</v>
      </c>
      <c r="H23" s="26" t="n">
        <f>2607418998630.0</f>
        <v>2.60741899863E12</v>
      </c>
      <c r="I23" s="27" t="n">
        <f>0.613</f>
        <v>0.613</v>
      </c>
    </row>
    <row r="24" spans="1:9" ht="24.9" customHeight="1">
      <c r="A24" s="41"/>
      <c r="B24" s="39" t="s">
        <v>22</v>
      </c>
      <c r="C24" s="16" t="s">
        <v>15</v>
      </c>
      <c r="D24" s="17" t="n">
        <f>8964.0</f>
        <v>8964.0</v>
      </c>
      <c r="E24" s="18" t="n">
        <f>0.0</f>
        <v>0.0</v>
      </c>
      <c r="F24" s="19" t="n">
        <f>0.012</f>
        <v>0.012</v>
      </c>
      <c r="G24" s="17" t="n">
        <f>93775527700.0</f>
        <v>9.37755277E10</v>
      </c>
      <c r="H24" s="18" t="n">
        <f>0.0</f>
        <v>0.0</v>
      </c>
      <c r="I24" s="19" t="n">
        <f>0.019</f>
        <v>0.019</v>
      </c>
    </row>
    <row r="25" spans="1:9" ht="24.9" customHeight="1">
      <c r="A25" s="41"/>
      <c r="B25" s="39"/>
      <c r="C25" s="20" t="s">
        <v>16</v>
      </c>
      <c r="D25" s="21" t="n">
        <f>4533.0</f>
        <v>4533.0</v>
      </c>
      <c r="E25" s="22" t="n">
        <f>0.0</f>
        <v>0.0</v>
      </c>
      <c r="F25" s="23" t="n">
        <f>0.009</f>
        <v>0.009</v>
      </c>
      <c r="G25" s="21" t="n">
        <f>40468166150.0</f>
        <v>4.046816615E10</v>
      </c>
      <c r="H25" s="22" t="n">
        <f>0.0</f>
        <v>0.0</v>
      </c>
      <c r="I25" s="23" t="n">
        <f>0.006</f>
        <v>0.006</v>
      </c>
    </row>
    <row r="26" spans="1:9" ht="24.9" customHeight="1">
      <c r="A26" s="41"/>
      <c r="B26" s="39"/>
      <c r="C26" s="20" t="s">
        <v>17</v>
      </c>
      <c r="D26" s="21" t="n">
        <f>6532.0</f>
        <v>6532.0</v>
      </c>
      <c r="E26" s="22" t="n">
        <f>0.0</f>
        <v>0.0</v>
      </c>
      <c r="F26" s="23" t="n">
        <f>0.012</f>
        <v>0.012</v>
      </c>
      <c r="G26" s="21" t="n">
        <f>76763264100.0</f>
        <v>7.67632641E10</v>
      </c>
      <c r="H26" s="22" t="n">
        <f>0.0</f>
        <v>0.0</v>
      </c>
      <c r="I26" s="23" t="n">
        <f>0.009</f>
        <v>0.009</v>
      </c>
    </row>
    <row r="27" spans="1:9" ht="24.9" customHeight="1">
      <c r="A27" s="42"/>
      <c r="B27" s="39"/>
      <c r="C27" s="24" t="s">
        <v>18</v>
      </c>
      <c r="D27" s="25" t="n">
        <f>20029.0</f>
        <v>20029.0</v>
      </c>
      <c r="E27" s="26" t="n">
        <f>0.0</f>
        <v>0.0</v>
      </c>
      <c r="F27" s="27" t="n">
        <f>0.011</f>
        <v>0.011</v>
      </c>
      <c r="G27" s="25" t="n">
        <f>211006957950.0</f>
        <v>2.1100695795E11</v>
      </c>
      <c r="H27" s="26" t="n">
        <f>0.0</f>
        <v>0.0</v>
      </c>
      <c r="I27" s="27" t="n">
        <f>0.01</f>
        <v>0.01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996.0</f>
        <v>996.0</v>
      </c>
      <c r="E28" s="18" t="n">
        <f>60.0</f>
        <v>60.0</v>
      </c>
      <c r="F28" s="19" t="n">
        <f>0.001</f>
        <v>0.001</v>
      </c>
      <c r="G28" s="17" t="n">
        <f>3467891800.0</f>
        <v>3.4678918E9</v>
      </c>
      <c r="H28" s="18" t="n">
        <f>32968800.0</f>
        <v>3.29688E7</v>
      </c>
      <c r="I28" s="19" t="n">
        <f>0.001</f>
        <v>0.001</v>
      </c>
    </row>
    <row r="29" spans="1:9" ht="24.9" customHeight="1">
      <c r="A29" s="38"/>
      <c r="B29" s="39"/>
      <c r="C29" s="20" t="s">
        <v>16</v>
      </c>
      <c r="D29" s="21" t="n">
        <f>190.0</f>
        <v>190.0</v>
      </c>
      <c r="E29" s="22" t="n">
        <f>0.0</f>
        <v>0.0</v>
      </c>
      <c r="F29" s="23" t="n">
        <f>0.0</f>
        <v>0.0</v>
      </c>
      <c r="G29" s="21" t="n">
        <f>689632500.0</f>
        <v>6.896325E8</v>
      </c>
      <c r="H29" s="22" t="n">
        <f>0.0</f>
        <v>0.0</v>
      </c>
      <c r="I29" s="23" t="n">
        <f>0.0</f>
        <v>0.0</v>
      </c>
    </row>
    <row r="30" spans="1:9" ht="24.9" customHeight="1">
      <c r="A30" s="38"/>
      <c r="B30" s="39"/>
      <c r="C30" s="20" t="s">
        <v>17</v>
      </c>
      <c r="D30" s="21" t="n">
        <f>2984.0</f>
        <v>2984.0</v>
      </c>
      <c r="E30" s="22" t="n">
        <f>41.0</f>
        <v>41.0</v>
      </c>
      <c r="F30" s="23" t="n">
        <f>0.006</f>
        <v>0.006</v>
      </c>
      <c r="G30" s="21" t="n">
        <f>10729255300.0</f>
        <v>1.07292553E10</v>
      </c>
      <c r="H30" s="22" t="n">
        <f>58091300.0</f>
        <v>5.80913E7</v>
      </c>
      <c r="I30" s="23" t="n">
        <f>0.001</f>
        <v>0.001</v>
      </c>
    </row>
    <row r="31" spans="1:9" ht="24.9" customHeight="1">
      <c r="A31" s="38"/>
      <c r="B31" s="39"/>
      <c r="C31" s="24" t="s">
        <v>18</v>
      </c>
      <c r="D31" s="25" t="n">
        <f>4170.0</f>
        <v>4170.0</v>
      </c>
      <c r="E31" s="26" t="n">
        <f>101.0</f>
        <v>101.0</v>
      </c>
      <c r="F31" s="27" t="n">
        <f>0.002</f>
        <v>0.002</v>
      </c>
      <c r="G31" s="25" t="n">
        <f>14886779600.0</f>
        <v>1.48867796E10</v>
      </c>
      <c r="H31" s="26" t="n">
        <f>91060100.0</f>
        <v>9.10601E7</v>
      </c>
      <c r="I31" s="27" t="n">
        <f>0.001</f>
        <v>0.001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46213.0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46213.0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22283</f>
        <v>22283.0</v>
      </c>
      <c r="E11" s="18" t="n">
        <f>3142</f>
        <v>3142.0</v>
      </c>
      <c r="F11" s="19" t="n">
        <f>1</f>
        <v>1.0</v>
      </c>
      <c r="G11" s="17" t="n">
        <f>15816108970</f>
        <v>1.581610897E10</v>
      </c>
      <c r="H11" s="18" t="n">
        <f>11102641870</f>
        <v>1.110264187E10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36844</f>
        <v>36844.0</v>
      </c>
      <c r="E12" s="22" t="n">
        <f>19786</f>
        <v>19786.0</v>
      </c>
      <c r="F12" s="23" t="n">
        <f>1</f>
        <v>1.0</v>
      </c>
      <c r="G12" s="21" t="n">
        <f>9723692156</f>
        <v>9.723692156E9</v>
      </c>
      <c r="H12" s="22" t="n">
        <f>6798078130</f>
        <v>6.79807813E9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44883</f>
        <v>44883.0</v>
      </c>
      <c r="E13" s="22" t="n">
        <f>16506</f>
        <v>16506.0</v>
      </c>
      <c r="F13" s="23" t="n">
        <f>1</f>
        <v>1.0</v>
      </c>
      <c r="G13" s="21" t="n">
        <f>20263384191</f>
        <v>2.0263384191E10</v>
      </c>
      <c r="H13" s="22" t="n">
        <f>14332389712</f>
        <v>1.4332389712E10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104010</f>
        <v>104010.0</v>
      </c>
      <c r="E14" s="26" t="n">
        <f>39434</f>
        <v>39434.0</v>
      </c>
      <c r="F14" s="27" t="n">
        <f>1</f>
        <v>1.0</v>
      </c>
      <c r="G14" s="25" t="n">
        <f>45803185317</f>
        <v>4.5803185317E10</v>
      </c>
      <c r="H14" s="26" t="n">
        <f>32233109712</f>
        <v>3.2233109712E10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15</f>
        <v>15.0</v>
      </c>
      <c r="E15" s="18" t="n">
        <f>0</f>
        <v>0.0</v>
      </c>
      <c r="F15" s="19" t="n">
        <f>0.001</f>
        <v>0.001</v>
      </c>
      <c r="G15" s="17" t="n">
        <f>7500000</f>
        <v>7500000.0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299</f>
        <v>299.0</v>
      </c>
      <c r="E16" s="22" t="n">
        <f>150</f>
        <v>150.0</v>
      </c>
      <c r="F16" s="23" t="n">
        <f>0.008</f>
        <v>0.008</v>
      </c>
      <c r="G16" s="21" t="n">
        <f>49310000</f>
        <v>4.931E7</v>
      </c>
      <c r="H16" s="22" t="n">
        <f>15000000</f>
        <v>1.5E7</v>
      </c>
      <c r="I16" s="23" t="n">
        <f>0.005</f>
        <v>0.005</v>
      </c>
    </row>
    <row r="17" spans="1:9" ht="24.9" customHeight="1">
      <c r="A17" s="41"/>
      <c r="B17" s="39"/>
      <c r="C17" s="20" t="s">
        <v>17</v>
      </c>
      <c r="D17" s="21" t="n">
        <f>346</f>
        <v>346.0</v>
      </c>
      <c r="E17" s="22" t="n">
        <f>170</f>
        <v>170.0</v>
      </c>
      <c r="F17" s="23" t="n">
        <f>0.008</f>
        <v>0.008</v>
      </c>
      <c r="G17" s="21" t="n">
        <f>77820000</f>
        <v>7.782E7</v>
      </c>
      <c r="H17" s="22" t="n">
        <f>44950000</f>
        <v>4.495E7</v>
      </c>
      <c r="I17" s="23" t="n">
        <f>0.004</f>
        <v>0.004</v>
      </c>
    </row>
    <row r="18" spans="1:9" ht="24.9" customHeight="1">
      <c r="A18" s="41"/>
      <c r="B18" s="39"/>
      <c r="C18" s="24" t="s">
        <v>18</v>
      </c>
      <c r="D18" s="25" t="n">
        <f>660</f>
        <v>660.0</v>
      </c>
      <c r="E18" s="26" t="n">
        <f>320</f>
        <v>320.0</v>
      </c>
      <c r="F18" s="27" t="n">
        <f>0.006</f>
        <v>0.006</v>
      </c>
      <c r="G18" s="25" t="n">
        <f>134630000</f>
        <v>1.3463E8</v>
      </c>
      <c r="H18" s="26" t="n">
        <f>59950000</f>
        <v>5.995E7</v>
      </c>
      <c r="I18" s="27" t="n">
        <f>0.003</f>
        <v>0.003</v>
      </c>
    </row>
    <row r="19" spans="1:9" ht="24.9" customHeight="1">
      <c r="A19" s="41"/>
      <c r="B19" s="39" t="s">
        <v>31</v>
      </c>
      <c r="C19" s="16" t="s">
        <v>15</v>
      </c>
      <c r="D19" s="17" t="n">
        <f>22268</f>
        <v>22268.0</v>
      </c>
      <c r="E19" s="18" t="n">
        <f>3142</f>
        <v>3142.0</v>
      </c>
      <c r="F19" s="19" t="n">
        <f>0.999</f>
        <v>0.999</v>
      </c>
      <c r="G19" s="17" t="n">
        <f>15808608970</f>
        <v>1.580860897E10</v>
      </c>
      <c r="H19" s="18" t="n">
        <f>11102641870</f>
        <v>1.110264187E10</v>
      </c>
      <c r="I19" s="19" t="n">
        <f>1</f>
        <v>1.0</v>
      </c>
    </row>
    <row r="20" spans="1:9" ht="24.9" customHeight="1">
      <c r="A20" s="41"/>
      <c r="B20" s="39"/>
      <c r="C20" s="20" t="s">
        <v>16</v>
      </c>
      <c r="D20" s="21" t="n">
        <f>19246</f>
        <v>19246.0</v>
      </c>
      <c r="E20" s="22" t="n">
        <f>6636</f>
        <v>6636.0</v>
      </c>
      <c r="F20" s="23" t="n">
        <f>0.522</f>
        <v>0.522</v>
      </c>
      <c r="G20" s="21" t="n">
        <f>9471453830</f>
        <v>9.47145383E9</v>
      </c>
      <c r="H20" s="22" t="n">
        <f>6673628130</f>
        <v>6.67362813E9</v>
      </c>
      <c r="I20" s="23" t="n">
        <f>0.974</f>
        <v>0.974</v>
      </c>
    </row>
    <row r="21" spans="1:9" ht="24.9" customHeight="1">
      <c r="A21" s="41"/>
      <c r="B21" s="39"/>
      <c r="C21" s="20" t="s">
        <v>17</v>
      </c>
      <c r="D21" s="21" t="n">
        <f>34287</f>
        <v>34287.0</v>
      </c>
      <c r="E21" s="22" t="n">
        <f>15136</f>
        <v>15136.0</v>
      </c>
      <c r="F21" s="23" t="n">
        <f>0.764</f>
        <v>0.764</v>
      </c>
      <c r="G21" s="21" t="n">
        <f>20090042312</f>
        <v>2.0090042312E10</v>
      </c>
      <c r="H21" s="22" t="n">
        <f>14236279712</f>
        <v>1.4236279712E10</v>
      </c>
      <c r="I21" s="23" t="n">
        <f>0.991</f>
        <v>0.991</v>
      </c>
    </row>
    <row r="22" spans="1:9" ht="24.9" customHeight="1">
      <c r="A22" s="41"/>
      <c r="B22" s="39"/>
      <c r="C22" s="24" t="s">
        <v>18</v>
      </c>
      <c r="D22" s="25" t="n">
        <f>75801</f>
        <v>75801.0</v>
      </c>
      <c r="E22" s="26" t="n">
        <f>24914</f>
        <v>24914.0</v>
      </c>
      <c r="F22" s="27" t="n">
        <f>0.729</f>
        <v>0.729</v>
      </c>
      <c r="G22" s="25" t="n">
        <f>45370105112</f>
        <v>4.5370105112E10</v>
      </c>
      <c r="H22" s="26" t="n">
        <f>32012549712</f>
        <v>3.2012549712E10</v>
      </c>
      <c r="I22" s="27" t="n">
        <f>0.991</f>
        <v>0.991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17299</f>
        <v>17299.0</v>
      </c>
      <c r="E24" s="22" t="n">
        <f>13000</f>
        <v>13000.0</v>
      </c>
      <c r="F24" s="23" t="n">
        <f>0.47</f>
        <v>0.47</v>
      </c>
      <c r="G24" s="21" t="n">
        <f>202928326</f>
        <v>2.02928326E8</v>
      </c>
      <c r="H24" s="22" t="n">
        <f>109450000</f>
        <v>1.0945E8</v>
      </c>
      <c r="I24" s="23" t="n">
        <f>0.021</f>
        <v>0.021</v>
      </c>
    </row>
    <row r="25" spans="1:9" ht="24.9" customHeight="1">
      <c r="A25" s="41"/>
      <c r="B25" s="39"/>
      <c r="C25" s="20" t="s">
        <v>17</v>
      </c>
      <c r="D25" s="21" t="n">
        <f>10250</f>
        <v>10250.0</v>
      </c>
      <c r="E25" s="22" t="n">
        <f>1200</f>
        <v>1200.0</v>
      </c>
      <c r="F25" s="23" t="n">
        <f>0.228</f>
        <v>0.228</v>
      </c>
      <c r="G25" s="21" t="n">
        <f>95521879</f>
        <v>9.5521879E7</v>
      </c>
      <c r="H25" s="22" t="n">
        <f>51160000</f>
        <v>5.116E7</v>
      </c>
      <c r="I25" s="23" t="n">
        <f>0.005</f>
        <v>0.005</v>
      </c>
    </row>
    <row r="26" spans="1:9" ht="24.9" customHeight="1">
      <c r="A26" s="41"/>
      <c r="B26" s="39"/>
      <c r="C26" s="24" t="s">
        <v>18</v>
      </c>
      <c r="D26" s="25" t="n">
        <f>27549</f>
        <v>27549.0</v>
      </c>
      <c r="E26" s="26" t="n">
        <f>14200</f>
        <v>14200.0</v>
      </c>
      <c r="F26" s="27" t="n">
        <f>0.265</f>
        <v>0.265</v>
      </c>
      <c r="G26" s="25" t="n">
        <f>298450205</f>
        <v>2.98450205E8</v>
      </c>
      <c r="H26" s="26" t="n">
        <f>160610000</f>
        <v>1.6061E8</v>
      </c>
      <c r="I26" s="27" t="n">
        <f>0.007</f>
        <v>0.007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46213.0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46213.0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12943.0</v>
      </c>
      <c r="F12" s="18" t="n">
        <f>1803</f>
        <v>1803.0</v>
      </c>
      <c r="G12" s="17" t="n">
        <v>8.8530408285E11</v>
      </c>
      <c r="H12" s="18" t="n">
        <f>122845694850</f>
        <v>1.2284569485E11</v>
      </c>
    </row>
    <row r="13" spans="1:8" ht="24.9" customHeight="1">
      <c r="A13" s="51"/>
      <c r="B13" s="57"/>
      <c r="C13" s="39"/>
      <c r="D13" s="20" t="s">
        <v>16</v>
      </c>
      <c r="E13" s="21" t="n">
        <v>15629.0</v>
      </c>
      <c r="F13" s="22" t="n">
        <f>2805</f>
        <v>2805.0</v>
      </c>
      <c r="G13" s="21" t="n">
        <v>1.0792357156E12</v>
      </c>
      <c r="H13" s="22" t="n">
        <f>193765056600</f>
        <v>1.937650566E11</v>
      </c>
    </row>
    <row r="14" spans="1:8" ht="24.9" customHeight="1">
      <c r="A14" s="51"/>
      <c r="B14" s="57"/>
      <c r="C14" s="39"/>
      <c r="D14" s="20" t="s">
        <v>17</v>
      </c>
      <c r="E14" s="21" t="n">
        <v>20850.0</v>
      </c>
      <c r="F14" s="22" t="n">
        <f>7288</f>
        <v>7288.0</v>
      </c>
      <c r="G14" s="21" t="n">
        <v>1.43665662391E12</v>
      </c>
      <c r="H14" s="22" t="n">
        <f>501850108910</f>
        <v>5.0185010891E11</v>
      </c>
    </row>
    <row r="15" spans="1:8" ht="24.9" customHeight="1">
      <c r="A15" s="51"/>
      <c r="B15" s="57"/>
      <c r="C15" s="39"/>
      <c r="D15" s="24" t="s">
        <v>18</v>
      </c>
      <c r="E15" s="25" t="n">
        <v>49422.0</v>
      </c>
      <c r="F15" s="26" t="n">
        <f>11896</f>
        <v>11896.0</v>
      </c>
      <c r="G15" s="25" t="n">
        <v>3.40119642236E12</v>
      </c>
      <c r="H15" s="26" t="n">
        <f>818460860360</f>
        <v>8.1846086036E11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255500.0</v>
      </c>
      <c r="F16" s="18" t="n">
        <f>31627</f>
        <v>31627.0</v>
      </c>
      <c r="G16" s="17" t="n">
        <v>1.74827939055E12</v>
      </c>
      <c r="H16" s="18" t="n">
        <f>216248786050</f>
        <v>2.1624878605E11</v>
      </c>
    </row>
    <row r="17" spans="1:8" ht="24.9" customHeight="1">
      <c r="A17" s="51"/>
      <c r="B17" s="57"/>
      <c r="C17" s="39"/>
      <c r="D17" s="20" t="s">
        <v>16</v>
      </c>
      <c r="E17" s="21" t="n">
        <v>192443.0</v>
      </c>
      <c r="F17" s="22" t="n">
        <f>18033</f>
        <v>18033.0</v>
      </c>
      <c r="G17" s="21" t="n">
        <v>1.32847242958E12</v>
      </c>
      <c r="H17" s="22" t="n">
        <f>124484732580</f>
        <v>1.2448473258E11</v>
      </c>
    </row>
    <row r="18" spans="1:8" ht="24.9" customHeight="1">
      <c r="A18" s="51"/>
      <c r="B18" s="57"/>
      <c r="C18" s="39"/>
      <c r="D18" s="20" t="s">
        <v>17</v>
      </c>
      <c r="E18" s="21" t="n">
        <v>179050.0</v>
      </c>
      <c r="F18" s="22" t="n">
        <f>14123</f>
        <v>14123.0</v>
      </c>
      <c r="G18" s="21" t="n">
        <v>1.23489542768E12</v>
      </c>
      <c r="H18" s="22" t="n">
        <f>97445803180</f>
        <v>9.744580318E10</v>
      </c>
    </row>
    <row r="19" spans="1:8" ht="24.9" customHeight="1">
      <c r="A19" s="51"/>
      <c r="B19" s="57"/>
      <c r="C19" s="39"/>
      <c r="D19" s="24" t="s">
        <v>18</v>
      </c>
      <c r="E19" s="25" t="n">
        <v>626993.0</v>
      </c>
      <c r="F19" s="26" t="n">
        <f>63783</f>
        <v>63783.0</v>
      </c>
      <c r="G19" s="25" t="n">
        <v>4.31164724781E12</v>
      </c>
      <c r="H19" s="26" t="n">
        <f>438179321810</f>
        <v>4.3817932181E11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410926.0</v>
      </c>
      <c r="F20" s="18" t="str">
        <f>"－"</f>
        <v>－</v>
      </c>
      <c r="G20" s="17" t="n">
        <v>2.8103964E11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229084.0</v>
      </c>
      <c r="F21" s="22" t="str">
        <f>"－"</f>
        <v>－</v>
      </c>
      <c r="G21" s="21" t="n">
        <v>1.581254068E11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212224.0</v>
      </c>
      <c r="F22" s="22" t="str">
        <f>"－"</f>
        <v>－</v>
      </c>
      <c r="G22" s="21" t="n">
        <v>1.464061171E11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852234.0</v>
      </c>
      <c r="F23" s="26" t="str">
        <f>"－"</f>
        <v>－</v>
      </c>
      <c r="G23" s="25" t="n">
        <v>5.855711639E11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15264.0</v>
      </c>
      <c r="F24" s="18" t="n">
        <f>84</f>
        <v>84.0</v>
      </c>
      <c r="G24" s="17" t="n">
        <v>6.157517798E11</v>
      </c>
      <c r="H24" s="18" t="n">
        <f>3381264800</f>
        <v>3.3812648E9</v>
      </c>
    </row>
    <row r="25" spans="1:8" ht="24.9" customHeight="1">
      <c r="A25" s="51"/>
      <c r="B25" s="57"/>
      <c r="C25" s="39"/>
      <c r="D25" s="20" t="s">
        <v>16</v>
      </c>
      <c r="E25" s="21" t="n">
        <v>18042.0</v>
      </c>
      <c r="F25" s="22" t="n">
        <f>120</f>
        <v>120.0</v>
      </c>
      <c r="G25" s="21" t="n">
        <v>7.32180359E11</v>
      </c>
      <c r="H25" s="22" t="n">
        <f>4873999000</f>
        <v>4.873999E9</v>
      </c>
    </row>
    <row r="26" spans="1:8" ht="24.9" customHeight="1">
      <c r="A26" s="51"/>
      <c r="B26" s="57"/>
      <c r="C26" s="39"/>
      <c r="D26" s="20" t="s">
        <v>17</v>
      </c>
      <c r="E26" s="21" t="n">
        <v>72035.0</v>
      </c>
      <c r="F26" s="22" t="n">
        <f>32915</f>
        <v>32915.0</v>
      </c>
      <c r="G26" s="21" t="n">
        <v>2.9173515224E12</v>
      </c>
      <c r="H26" s="22" t="n">
        <f>1331466752400</f>
        <v>1.3314667524E12</v>
      </c>
    </row>
    <row r="27" spans="1:8" ht="24.9" customHeight="1">
      <c r="A27" s="51"/>
      <c r="B27" s="57"/>
      <c r="C27" s="39"/>
      <c r="D27" s="24" t="s">
        <v>18</v>
      </c>
      <c r="E27" s="25" t="n">
        <v>105341.0</v>
      </c>
      <c r="F27" s="26" t="n">
        <f>33119</f>
        <v>33119.0</v>
      </c>
      <c r="G27" s="25" t="n">
        <v>4.2652836612E12</v>
      </c>
      <c r="H27" s="26" t="n">
        <f>1339722016200</f>
        <v>1.3397220162E12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4309.0</v>
      </c>
      <c r="F28" s="18" t="n">
        <f>454</f>
        <v>454.0</v>
      </c>
      <c r="G28" s="17" t="n">
        <v>1.73694053E10</v>
      </c>
      <c r="H28" s="18" t="n">
        <f>1827236550</f>
        <v>1.82723655E9</v>
      </c>
    </row>
    <row r="29" spans="1:8" ht="24.9" customHeight="1">
      <c r="A29" s="51"/>
      <c r="B29" s="57"/>
      <c r="C29" s="39"/>
      <c r="D29" s="20" t="s">
        <v>16</v>
      </c>
      <c r="E29" s="21" t="n">
        <v>7053.0</v>
      </c>
      <c r="F29" s="22" t="n">
        <f>269</f>
        <v>269.0</v>
      </c>
      <c r="G29" s="21" t="n">
        <v>2.861832315E10</v>
      </c>
      <c r="H29" s="22" t="n">
        <f>1091284900</f>
        <v>1.0912849E9</v>
      </c>
    </row>
    <row r="30" spans="1:8" ht="24.9" customHeight="1">
      <c r="A30" s="51"/>
      <c r="B30" s="57"/>
      <c r="C30" s="39"/>
      <c r="D30" s="20" t="s">
        <v>17</v>
      </c>
      <c r="E30" s="21" t="n">
        <v>8043.0</v>
      </c>
      <c r="F30" s="22" t="n">
        <f>264</f>
        <v>264.0</v>
      </c>
      <c r="G30" s="21" t="n">
        <v>3.260529032E10</v>
      </c>
      <c r="H30" s="22" t="n">
        <f>1070485820</f>
        <v>1.07048582E9</v>
      </c>
    </row>
    <row r="31" spans="1:8" ht="24.9" customHeight="1">
      <c r="A31" s="51"/>
      <c r="B31" s="57"/>
      <c r="C31" s="39"/>
      <c r="D31" s="24" t="s">
        <v>18</v>
      </c>
      <c r="E31" s="25" t="n">
        <v>19405.0</v>
      </c>
      <c r="F31" s="26" t="n">
        <f>987</f>
        <v>987.0</v>
      </c>
      <c r="G31" s="25" t="n">
        <v>7.859301877E10</v>
      </c>
      <c r="H31" s="26" t="n">
        <f>3989007270</f>
        <v>3.98900727E9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372.0</v>
      </c>
      <c r="F36" s="18" t="n">
        <f>29</f>
        <v>29.0</v>
      </c>
      <c r="G36" s="17" t="n">
        <v>1.357588E9</v>
      </c>
      <c r="H36" s="18" t="n">
        <f>105589000</f>
        <v>1.05589E8</v>
      </c>
    </row>
    <row r="37" spans="1:8" ht="24.9" customHeight="1">
      <c r="A37" s="51"/>
      <c r="B37" s="57"/>
      <c r="C37" s="39"/>
      <c r="D37" s="20" t="s">
        <v>16</v>
      </c>
      <c r="E37" s="21" t="n">
        <v>1130.0</v>
      </c>
      <c r="F37" s="22" t="n">
        <f>1</f>
        <v>1.0</v>
      </c>
      <c r="G37" s="21" t="n">
        <v>4.1519765E9</v>
      </c>
      <c r="H37" s="22" t="n">
        <f>3680000</f>
        <v>3680000.0</v>
      </c>
    </row>
    <row r="38" spans="1:8" ht="24.9" customHeight="1">
      <c r="A38" s="51"/>
      <c r="B38" s="57"/>
      <c r="C38" s="39"/>
      <c r="D38" s="20" t="s">
        <v>17</v>
      </c>
      <c r="E38" s="21" t="n">
        <v>3159.0</v>
      </c>
      <c r="F38" s="22" t="n">
        <f>1880</f>
        <v>1880.0</v>
      </c>
      <c r="G38" s="21" t="n">
        <v>1.158420135E10</v>
      </c>
      <c r="H38" s="22" t="n">
        <f>6887186850</f>
        <v>6.88718685E9</v>
      </c>
    </row>
    <row r="39" spans="1:8" ht="24.9" customHeight="1">
      <c r="A39" s="51"/>
      <c r="B39" s="57"/>
      <c r="C39" s="39"/>
      <c r="D39" s="24" t="s">
        <v>18</v>
      </c>
      <c r="E39" s="25" t="n">
        <v>4661.0</v>
      </c>
      <c r="F39" s="26" t="n">
        <f>1910</f>
        <v>1910.0</v>
      </c>
      <c r="G39" s="25" t="n">
        <v>1.709376585E10</v>
      </c>
      <c r="H39" s="26" t="n">
        <f>6996455850</f>
        <v>6.99645585E9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0.0</v>
      </c>
      <c r="F46" s="22" t="n">
        <f>0</f>
        <v>0.0</v>
      </c>
      <c r="G46" s="21" t="n">
        <v>0.0</v>
      </c>
      <c r="H46" s="22" t="n">
        <f>0</f>
        <v>0.0</v>
      </c>
    </row>
    <row r="47" spans="1:8" ht="24.9" customHeight="1">
      <c r="A47" s="51"/>
      <c r="B47" s="57"/>
      <c r="C47" s="39"/>
      <c r="D47" s="24" t="s">
        <v>18</v>
      </c>
      <c r="E47" s="25" t="n">
        <v>0.0</v>
      </c>
      <c r="F47" s="26" t="n">
        <f>0</f>
        <v>0.0</v>
      </c>
      <c r="G47" s="25" t="n">
        <v>0.0</v>
      </c>
      <c r="H47" s="26" t="n">
        <f>0</f>
        <v>0.0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0.0</v>
      </c>
      <c r="F48" s="18" t="n">
        <f>0</f>
        <v>0.0</v>
      </c>
      <c r="G48" s="17" t="n">
        <v>0.0</v>
      </c>
      <c r="H48" s="18" t="n">
        <f>0</f>
        <v>0.0</v>
      </c>
    </row>
    <row r="49" spans="1:8" ht="24.9" customHeight="1">
      <c r="A49" s="51"/>
      <c r="B49" s="57"/>
      <c r="C49" s="39"/>
      <c r="D49" s="20" t="s">
        <v>16</v>
      </c>
      <c r="E49" s="21" t="n">
        <v>48.0</v>
      </c>
      <c r="F49" s="22" t="n">
        <f>0</f>
        <v>0.0</v>
      </c>
      <c r="G49" s="21" t="n">
        <v>8.69355E7</v>
      </c>
      <c r="H49" s="22" t="n">
        <f>0</f>
        <v>0.0</v>
      </c>
    </row>
    <row r="50" spans="1:8" ht="24.9" customHeight="1">
      <c r="A50" s="51"/>
      <c r="B50" s="57"/>
      <c r="C50" s="39"/>
      <c r="D50" s="20" t="s">
        <v>17</v>
      </c>
      <c r="E50" s="21" t="n">
        <v>91.0</v>
      </c>
      <c r="F50" s="22" t="n">
        <f>0</f>
        <v>0.0</v>
      </c>
      <c r="G50" s="21" t="n">
        <v>1.64817E8</v>
      </c>
      <c r="H50" s="22" t="n">
        <f>0</f>
        <v>0.0</v>
      </c>
    </row>
    <row r="51" spans="1:8" ht="24.9" customHeight="1">
      <c r="A51" s="51"/>
      <c r="B51" s="57"/>
      <c r="C51" s="39"/>
      <c r="D51" s="24" t="s">
        <v>18</v>
      </c>
      <c r="E51" s="25" t="n">
        <v>139.0</v>
      </c>
      <c r="F51" s="26" t="n">
        <f>0</f>
        <v>0.0</v>
      </c>
      <c r="G51" s="25" t="n">
        <v>2.517525E8</v>
      </c>
      <c r="H51" s="26" t="n">
        <f>0</f>
        <v>0.0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1031.0</v>
      </c>
      <c r="F56" s="18" t="n">
        <f>8</f>
        <v>8.0</v>
      </c>
      <c r="G56" s="17" t="n">
        <v>7.27425E8</v>
      </c>
      <c r="H56" s="18" t="n">
        <f>5650000</f>
        <v>5650000.0</v>
      </c>
    </row>
    <row r="57" spans="1:8" ht="24.9" customHeight="1">
      <c r="A57" s="51"/>
      <c r="B57" s="57"/>
      <c r="C57" s="39"/>
      <c r="D57" s="20" t="s">
        <v>16</v>
      </c>
      <c r="E57" s="21" t="n">
        <v>790.0</v>
      </c>
      <c r="F57" s="22" t="n">
        <f>32</f>
        <v>32.0</v>
      </c>
      <c r="G57" s="21" t="n">
        <v>5.564739E8</v>
      </c>
      <c r="H57" s="22" t="n">
        <f>22544900</f>
        <v>2.25449E7</v>
      </c>
    </row>
    <row r="58" spans="1:8" ht="24.9" customHeight="1">
      <c r="A58" s="51"/>
      <c r="B58" s="57"/>
      <c r="C58" s="39"/>
      <c r="D58" s="20" t="s">
        <v>17</v>
      </c>
      <c r="E58" s="21" t="n">
        <v>1109.0</v>
      </c>
      <c r="F58" s="22" t="n">
        <f>31</f>
        <v>31.0</v>
      </c>
      <c r="G58" s="21" t="n">
        <v>7.8779966E8</v>
      </c>
      <c r="H58" s="22" t="n">
        <f>22075660</f>
        <v>2.207566E7</v>
      </c>
    </row>
    <row r="59" spans="1:8" ht="24.9" customHeight="1">
      <c r="A59" s="51"/>
      <c r="B59" s="57"/>
      <c r="C59" s="39"/>
      <c r="D59" s="24" t="s">
        <v>18</v>
      </c>
      <c r="E59" s="25" t="n">
        <v>2930.0</v>
      </c>
      <c r="F59" s="26" t="n">
        <f>71</f>
        <v>71.0</v>
      </c>
      <c r="G59" s="25" t="n">
        <v>2.07169856E9</v>
      </c>
      <c r="H59" s="26" t="n">
        <f>50270560</f>
        <v>5.027056E7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83.0</v>
      </c>
      <c r="F60" s="18" t="n">
        <f>3</f>
        <v>3.0</v>
      </c>
      <c r="G60" s="17" t="n">
        <v>4.3734248E8</v>
      </c>
      <c r="H60" s="18" t="n">
        <f>15793680</f>
        <v>1.579368E7</v>
      </c>
    </row>
    <row r="61" spans="1:8" ht="24.9" customHeight="1">
      <c r="A61" s="51"/>
      <c r="B61" s="57"/>
      <c r="C61" s="39"/>
      <c r="D61" s="20" t="s">
        <v>16</v>
      </c>
      <c r="E61" s="21" t="n">
        <v>5.0</v>
      </c>
      <c r="F61" s="22" t="n">
        <f>1</f>
        <v>1.0</v>
      </c>
      <c r="G61" s="21" t="n">
        <v>2.63657E7</v>
      </c>
      <c r="H61" s="22" t="n">
        <f>5272900</f>
        <v>5272900.0</v>
      </c>
    </row>
    <row r="62" spans="1:8" ht="24.9" customHeight="1">
      <c r="A62" s="51"/>
      <c r="B62" s="57"/>
      <c r="C62" s="39"/>
      <c r="D62" s="20" t="s">
        <v>17</v>
      </c>
      <c r="E62" s="21" t="n">
        <v>46.0</v>
      </c>
      <c r="F62" s="22" t="n">
        <f>0</f>
        <v>0.0</v>
      </c>
      <c r="G62" s="21" t="n">
        <v>2.425452E8</v>
      </c>
      <c r="H62" s="22" t="n">
        <f>0</f>
        <v>0.0</v>
      </c>
    </row>
    <row r="63" spans="1:8" ht="24.9" customHeight="1">
      <c r="A63" s="51"/>
      <c r="B63" s="57"/>
      <c r="C63" s="39"/>
      <c r="D63" s="24" t="s">
        <v>18</v>
      </c>
      <c r="E63" s="25" t="n">
        <v>134.0</v>
      </c>
      <c r="F63" s="26" t="n">
        <f>4</f>
        <v>4.0</v>
      </c>
      <c r="G63" s="25" t="n">
        <v>7.0625338E8</v>
      </c>
      <c r="H63" s="26" t="n">
        <f>21066580</f>
        <v>2.106658E7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0.0</v>
      </c>
      <c r="F73" s="22" t="n">
        <f>0</f>
        <v>0.0</v>
      </c>
      <c r="G73" s="21" t="n">
        <v>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0.0</v>
      </c>
      <c r="F75" s="26" t="n">
        <f>0</f>
        <v>0.0</v>
      </c>
      <c r="G75" s="25" t="n">
        <v>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1.0</v>
      </c>
      <c r="F76" s="18" t="n">
        <f>0</f>
        <v>0.0</v>
      </c>
      <c r="G76" s="17" t="n">
        <v>382000.0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12.0</v>
      </c>
      <c r="F77" s="22" t="n">
        <f>0</f>
        <v>0.0</v>
      </c>
      <c r="G77" s="21" t="n">
        <v>4537500.0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14.0</v>
      </c>
      <c r="F78" s="22" t="n">
        <f>0</f>
        <v>0.0</v>
      </c>
      <c r="G78" s="21" t="n">
        <v>5175500.0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27.0</v>
      </c>
      <c r="F79" s="26" t="n">
        <f>0</f>
        <v>0.0</v>
      </c>
      <c r="G79" s="25" t="n">
        <v>1.0095E7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42.0</v>
      </c>
      <c r="F92" s="18" t="n">
        <f>0</f>
        <v>0.0</v>
      </c>
      <c r="G92" s="17" t="n">
        <v>6.783E7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16.0</v>
      </c>
      <c r="F93" s="22" t="n">
        <f>0</f>
        <v>0.0</v>
      </c>
      <c r="G93" s="21" t="n">
        <v>2.57541E7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63.0</v>
      </c>
      <c r="F94" s="22" t="n">
        <f>0</f>
        <v>0.0</v>
      </c>
      <c r="G94" s="21" t="n">
        <v>1.012147E8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121.0</v>
      </c>
      <c r="F95" s="26" t="n">
        <f>0</f>
        <v>0.0</v>
      </c>
      <c r="G95" s="25" t="n">
        <v>1.947988E8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113.0</v>
      </c>
      <c r="F96" s="18" t="n">
        <f>0</f>
        <v>0.0</v>
      </c>
      <c r="G96" s="17" t="n">
        <v>2.696799E8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306.0</v>
      </c>
      <c r="F97" s="22" t="n">
        <f>0</f>
        <v>0.0</v>
      </c>
      <c r="G97" s="21" t="n">
        <v>7.28885E8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353.0</v>
      </c>
      <c r="F98" s="22" t="n">
        <f>0</f>
        <v>0.0</v>
      </c>
      <c r="G98" s="21" t="n">
        <v>8.401983E8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772.0</v>
      </c>
      <c r="F99" s="26" t="n">
        <f>0</f>
        <v>0.0</v>
      </c>
      <c r="G99" s="25" t="n">
        <v>1.8387632E9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0.0</v>
      </c>
      <c r="F100" s="18" t="n">
        <f>0</f>
        <v>0.0</v>
      </c>
      <c r="G100" s="17" t="n">
        <v>0.0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0.0</v>
      </c>
      <c r="F101" s="22" t="n">
        <f>0</f>
        <v>0.0</v>
      </c>
      <c r="G101" s="21" t="n">
        <v>0.0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40.0</v>
      </c>
      <c r="F102" s="22" t="n">
        <f>0</f>
        <v>0.0</v>
      </c>
      <c r="G102" s="21" t="n">
        <v>7.3803E7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40.0</v>
      </c>
      <c r="F103" s="26" t="n">
        <f>0</f>
        <v>0.0</v>
      </c>
      <c r="G103" s="25" t="n">
        <v>7.3803E7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10444.0</v>
      </c>
      <c r="F108" s="18" t="n">
        <f>256</f>
        <v>256.0</v>
      </c>
      <c r="G108" s="17" t="n">
        <v>1.32234009E12</v>
      </c>
      <c r="H108" s="18" t="n">
        <f>32394860000</f>
        <v>3.239486E10</v>
      </c>
    </row>
    <row r="109" spans="1:8" ht="24.9" customHeight="1">
      <c r="A109" s="51"/>
      <c r="B109" s="57"/>
      <c r="C109" s="39"/>
      <c r="D109" s="20" t="s">
        <v>16</v>
      </c>
      <c r="E109" s="21" t="n">
        <v>28150.0</v>
      </c>
      <c r="F109" s="22" t="n">
        <f>447</f>
        <v>447.0</v>
      </c>
      <c r="G109" s="21" t="n">
        <v>3.57330857E12</v>
      </c>
      <c r="H109" s="22" t="n">
        <f>56718090000</f>
        <v>5.671809E10</v>
      </c>
    </row>
    <row r="110" spans="1:8" ht="24.9" customHeight="1">
      <c r="A110" s="51"/>
      <c r="B110" s="57"/>
      <c r="C110" s="39"/>
      <c r="D110" s="20" t="s">
        <v>17</v>
      </c>
      <c r="E110" s="21" t="n">
        <v>21837.0</v>
      </c>
      <c r="F110" s="22" t="n">
        <f>1416</f>
        <v>1416.0</v>
      </c>
      <c r="G110" s="21" t="n">
        <v>2.77778085E12</v>
      </c>
      <c r="H110" s="22" t="n">
        <f>180032050000</f>
        <v>1.8003205E11</v>
      </c>
    </row>
    <row r="111" spans="1:8" ht="24.9" customHeight="1">
      <c r="A111" s="51"/>
      <c r="B111" s="57"/>
      <c r="C111" s="39"/>
      <c r="D111" s="24" t="s">
        <v>18</v>
      </c>
      <c r="E111" s="25" t="n">
        <v>60431.0</v>
      </c>
      <c r="F111" s="26" t="n">
        <f>2119</f>
        <v>2119.0</v>
      </c>
      <c r="G111" s="25" t="n">
        <v>7.67342951E12</v>
      </c>
      <c r="H111" s="26" t="n">
        <f>269145000000</f>
        <v>2.69145E11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1.0</v>
      </c>
      <c r="F112" s="18" t="n">
        <f>0</f>
        <v>0.0</v>
      </c>
      <c r="G112" s="17" t="n">
        <v>1.272E7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2.0</v>
      </c>
      <c r="F113" s="22" t="n">
        <f>0</f>
        <v>0.0</v>
      </c>
      <c r="G113" s="21" t="n">
        <v>2.5405E7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1.0</v>
      </c>
      <c r="F114" s="22" t="n">
        <f>0</f>
        <v>0.0</v>
      </c>
      <c r="G114" s="21" t="n">
        <v>1.2723E7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4.0</v>
      </c>
      <c r="F115" s="26" t="n">
        <f>0</f>
        <v>0.0</v>
      </c>
      <c r="G115" s="25" t="n">
        <v>5.0848E7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0.0</v>
      </c>
      <c r="F117" s="22" t="n">
        <f>0</f>
        <v>0.0</v>
      </c>
      <c r="G117" s="21" t="n">
        <v>0.0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0.0</v>
      </c>
      <c r="F118" s="22" t="n">
        <f>0</f>
        <v>0.0</v>
      </c>
      <c r="G118" s="21" t="n">
        <v>0.0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0.0</v>
      </c>
      <c r="F119" s="26" t="n">
        <f>0</f>
        <v>0.0</v>
      </c>
      <c r="G119" s="25" t="n">
        <v>0.0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1617.0</v>
      </c>
      <c r="F120" s="18" t="n">
        <f>0</f>
        <v>0.0</v>
      </c>
      <c r="G120" s="17" t="n">
        <v>3.9967440625E10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959.0</v>
      </c>
      <c r="F121" s="22" t="n">
        <f>0</f>
        <v>0.0</v>
      </c>
      <c r="G121" s="21" t="n">
        <v>2.367331875E10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778.0</v>
      </c>
      <c r="F122" s="22" t="n">
        <f>0</f>
        <v>0.0</v>
      </c>
      <c r="G122" s="21" t="n">
        <v>1.9192890625E10</v>
      </c>
      <c r="H122" s="22" t="n">
        <f>0</f>
        <v>0.0</v>
      </c>
    </row>
    <row r="123" spans="1:8" ht="24.9" customHeight="1">
      <c r="A123" s="51"/>
      <c r="B123" s="55"/>
      <c r="C123" s="39"/>
      <c r="D123" s="24" t="s">
        <v>18</v>
      </c>
      <c r="E123" s="25" t="n">
        <v>3354.0</v>
      </c>
      <c r="F123" s="26" t="n">
        <f>0</f>
        <v>0.0</v>
      </c>
      <c r="G123" s="25" t="n">
        <v>8.283365E10</v>
      </c>
      <c r="H123" s="26" t="n">
        <f>0</f>
        <v>0.0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3700.0</v>
      </c>
      <c r="F124" s="18" t="n">
        <f>0</f>
        <v>0.0</v>
      </c>
      <c r="G124" s="17" t="n">
        <v>8.1317169E10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1531.0</v>
      </c>
      <c r="F125" s="22" t="n">
        <f>0</f>
        <v>0.0</v>
      </c>
      <c r="G125" s="21" t="n">
        <v>3.3616918E10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3169.0</v>
      </c>
      <c r="F126" s="22" t="n">
        <f>0</f>
        <v>0.0</v>
      </c>
      <c r="G126" s="21" t="n">
        <v>6.9270986E10</v>
      </c>
      <c r="H126" s="22" t="n">
        <f>0</f>
        <v>0.0</v>
      </c>
    </row>
    <row r="127" spans="1:8" ht="24.9" customHeight="1">
      <c r="A127" s="51"/>
      <c r="B127" s="57"/>
      <c r="C127" s="39"/>
      <c r="D127" s="24" t="s">
        <v>18</v>
      </c>
      <c r="E127" s="25" t="n">
        <v>8400.0</v>
      </c>
      <c r="F127" s="26" t="n">
        <f>0</f>
        <v>0.0</v>
      </c>
      <c r="G127" s="25" t="n">
        <v>1.84205073E11</v>
      </c>
      <c r="H127" s="26" t="n">
        <f>0</f>
        <v>0.0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95.0</v>
      </c>
      <c r="F128" s="18" t="n">
        <f>0</f>
        <v>0.0</v>
      </c>
      <c r="G128" s="17" t="n">
        <v>2.07673E8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20.0</v>
      </c>
      <c r="F129" s="22" t="n">
        <f>0</f>
        <v>0.0</v>
      </c>
      <c r="G129" s="21" t="n">
        <v>4.37285E7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39.0</v>
      </c>
      <c r="F130" s="22" t="n">
        <f>0</f>
        <v>0.0</v>
      </c>
      <c r="G130" s="21" t="n">
        <v>8.49437E7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154.0</v>
      </c>
      <c r="F131" s="26" t="n">
        <f>0</f>
        <v>0.0</v>
      </c>
      <c r="G131" s="25" t="n">
        <v>3.363452E8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3539.0</v>
      </c>
      <c r="F132" s="18" t="n">
        <f>0</f>
        <v>0.0</v>
      </c>
      <c r="G132" s="17" t="n">
        <v>7.7789145E9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1735.0</v>
      </c>
      <c r="F133" s="22" t="n">
        <f>0</f>
        <v>0.0</v>
      </c>
      <c r="G133" s="21" t="n">
        <v>3.8109787E9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1496.0</v>
      </c>
      <c r="F134" s="22" t="n">
        <f>0</f>
        <v>0.0</v>
      </c>
      <c r="G134" s="21" t="n">
        <v>3.2766181E9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6770.0</v>
      </c>
      <c r="F135" s="26" t="n">
        <f>0</f>
        <v>0.0</v>
      </c>
      <c r="G135" s="25" t="n">
        <v>1.48665113E10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60.0</v>
      </c>
      <c r="F136" s="18" t="n">
        <f>0</f>
        <v>0.0</v>
      </c>
      <c r="G136" s="17" t="n">
        <v>1.30443E8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11.0</v>
      </c>
      <c r="F137" s="22" t="n">
        <f>0</f>
        <v>0.0</v>
      </c>
      <c r="G137" s="21" t="n">
        <v>2.39044E7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25.0</v>
      </c>
      <c r="F138" s="22" t="n">
        <f>0</f>
        <v>0.0</v>
      </c>
      <c r="G138" s="21" t="n">
        <v>5.41707E7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96.0</v>
      </c>
      <c r="F139" s="26" t="n">
        <f>0</f>
        <v>0.0</v>
      </c>
      <c r="G139" s="25" t="n">
        <v>2.085181E8</v>
      </c>
      <c r="H139" s="26" t="n">
        <f>0</f>
        <v>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0.0</v>
      </c>
      <c r="F140" s="18" t="n">
        <f>0</f>
        <v>0.0</v>
      </c>
      <c r="G140" s="17" t="n">
        <v>0.0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0.0</v>
      </c>
      <c r="F141" s="22" t="n">
        <f>0</f>
        <v>0.0</v>
      </c>
      <c r="G141" s="21" t="n">
        <v>0.0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0.0</v>
      </c>
      <c r="F142" s="22" t="n">
        <f>0</f>
        <v>0.0</v>
      </c>
      <c r="G142" s="21" t="n">
        <v>0.0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0.0</v>
      </c>
      <c r="F143" s="26" t="n">
        <f>0</f>
        <v>0.0</v>
      </c>
      <c r="G143" s="25" t="n">
        <v>0.0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739.0</v>
      </c>
      <c r="F144" s="18" t="n">
        <f>0</f>
        <v>0.0</v>
      </c>
      <c r="G144" s="17" t="n">
        <v>3.0337675E9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526.0</v>
      </c>
      <c r="F145" s="22" t="n">
        <f>0</f>
        <v>0.0</v>
      </c>
      <c r="G145" s="21" t="n">
        <v>2.1528735E9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674.0</v>
      </c>
      <c r="F146" s="22" t="n">
        <f>0</f>
        <v>0.0</v>
      </c>
      <c r="G146" s="21" t="n">
        <v>2.7841185E9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1939.0</v>
      </c>
      <c r="F147" s="26" t="n">
        <f>0</f>
        <v>0.0</v>
      </c>
      <c r="G147" s="25" t="n">
        <v>7.9707595E9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1.0</v>
      </c>
      <c r="F148" s="18" t="n">
        <f>0</f>
        <v>0.0</v>
      </c>
      <c r="G148" s="17" t="n">
        <v>838700.0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99.0</v>
      </c>
      <c r="F149" s="22" t="n">
        <f>0</f>
        <v>0.0</v>
      </c>
      <c r="G149" s="21" t="n">
        <v>8.3384E7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119.0</v>
      </c>
      <c r="F150" s="22" t="n">
        <f>0</f>
        <v>0.0</v>
      </c>
      <c r="G150" s="21" t="n">
        <v>1.009122E8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219.0</v>
      </c>
      <c r="F151" s="26" t="n">
        <f>0</f>
        <v>0.0</v>
      </c>
      <c r="G151" s="25" t="n">
        <v>1.851349E8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296.0</v>
      </c>
      <c r="F152" s="18" t="n">
        <f>0</f>
        <v>0.0</v>
      </c>
      <c r="G152" s="17" t="n">
        <v>2.417916E8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189.0</v>
      </c>
      <c r="F153" s="22" t="n">
        <f>0</f>
        <v>0.0</v>
      </c>
      <c r="G153" s="21" t="n">
        <v>1.5456105E8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233.0</v>
      </c>
      <c r="F154" s="22" t="n">
        <f>0</f>
        <v>0.0</v>
      </c>
      <c r="G154" s="21" t="n">
        <v>1.918474E8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718.0</v>
      </c>
      <c r="F155" s="26" t="n">
        <f>0</f>
        <v>0.0</v>
      </c>
      <c r="G155" s="25" t="n">
        <v>5.8820005E8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31.0</v>
      </c>
      <c r="F156" s="18" t="n">
        <f>0</f>
        <v>0.0</v>
      </c>
      <c r="G156" s="17" t="n">
        <v>2.54714E7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223.0</v>
      </c>
      <c r="F157" s="22" t="n">
        <f>0</f>
        <v>0.0</v>
      </c>
      <c r="G157" s="21" t="n">
        <v>1.836065E8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487.0</v>
      </c>
      <c r="F158" s="22" t="n">
        <f>0</f>
        <v>0.0</v>
      </c>
      <c r="G158" s="21" t="n">
        <v>4.034205E8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741.0</v>
      </c>
      <c r="F159" s="26" t="n">
        <f>0</f>
        <v>0.0</v>
      </c>
      <c r="G159" s="25" t="n">
        <v>6.124984E8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455.0</v>
      </c>
      <c r="F168" s="18" t="n">
        <f>0</f>
        <v>0.0</v>
      </c>
      <c r="G168" s="17" t="n">
        <v>9.56141E8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155.0</v>
      </c>
      <c r="F169" s="22" t="n">
        <f>0</f>
        <v>0.0</v>
      </c>
      <c r="G169" s="21" t="n">
        <v>3.238535E8</v>
      </c>
      <c r="H169" s="22" t="n">
        <f>0</f>
        <v>0.0</v>
      </c>
    </row>
    <row r="170" spans="1:8" ht="24.9" customHeight="1">
      <c r="A170" s="51"/>
      <c r="B170" s="57"/>
      <c r="C170" s="39"/>
      <c r="D170" s="20" t="s">
        <v>17</v>
      </c>
      <c r="E170" s="21" t="n">
        <v>270.0</v>
      </c>
      <c r="F170" s="22" t="n">
        <f>0</f>
        <v>0.0</v>
      </c>
      <c r="G170" s="21" t="n">
        <v>5.62545E8</v>
      </c>
      <c r="H170" s="22" t="n">
        <f>0</f>
        <v>0.0</v>
      </c>
    </row>
    <row r="171" spans="1:8" ht="24.9" customHeight="1">
      <c r="A171" s="51"/>
      <c r="B171" s="57"/>
      <c r="C171" s="39"/>
      <c r="D171" s="24" t="s">
        <v>18</v>
      </c>
      <c r="E171" s="25" t="n">
        <v>880.0</v>
      </c>
      <c r="F171" s="26" t="n">
        <f>0</f>
        <v>0.0</v>
      </c>
      <c r="G171" s="25" t="n">
        <v>1.8425395E9</v>
      </c>
      <c r="H171" s="26" t="n">
        <f>0</f>
        <v>0.0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48.0</v>
      </c>
      <c r="F176" s="18" t="n">
        <f>0</f>
        <v>0.0</v>
      </c>
      <c r="G176" s="17" t="n">
        <v>8.3318E7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44.0</v>
      </c>
      <c r="F177" s="22" t="n">
        <f>0</f>
        <v>0.0</v>
      </c>
      <c r="G177" s="21" t="n">
        <v>7.4358E7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20.0</v>
      </c>
      <c r="F178" s="22" t="n">
        <f>0</f>
        <v>0.0</v>
      </c>
      <c r="G178" s="21" t="n">
        <v>3.3702E7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112.0</v>
      </c>
      <c r="F179" s="26" t="n">
        <f>0</f>
        <v>0.0</v>
      </c>
      <c r="G179" s="25" t="n">
        <v>1.91378E8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936.0</v>
      </c>
      <c r="F204" s="18" t="n">
        <f>0</f>
        <v>0.0</v>
      </c>
      <c r="G204" s="17" t="n">
        <v>3.434923E9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190.0</v>
      </c>
      <c r="F205" s="22" t="n">
        <f>0</f>
        <v>0.0</v>
      </c>
      <c r="G205" s="21" t="n">
        <v>6.896325E8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2944.0</v>
      </c>
      <c r="F206" s="22" t="n">
        <f>1</f>
        <v>1.0</v>
      </c>
      <c r="G206" s="21" t="n">
        <v>1.06747945E10</v>
      </c>
      <c r="H206" s="22" t="n">
        <f>3630500</f>
        <v>3630500.0</v>
      </c>
    </row>
    <row r="207" spans="1:8" ht="24.9" customHeight="1">
      <c r="A207" s="57"/>
      <c r="B207" s="59"/>
      <c r="C207" s="39"/>
      <c r="D207" s="24" t="s">
        <v>18</v>
      </c>
      <c r="E207" s="25" t="n">
        <v>4070.0</v>
      </c>
      <c r="F207" s="26" t="n">
        <f>1</f>
        <v>1.0</v>
      </c>
      <c r="G207" s="25" t="n">
        <v>1.479935E10</v>
      </c>
      <c r="H207" s="26" t="n">
        <f>3630500</f>
        <v>3630500.0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40.0</v>
      </c>
      <c r="F210" s="22" t="n">
        <f>40</f>
        <v>40.0</v>
      </c>
      <c r="G210" s="21" t="n">
        <v>5.44608E7</v>
      </c>
      <c r="H210" s="22" t="n">
        <f>54460800</f>
        <v>5.44608E7</v>
      </c>
    </row>
    <row r="211" spans="1:8" ht="24.9" customHeight="1">
      <c r="A211" s="57"/>
      <c r="B211" s="59"/>
      <c r="C211" s="39"/>
      <c r="D211" s="24" t="s">
        <v>18</v>
      </c>
      <c r="E211" s="25" t="n">
        <v>40.0</v>
      </c>
      <c r="F211" s="26" t="n">
        <f>40</f>
        <v>40.0</v>
      </c>
      <c r="G211" s="25" t="n">
        <v>5.44608E7</v>
      </c>
      <c r="H211" s="26" t="n">
        <f>54460800</f>
        <v>5.44608E7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60.0</v>
      </c>
      <c r="F220" s="18" t="n">
        <f>60</f>
        <v>60.0</v>
      </c>
      <c r="G220" s="17" t="n">
        <v>3.29688E7</v>
      </c>
      <c r="H220" s="18" t="n">
        <f>32968800</f>
        <v>3.29688E7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60.0</v>
      </c>
      <c r="F223" s="26" t="n">
        <f>60</f>
        <v>60.0</v>
      </c>
      <c r="G223" s="25" t="n">
        <v>3.29688E7</v>
      </c>
      <c r="H223" s="26" t="n">
        <f>32968800</f>
        <v>3.29688E7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46213.0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46213.0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2468</f>
        <v>2468.0</v>
      </c>
      <c r="E12" s="35" t="n">
        <f>1672</f>
        <v>1672.0</v>
      </c>
      <c r="F12" s="17" t="n">
        <f>1486</f>
        <v>1486.0</v>
      </c>
      <c r="G12" s="35" t="n">
        <f>692</f>
        <v>692.0</v>
      </c>
      <c r="H12" s="17" t="n">
        <f>3954</f>
        <v>3954.0</v>
      </c>
      <c r="I12" s="35" t="n">
        <f>2364</f>
        <v>2364.0</v>
      </c>
      <c r="J12" s="17" t="n">
        <f>6611747110</f>
        <v>6.61174711E9</v>
      </c>
      <c r="K12" s="35" t="n">
        <f>6191793110</f>
        <v>6.19179311E9</v>
      </c>
      <c r="L12" s="17" t="n">
        <f>5169441810</f>
        <v>5.16944181E9</v>
      </c>
      <c r="M12" s="35" t="n">
        <f>4811539810</f>
        <v>4.81153981E9</v>
      </c>
      <c r="N12" s="17" t="n">
        <f>11781188920</f>
        <v>1.178118892E10</v>
      </c>
      <c r="O12" s="35" t="n">
        <f>11003332920</f>
        <v>1.100333292E10</v>
      </c>
    </row>
    <row r="13" spans="1:15" ht="24.9" customHeight="1">
      <c r="A13" s="38"/>
      <c r="B13" s="62"/>
      <c r="C13" s="20" t="s">
        <v>16</v>
      </c>
      <c r="D13" s="21" t="n">
        <f>5324</f>
        <v>5324.0</v>
      </c>
      <c r="E13" s="36" t="n">
        <f>3275</f>
        <v>3275.0</v>
      </c>
      <c r="F13" s="21" t="n">
        <f>2695</f>
        <v>2695.0</v>
      </c>
      <c r="G13" s="36" t="n">
        <f>1199</f>
        <v>1199.0</v>
      </c>
      <c r="H13" s="21" t="n">
        <f>8019</f>
        <v>8019.0</v>
      </c>
      <c r="I13" s="36" t="n">
        <f>4474</f>
        <v>4474.0</v>
      </c>
      <c r="J13" s="21" t="n">
        <f>6889235690</f>
        <v>6.88923569E9</v>
      </c>
      <c r="K13" s="36" t="n">
        <f>5644673690</f>
        <v>5.64467369E9</v>
      </c>
      <c r="L13" s="21" t="n">
        <f>1773627280</f>
        <v>1.77362728E9</v>
      </c>
      <c r="M13" s="36" t="n">
        <f>913988280</f>
        <v>9.1398828E8</v>
      </c>
      <c r="N13" s="21" t="n">
        <f>8662862970</f>
        <v>8.66286297E9</v>
      </c>
      <c r="O13" s="36" t="n">
        <f>6558661970</f>
        <v>6.55866197E9</v>
      </c>
    </row>
    <row r="14" spans="1:15" ht="24.9" customHeight="1">
      <c r="A14" s="38"/>
      <c r="B14" s="62"/>
      <c r="C14" s="20" t="s">
        <v>17</v>
      </c>
      <c r="D14" s="21" t="n">
        <f>16746</f>
        <v>16746.0</v>
      </c>
      <c r="E14" s="36" t="n">
        <f>11097</f>
        <v>11097.0</v>
      </c>
      <c r="F14" s="21" t="n">
        <f>5016</f>
        <v>5016.0</v>
      </c>
      <c r="G14" s="36" t="n">
        <f>3059</f>
        <v>3059.0</v>
      </c>
      <c r="H14" s="21" t="n">
        <f>21762</f>
        <v>21762.0</v>
      </c>
      <c r="I14" s="36" t="n">
        <f>14156</f>
        <v>14156.0</v>
      </c>
      <c r="J14" s="21" t="n">
        <f>12778402160</f>
        <v>1.277840216E10</v>
      </c>
      <c r="K14" s="36" t="n">
        <f>9923975160</f>
        <v>9.92397516E9</v>
      </c>
      <c r="L14" s="21" t="n">
        <f>5981946702</f>
        <v>5.981946702E9</v>
      </c>
      <c r="M14" s="36" t="n">
        <f>4174396702</f>
        <v>4.174396702E9</v>
      </c>
      <c r="N14" s="21" t="n">
        <f>18760348862</f>
        <v>1.8760348862E10</v>
      </c>
      <c r="O14" s="36" t="n">
        <f>14098371862</f>
        <v>1.4098371862E10</v>
      </c>
    </row>
    <row r="15" spans="1:15" ht="24.9" customHeight="1">
      <c r="A15" s="38"/>
      <c r="B15" s="62"/>
      <c r="C15" s="24" t="s">
        <v>18</v>
      </c>
      <c r="D15" s="25" t="n">
        <f>24538</f>
        <v>24538.0</v>
      </c>
      <c r="E15" s="37" t="n">
        <f>16044</f>
        <v>16044.0</v>
      </c>
      <c r="F15" s="25" t="n">
        <f>9197</f>
        <v>9197.0</v>
      </c>
      <c r="G15" s="37" t="n">
        <f>4950</f>
        <v>4950.0</v>
      </c>
      <c r="H15" s="25" t="n">
        <f>33735</f>
        <v>33735.0</v>
      </c>
      <c r="I15" s="37" t="n">
        <f>20994</f>
        <v>20994.0</v>
      </c>
      <c r="J15" s="25" t="n">
        <f>26279384960</f>
        <v>2.627938496E10</v>
      </c>
      <c r="K15" s="37" t="n">
        <f>21760441960</f>
        <v>2.176044196E10</v>
      </c>
      <c r="L15" s="25" t="n">
        <f>12925015792</f>
        <v>1.2925015792E10</v>
      </c>
      <c r="M15" s="37" t="n">
        <f>9899924792</f>
        <v>9.899924792E9</v>
      </c>
      <c r="N15" s="25" t="n">
        <f>39204400752</f>
        <v>3.9204400752E10</v>
      </c>
      <c r="O15" s="37" t="n">
        <f>31660366752</f>
        <v>3.1660366752E10</v>
      </c>
    </row>
    <row r="16" spans="1:15" ht="24.9" customHeight="1">
      <c r="A16" s="38"/>
      <c r="B16" s="61" t="s">
        <v>105</v>
      </c>
      <c r="C16" s="16" t="s">
        <v>15</v>
      </c>
      <c r="D16" s="17" t="n">
        <f>9561</f>
        <v>9561.0</v>
      </c>
      <c r="E16" s="35" t="n">
        <f>450</f>
        <v>450.0</v>
      </c>
      <c r="F16" s="17" t="n">
        <f>8665</f>
        <v>8665.0</v>
      </c>
      <c r="G16" s="35" t="n">
        <f>240</f>
        <v>240.0</v>
      </c>
      <c r="H16" s="17" t="n">
        <f>18226</f>
        <v>18226.0</v>
      </c>
      <c r="I16" s="35" t="n">
        <f>690</f>
        <v>690.0</v>
      </c>
      <c r="J16" s="17" t="n">
        <f>2041606550</f>
        <v>2.04160655E9</v>
      </c>
      <c r="K16" s="35" t="n">
        <f>14807550</f>
        <v>1.480755E7</v>
      </c>
      <c r="L16" s="17" t="n">
        <f>1909248220</f>
        <v>1.90924822E9</v>
      </c>
      <c r="M16" s="35" t="n">
        <f>7936120</f>
        <v>7936120.0</v>
      </c>
      <c r="N16" s="17" t="n">
        <f>3950854770</f>
        <v>3.95085477E9</v>
      </c>
      <c r="O16" s="35" t="n">
        <f>22743670</f>
        <v>2.274367E7</v>
      </c>
    </row>
    <row r="17" spans="1:15" ht="24.9" customHeight="1">
      <c r="A17" s="38"/>
      <c r="B17" s="62"/>
      <c r="C17" s="20" t="s">
        <v>16</v>
      </c>
      <c r="D17" s="21" t="n">
        <f>6004</f>
        <v>6004.0</v>
      </c>
      <c r="E17" s="36" t="n">
        <f>510</f>
        <v>510.0</v>
      </c>
      <c r="F17" s="21" t="n">
        <f>5191</f>
        <v>5191.0</v>
      </c>
      <c r="G17" s="36" t="n">
        <f>1620</f>
        <v>1620.0</v>
      </c>
      <c r="H17" s="21" t="n">
        <f>11195</f>
        <v>11195.0</v>
      </c>
      <c r="I17" s="36" t="n">
        <f>2130</f>
        <v>2130.0</v>
      </c>
      <c r="J17" s="21" t="n">
        <f>385108000</f>
        <v>3.85108E8</v>
      </c>
      <c r="K17" s="36" t="n">
        <f>9242000</f>
        <v>9242000.0</v>
      </c>
      <c r="L17" s="21" t="n">
        <f>418043260</f>
        <v>4.1804326E8</v>
      </c>
      <c r="M17" s="36" t="n">
        <f>100284560</f>
        <v>1.0028456E8</v>
      </c>
      <c r="N17" s="21" t="n">
        <f>803151260</f>
        <v>8.0315126E8</v>
      </c>
      <c r="O17" s="36" t="n">
        <f>109526560</f>
        <v>1.0952656E8</v>
      </c>
    </row>
    <row r="18" spans="1:15" ht="24.9" customHeight="1">
      <c r="A18" s="38"/>
      <c r="B18" s="62"/>
      <c r="C18" s="20" t="s">
        <v>17</v>
      </c>
      <c r="D18" s="21" t="n">
        <f>7701</f>
        <v>7701.0</v>
      </c>
      <c r="E18" s="36" t="n">
        <f>400</f>
        <v>400.0</v>
      </c>
      <c r="F18" s="21" t="n">
        <f>4624</f>
        <v>4624.0</v>
      </c>
      <c r="G18" s="36" t="n">
        <f>380</f>
        <v>380.0</v>
      </c>
      <c r="H18" s="21" t="n">
        <f>12325</f>
        <v>12325.0</v>
      </c>
      <c r="I18" s="36" t="n">
        <f>780</f>
        <v>780.0</v>
      </c>
      <c r="J18" s="21" t="n">
        <f>664496890</f>
        <v>6.6449689E8</v>
      </c>
      <c r="K18" s="36" t="n">
        <f>8804390</f>
        <v>8804390.0</v>
      </c>
      <c r="L18" s="21" t="n">
        <f>544446560</f>
        <v>5.4444656E8</v>
      </c>
      <c r="M18" s="36" t="n">
        <f>8353460</f>
        <v>8353460.0</v>
      </c>
      <c r="N18" s="21" t="n">
        <f>1208943450</f>
        <v>1.20894345E9</v>
      </c>
      <c r="O18" s="36" t="n">
        <f>17157850</f>
        <v>1.715785E7</v>
      </c>
    </row>
    <row r="19" spans="1:15" ht="24.9" customHeight="1">
      <c r="A19" s="38"/>
      <c r="B19" s="62"/>
      <c r="C19" s="24" t="s">
        <v>18</v>
      </c>
      <c r="D19" s="25" t="n">
        <f>23266</f>
        <v>23266.0</v>
      </c>
      <c r="E19" s="37" t="n">
        <f>1360</f>
        <v>1360.0</v>
      </c>
      <c r="F19" s="25" t="n">
        <f>18480</f>
        <v>18480.0</v>
      </c>
      <c r="G19" s="37" t="n">
        <f>2240</f>
        <v>2240.0</v>
      </c>
      <c r="H19" s="25" t="n">
        <f>41746</f>
        <v>41746.0</v>
      </c>
      <c r="I19" s="37" t="n">
        <f>3600</f>
        <v>3600.0</v>
      </c>
      <c r="J19" s="25" t="n">
        <f>3091211440</f>
        <v>3.09121144E9</v>
      </c>
      <c r="K19" s="37" t="n">
        <f>32853940</f>
        <v>3.285394E7</v>
      </c>
      <c r="L19" s="25" t="n">
        <f>2871738040</f>
        <v>2.87173804E9</v>
      </c>
      <c r="M19" s="37" t="n">
        <f>116574140</f>
        <v>1.1657414E8</v>
      </c>
      <c r="N19" s="25" t="n">
        <f>5962949480</f>
        <v>5.96294948E9</v>
      </c>
      <c r="O19" s="37" t="n">
        <f>149428080</f>
        <v>1.4942808E8</v>
      </c>
    </row>
    <row r="20" spans="1:15" ht="24.9" customHeight="1">
      <c r="A20" s="38"/>
      <c r="B20" s="61" t="s">
        <v>106</v>
      </c>
      <c r="C20" s="16" t="s">
        <v>15</v>
      </c>
      <c r="D20" s="17" t="n">
        <f>88</f>
        <v>88.0</v>
      </c>
      <c r="E20" s="35" t="n">
        <f>88</f>
        <v>88.0</v>
      </c>
      <c r="F20" s="17" t="n">
        <f>0</f>
        <v>0.0</v>
      </c>
      <c r="G20" s="35" t="n">
        <f>0</f>
        <v>0.0</v>
      </c>
      <c r="H20" s="17" t="n">
        <f>88</f>
        <v>88.0</v>
      </c>
      <c r="I20" s="35" t="n">
        <f>88</f>
        <v>88.0</v>
      </c>
      <c r="J20" s="17" t="n">
        <f>76565280</f>
        <v>7.656528E7</v>
      </c>
      <c r="K20" s="35" t="n">
        <f>76565280</f>
        <v>7.656528E7</v>
      </c>
      <c r="L20" s="17" t="n">
        <f>0</f>
        <v>0.0</v>
      </c>
      <c r="M20" s="35" t="n">
        <f>0</f>
        <v>0.0</v>
      </c>
      <c r="N20" s="17" t="n">
        <f>76565280</f>
        <v>7.656528E7</v>
      </c>
      <c r="O20" s="35" t="n">
        <f>76565280</f>
        <v>7.656528E7</v>
      </c>
    </row>
    <row r="21" spans="1:15" ht="24.9" customHeight="1">
      <c r="A21" s="38"/>
      <c r="B21" s="62"/>
      <c r="C21" s="20" t="s">
        <v>16</v>
      </c>
      <c r="D21" s="21" t="n">
        <f>32</f>
        <v>32.0</v>
      </c>
      <c r="E21" s="36" t="n">
        <f>32</f>
        <v>32.0</v>
      </c>
      <c r="F21" s="21" t="n">
        <f>0</f>
        <v>0.0</v>
      </c>
      <c r="G21" s="36" t="n">
        <f>0</f>
        <v>0.0</v>
      </c>
      <c r="H21" s="21" t="n">
        <f>32</f>
        <v>32.0</v>
      </c>
      <c r="I21" s="36" t="n">
        <f>32</f>
        <v>32.0</v>
      </c>
      <c r="J21" s="21" t="n">
        <f>5439600</f>
        <v>5439600.0</v>
      </c>
      <c r="K21" s="36" t="n">
        <f>5439600</f>
        <v>5439600.0</v>
      </c>
      <c r="L21" s="21" t="n">
        <f>0</f>
        <v>0.0</v>
      </c>
      <c r="M21" s="36" t="n">
        <f>0</f>
        <v>0.0</v>
      </c>
      <c r="N21" s="21" t="n">
        <f>5439600</f>
        <v>5439600.0</v>
      </c>
      <c r="O21" s="36" t="n">
        <f>5439600</f>
        <v>5439600.0</v>
      </c>
    </row>
    <row r="22" spans="1:15" ht="24.9" customHeight="1">
      <c r="A22" s="38"/>
      <c r="B22" s="62"/>
      <c r="C22" s="20" t="s">
        <v>17</v>
      </c>
      <c r="D22" s="21" t="n">
        <f>100</f>
        <v>100.0</v>
      </c>
      <c r="E22" s="36" t="n">
        <f>100</f>
        <v>100.0</v>
      </c>
      <c r="F22" s="21" t="n">
        <f>100</f>
        <v>100.0</v>
      </c>
      <c r="G22" s="36" t="n">
        <f>100</f>
        <v>100.0</v>
      </c>
      <c r="H22" s="21" t="n">
        <f>200</f>
        <v>200.0</v>
      </c>
      <c r="I22" s="36" t="n">
        <f>200</f>
        <v>200.0</v>
      </c>
      <c r="J22" s="21" t="n">
        <f>65750000</f>
        <v>6.575E7</v>
      </c>
      <c r="K22" s="36" t="n">
        <f>65750000</f>
        <v>6.575E7</v>
      </c>
      <c r="L22" s="21" t="n">
        <f>55000000</f>
        <v>5.5E7</v>
      </c>
      <c r="M22" s="36" t="n">
        <f>55000000</f>
        <v>5.5E7</v>
      </c>
      <c r="N22" s="21" t="n">
        <f>120750000</f>
        <v>1.2075E8</v>
      </c>
      <c r="O22" s="36" t="n">
        <f>120750000</f>
        <v>1.2075E8</v>
      </c>
    </row>
    <row r="23" spans="1:15" ht="24.9" customHeight="1">
      <c r="A23" s="38"/>
      <c r="B23" s="62"/>
      <c r="C23" s="24" t="s">
        <v>18</v>
      </c>
      <c r="D23" s="25" t="n">
        <f>220</f>
        <v>220.0</v>
      </c>
      <c r="E23" s="37" t="n">
        <f>220</f>
        <v>220.0</v>
      </c>
      <c r="F23" s="25" t="n">
        <f>100</f>
        <v>100.0</v>
      </c>
      <c r="G23" s="37" t="n">
        <f>100</f>
        <v>100.0</v>
      </c>
      <c r="H23" s="25" t="n">
        <f>320</f>
        <v>320.0</v>
      </c>
      <c r="I23" s="37" t="n">
        <f>320</f>
        <v>320.0</v>
      </c>
      <c r="J23" s="25" t="n">
        <f>147754880</f>
        <v>1.4775488E8</v>
      </c>
      <c r="K23" s="37" t="n">
        <f>147754880</f>
        <v>1.4775488E8</v>
      </c>
      <c r="L23" s="25" t="n">
        <f>55000000</f>
        <v>5.5E7</v>
      </c>
      <c r="M23" s="37" t="n">
        <f>55000000</f>
        <v>5.5E7</v>
      </c>
      <c r="N23" s="25" t="n">
        <f>202754880</f>
        <v>2.0275488E8</v>
      </c>
      <c r="O23" s="37" t="n">
        <f>202754880</f>
        <v>2.0275488E8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0</f>
        <v>0.0</v>
      </c>
      <c r="E36" s="18" t="n">
        <f>0</f>
        <v>0.0</v>
      </c>
      <c r="F36" s="17" t="n">
        <f>15</f>
        <v>15.0</v>
      </c>
      <c r="G36" s="18" t="n">
        <f>0</f>
        <v>0.0</v>
      </c>
      <c r="H36" s="17" t="n">
        <f>15</f>
        <v>15.0</v>
      </c>
      <c r="I36" s="18" t="n">
        <f>0</f>
        <v>0.0</v>
      </c>
      <c r="J36" s="17" t="n">
        <f>0</f>
        <v>0.0</v>
      </c>
      <c r="K36" s="18" t="n">
        <f>0</f>
        <v>0.0</v>
      </c>
      <c r="L36" s="17" t="n">
        <f>7500000</f>
        <v>7500000.0</v>
      </c>
      <c r="M36" s="18" t="n">
        <f>0</f>
        <v>0.0</v>
      </c>
      <c r="N36" s="17" t="n">
        <f>7500000</f>
        <v>7500000.0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52</f>
        <v>52.0</v>
      </c>
      <c r="E37" s="22" t="n">
        <f>0</f>
        <v>0.0</v>
      </c>
      <c r="F37" s="21" t="n">
        <f>247</f>
        <v>247.0</v>
      </c>
      <c r="G37" s="22" t="n">
        <f>150</f>
        <v>150.0</v>
      </c>
      <c r="H37" s="21" t="n">
        <f>299</f>
        <v>299.0</v>
      </c>
      <c r="I37" s="22" t="n">
        <f>150</f>
        <v>150.0</v>
      </c>
      <c r="J37" s="21" t="n">
        <f>21100000</f>
        <v>2.11E7</v>
      </c>
      <c r="K37" s="22" t="n">
        <f>0</f>
        <v>0.0</v>
      </c>
      <c r="L37" s="21" t="n">
        <f>28210000</f>
        <v>2.821E7</v>
      </c>
      <c r="M37" s="22" t="n">
        <f>15000000</f>
        <v>1.5E7</v>
      </c>
      <c r="N37" s="21" t="n">
        <f>49310000</f>
        <v>4.931E7</v>
      </c>
      <c r="O37" s="22" t="n">
        <f>15000000</f>
        <v>1.5E7</v>
      </c>
    </row>
    <row r="38" spans="1:15" ht="24.9" customHeight="1">
      <c r="A38" s="38"/>
      <c r="B38" s="62"/>
      <c r="C38" s="20" t="s">
        <v>17</v>
      </c>
      <c r="D38" s="21" t="n">
        <f>195</f>
        <v>195.0</v>
      </c>
      <c r="E38" s="36" t="n">
        <f>145</f>
        <v>145.0</v>
      </c>
      <c r="F38" s="21" t="n">
        <f>151</f>
        <v>151.0</v>
      </c>
      <c r="G38" s="36" t="n">
        <f>25</f>
        <v>25.0</v>
      </c>
      <c r="H38" s="21" t="n">
        <f>346</f>
        <v>346.0</v>
      </c>
      <c r="I38" s="36" t="n">
        <f>170</f>
        <v>170.0</v>
      </c>
      <c r="J38" s="21" t="n">
        <f>42950000</f>
        <v>4.295E7</v>
      </c>
      <c r="K38" s="36" t="n">
        <f>32700000</f>
        <v>3.27E7</v>
      </c>
      <c r="L38" s="21" t="n">
        <f>34870000</f>
        <v>3.487E7</v>
      </c>
      <c r="M38" s="36" t="n">
        <f>12250000</f>
        <v>1.225E7</v>
      </c>
      <c r="N38" s="21" t="n">
        <f>77820000</f>
        <v>7.782E7</v>
      </c>
      <c r="O38" s="36" t="n">
        <f>44950000</f>
        <v>4.495E7</v>
      </c>
    </row>
    <row r="39" spans="1:15" ht="24.9" customHeight="1">
      <c r="A39" s="38"/>
      <c r="B39" s="62"/>
      <c r="C39" s="24" t="s">
        <v>18</v>
      </c>
      <c r="D39" s="25" t="n">
        <f>247</f>
        <v>247.0</v>
      </c>
      <c r="E39" s="37" t="n">
        <f>145</f>
        <v>145.0</v>
      </c>
      <c r="F39" s="25" t="n">
        <f>413</f>
        <v>413.0</v>
      </c>
      <c r="G39" s="37" t="n">
        <f>175</f>
        <v>175.0</v>
      </c>
      <c r="H39" s="25" t="n">
        <f>660</f>
        <v>660.0</v>
      </c>
      <c r="I39" s="37" t="n">
        <f>320</f>
        <v>320.0</v>
      </c>
      <c r="J39" s="25" t="n">
        <f>64050000</f>
        <v>6.405E7</v>
      </c>
      <c r="K39" s="37" t="n">
        <f>32700000</f>
        <v>3.27E7</v>
      </c>
      <c r="L39" s="25" t="n">
        <f>70580000</f>
        <v>7.058E7</v>
      </c>
      <c r="M39" s="37" t="n">
        <f>27250000</f>
        <v>2.725E7</v>
      </c>
      <c r="N39" s="25" t="n">
        <f>134630000</f>
        <v>1.3463E8</v>
      </c>
      <c r="O39" s="37" t="n">
        <f>59950000</f>
        <v>5.995E7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14266</f>
        <v>14266.0</v>
      </c>
      <c r="E41" s="36" t="n">
        <f>13000</f>
        <v>13000.0</v>
      </c>
      <c r="F41" s="21" t="n">
        <f>3033</f>
        <v>3033.0</v>
      </c>
      <c r="G41" s="36" t="n">
        <f>0</f>
        <v>0.0</v>
      </c>
      <c r="H41" s="21" t="n">
        <f>17299</f>
        <v>17299.0</v>
      </c>
      <c r="I41" s="36" t="n">
        <f>13000</f>
        <v>13000.0</v>
      </c>
      <c r="J41" s="21" t="n">
        <f>129531526</f>
        <v>1.29531526E8</v>
      </c>
      <c r="K41" s="36" t="n">
        <f>109450000</f>
        <v>1.0945E8</v>
      </c>
      <c r="L41" s="21" t="n">
        <f>73396800</f>
        <v>7.33968E7</v>
      </c>
      <c r="M41" s="36" t="n">
        <f>0</f>
        <v>0.0</v>
      </c>
      <c r="N41" s="21" t="n">
        <f>202928326</f>
        <v>2.02928326E8</v>
      </c>
      <c r="O41" s="36" t="n">
        <f>109450000</f>
        <v>1.0945E8</v>
      </c>
    </row>
    <row r="42" spans="1:15" ht="24.9" customHeight="1">
      <c r="A42" s="38"/>
      <c r="B42" s="62"/>
      <c r="C42" s="20" t="s">
        <v>17</v>
      </c>
      <c r="D42" s="21" t="n">
        <f>6145</f>
        <v>6145.0</v>
      </c>
      <c r="E42" s="36" t="n">
        <f>1200</f>
        <v>1200.0</v>
      </c>
      <c r="F42" s="21" t="n">
        <f>4105</f>
        <v>4105.0</v>
      </c>
      <c r="G42" s="36" t="n">
        <f>0</f>
        <v>0.0</v>
      </c>
      <c r="H42" s="21" t="n">
        <f>10250</f>
        <v>10250.0</v>
      </c>
      <c r="I42" s="36" t="n">
        <f>1200</f>
        <v>1200.0</v>
      </c>
      <c r="J42" s="21" t="n">
        <f>69974302</f>
        <v>6.9974302E7</v>
      </c>
      <c r="K42" s="36" t="n">
        <f>51160000</f>
        <v>5.116E7</v>
      </c>
      <c r="L42" s="21" t="n">
        <f>25547577</f>
        <v>2.5547577E7</v>
      </c>
      <c r="M42" s="36" t="n">
        <f>0</f>
        <v>0.0</v>
      </c>
      <c r="N42" s="21" t="n">
        <f>95521879</f>
        <v>9.5521879E7</v>
      </c>
      <c r="O42" s="36" t="n">
        <f>51160000</f>
        <v>5.116E7</v>
      </c>
    </row>
    <row r="43" spans="1:15" ht="24.9" customHeight="1">
      <c r="A43" s="38"/>
      <c r="B43" s="62"/>
      <c r="C43" s="24" t="s">
        <v>18</v>
      </c>
      <c r="D43" s="25" t="n">
        <f>20411</f>
        <v>20411.0</v>
      </c>
      <c r="E43" s="37" t="n">
        <f>14200</f>
        <v>14200.0</v>
      </c>
      <c r="F43" s="25" t="n">
        <f>7138</f>
        <v>7138.0</v>
      </c>
      <c r="G43" s="37" t="n">
        <f>0</f>
        <v>0.0</v>
      </c>
      <c r="H43" s="25" t="n">
        <f>27549</f>
        <v>27549.0</v>
      </c>
      <c r="I43" s="37" t="n">
        <f>14200</f>
        <v>14200.0</v>
      </c>
      <c r="J43" s="25" t="n">
        <f>199505828</f>
        <v>1.99505828E8</v>
      </c>
      <c r="K43" s="37" t="n">
        <f>160610000</f>
        <v>1.6061E8</v>
      </c>
      <c r="L43" s="25" t="n">
        <f>98944377</f>
        <v>9.8944377E7</v>
      </c>
      <c r="M43" s="37" t="n">
        <f>0</f>
        <v>0.0</v>
      </c>
      <c r="N43" s="25" t="n">
        <f>298450205</f>
        <v>2.98450205E8</v>
      </c>
      <c r="O43" s="37" t="n">
        <f>160610000</f>
        <v>1.6061E8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